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8635" windowHeight="14055" tabRatio="867"/>
  </bookViews>
  <sheets>
    <sheet name="Attachment 8.18 Cover page" sheetId="21" r:id="rId1"/>
    <sheet name="Summarised" sheetId="2" r:id="rId2"/>
    <sheet name="Hardware Configurations" sheetId="14" r:id="rId3"/>
    <sheet name="Meter Hardware Price" sheetId="13" r:id="rId4"/>
    <sheet name="NEW&amp;UPGRADE" sheetId="12" r:id="rId5"/>
    <sheet name="REPLACEMENT" sheetId="11" r:id="rId6"/>
    <sheet name="Total Meter Proportions" sheetId="10" r:id="rId7"/>
    <sheet name="2013-14 Capital Oct YTD" sheetId="3" r:id="rId8"/>
    <sheet name="2012-13 Capital" sheetId="4" r:id="rId9"/>
    <sheet name="Historical New &amp; Upgrade" sheetId="16" r:id="rId10"/>
    <sheet name="Projected Delta New NMI's" sheetId="17" r:id="rId11"/>
    <sheet name="Projected Proactive Replacement" sheetId="18" r:id="rId12"/>
    <sheet name="Historical Customer Numbers" sheetId="20" r:id="rId13"/>
  </sheets>
  <definedNames>
    <definedName name="_xlnm.Print_Area" localSheetId="2">'Hardware Configurations'!$B$2:$O$38</definedName>
    <definedName name="_xlnm.Print_Area" localSheetId="9">'Historical New &amp; Upgrade'!$B$2:$AB$31</definedName>
    <definedName name="_xlnm.Print_Area" localSheetId="4">'NEW&amp;UPGRADE'!$B$2:$Z$26</definedName>
    <definedName name="_xlnm.Print_Area" localSheetId="11">'Projected Proactive Replacement'!$A$1:$AB$41</definedName>
    <definedName name="_xlnm.Print_Area" localSheetId="5">REPLACEMENT!$B$2:$S$22</definedName>
    <definedName name="_xlnm.Print_Area" localSheetId="1">Summarised!$B$2:$W$37</definedName>
  </definedNames>
  <calcPr calcId="125725"/>
</workbook>
</file>

<file path=xl/calcChain.xml><?xml version="1.0" encoding="utf-8"?>
<calcChain xmlns="http://schemas.openxmlformats.org/spreadsheetml/2006/main">
  <c r="O19" i="12"/>
  <c r="P19"/>
  <c r="AB8" i="18"/>
  <c r="H13" i="2" l="1"/>
  <c r="G13"/>
  <c r="K13"/>
  <c r="U6" i="18" l="1"/>
  <c r="I10" i="16" l="1"/>
  <c r="W11" i="2" l="1"/>
  <c r="V11"/>
  <c r="U11"/>
  <c r="T11"/>
  <c r="S11"/>
  <c r="R11"/>
  <c r="N3" i="11"/>
  <c r="M3"/>
  <c r="L3"/>
  <c r="J7"/>
  <c r="L7" s="1"/>
  <c r="J3"/>
  <c r="O3" s="1"/>
  <c r="P7" l="1"/>
  <c r="O7"/>
  <c r="N7"/>
  <c r="M7"/>
  <c r="P3"/>
  <c r="J16" i="12"/>
  <c r="J10"/>
  <c r="J9"/>
  <c r="J11" s="1"/>
  <c r="T70" i="20"/>
  <c r="T64"/>
  <c r="S70"/>
  <c r="S64"/>
  <c r="R64"/>
  <c r="R65"/>
  <c r="R66"/>
  <c r="R67"/>
  <c r="R68"/>
  <c r="R69"/>
  <c r="R70"/>
  <c r="R71"/>
  <c r="R72"/>
  <c r="R73"/>
  <c r="R74"/>
  <c r="R75"/>
  <c r="R76"/>
  <c r="R77"/>
  <c r="R78"/>
  <c r="R79"/>
  <c r="R80"/>
  <c r="R81"/>
  <c r="V10" i="16"/>
  <c r="F10"/>
  <c r="G10"/>
  <c r="H10"/>
  <c r="P10"/>
  <c r="G7" l="1"/>
  <c r="H7"/>
  <c r="I7"/>
  <c r="P7"/>
  <c r="E11" i="17"/>
  <c r="F11"/>
  <c r="G11"/>
  <c r="H11"/>
  <c r="I11"/>
  <c r="E12"/>
  <c r="F12"/>
  <c r="G12"/>
  <c r="H12"/>
  <c r="I12"/>
  <c r="D11"/>
  <c r="D12"/>
  <c r="P21" i="11" l="1"/>
  <c r="O21"/>
  <c r="N21"/>
  <c r="M21"/>
  <c r="L21"/>
  <c r="AB12" i="18"/>
  <c r="AB4"/>
  <c r="AA4"/>
  <c r="Z4"/>
  <c r="Y4"/>
  <c r="X4"/>
  <c r="W5"/>
  <c r="X5" s="1"/>
  <c r="Y5" s="1"/>
  <c r="V5"/>
  <c r="U5"/>
  <c r="D38"/>
  <c r="C28" i="14"/>
  <c r="C27"/>
  <c r="C26"/>
  <c r="C25"/>
  <c r="S8" i="11"/>
  <c r="S7"/>
  <c r="S6"/>
  <c r="S5"/>
  <c r="S4"/>
  <c r="S3"/>
  <c r="E25" i="14" l="1"/>
  <c r="S21" i="11" s="1"/>
  <c r="E27" i="14"/>
  <c r="S22" i="11" s="1"/>
  <c r="Q21"/>
  <c r="Z5" i="18"/>
  <c r="AA5" s="1"/>
  <c r="AB5" s="1"/>
  <c r="H16" i="12"/>
  <c r="G16"/>
  <c r="F16"/>
  <c r="E16"/>
  <c r="H3"/>
  <c r="G3"/>
  <c r="F3"/>
  <c r="E3"/>
  <c r="W9" i="16"/>
  <c r="V6"/>
  <c r="J3" i="12" s="1"/>
  <c r="W22" i="11" l="1"/>
  <c r="V21"/>
  <c r="K16" i="12"/>
  <c r="M16"/>
  <c r="K3"/>
  <c r="Z21" i="11"/>
  <c r="X21"/>
  <c r="Y21"/>
  <c r="Z22"/>
  <c r="V22"/>
  <c r="X22"/>
  <c r="Y22"/>
  <c r="W21"/>
  <c r="I16" i="12"/>
  <c r="I3"/>
  <c r="E10"/>
  <c r="F10"/>
  <c r="G10"/>
  <c r="H10"/>
  <c r="H9"/>
  <c r="G9"/>
  <c r="F9"/>
  <c r="E9"/>
  <c r="P16" l="1"/>
  <c r="O16"/>
  <c r="N16"/>
  <c r="I10"/>
  <c r="I9"/>
  <c r="I10" i="17"/>
  <c r="H10"/>
  <c r="G10"/>
  <c r="F10"/>
  <c r="E10"/>
  <c r="I69"/>
  <c r="H69"/>
  <c r="G69"/>
  <c r="F69"/>
  <c r="E69"/>
  <c r="C13" i="14"/>
  <c r="C12"/>
  <c r="C11"/>
  <c r="C10"/>
  <c r="E36"/>
  <c r="E35"/>
  <c r="E34"/>
  <c r="E33"/>
  <c r="E13" i="17" l="1"/>
  <c r="M9" i="12" s="1"/>
  <c r="I13" i="17"/>
  <c r="Q9" i="12" s="1"/>
  <c r="H13" i="17"/>
  <c r="P9" i="12" s="1"/>
  <c r="G13" i="17"/>
  <c r="O9" i="12" s="1"/>
  <c r="F13" i="17"/>
  <c r="N9" i="12" s="1"/>
  <c r="Q3" l="1"/>
  <c r="P3"/>
  <c r="O3"/>
  <c r="N3"/>
  <c r="K9"/>
  <c r="H11"/>
  <c r="L24" s="1"/>
  <c r="M11" s="1"/>
  <c r="I9" i="17"/>
  <c r="H9"/>
  <c r="G9"/>
  <c r="F9"/>
  <c r="E9"/>
  <c r="F11" i="12"/>
  <c r="G11"/>
  <c r="E11"/>
  <c r="M3" l="1"/>
  <c r="K11"/>
  <c r="I11"/>
  <c r="O11" s="1"/>
  <c r="Q16"/>
  <c r="Q11" l="1"/>
  <c r="M13"/>
  <c r="N11"/>
  <c r="P11"/>
  <c r="P13"/>
  <c r="N13"/>
  <c r="O13"/>
  <c r="Q13"/>
  <c r="T8"/>
  <c r="T7"/>
  <c r="T6"/>
  <c r="T5"/>
  <c r="T4"/>
  <c r="W34" i="2"/>
  <c r="V34"/>
  <c r="U34"/>
  <c r="T34"/>
  <c r="W28"/>
  <c r="V28"/>
  <c r="U28"/>
  <c r="T28"/>
  <c r="W22"/>
  <c r="V22"/>
  <c r="U22"/>
  <c r="T22"/>
  <c r="W16"/>
  <c r="V16"/>
  <c r="U16"/>
  <c r="T16"/>
  <c r="M4" i="12" l="1"/>
  <c r="U6" s="1"/>
  <c r="M7"/>
  <c r="U8" s="1"/>
  <c r="N4"/>
  <c r="N22" s="1"/>
  <c r="N7"/>
  <c r="O4"/>
  <c r="O7"/>
  <c r="P4"/>
  <c r="P7"/>
  <c r="Q7"/>
  <c r="Q4"/>
  <c r="I3" i="2"/>
  <c r="I13" s="1"/>
  <c r="J3"/>
  <c r="J13" s="1"/>
  <c r="E29" i="14"/>
  <c r="L23"/>
  <c r="H23"/>
  <c r="L22"/>
  <c r="K21"/>
  <c r="I21"/>
  <c r="H21"/>
  <c r="G21"/>
  <c r="K20"/>
  <c r="K23" s="1"/>
  <c r="H20"/>
  <c r="G20"/>
  <c r="K19"/>
  <c r="H19"/>
  <c r="J18"/>
  <c r="J23" s="1"/>
  <c r="G18"/>
  <c r="I17"/>
  <c r="I23" s="1"/>
  <c r="G17"/>
  <c r="G23" s="1"/>
  <c r="K13"/>
  <c r="I13"/>
  <c r="H13"/>
  <c r="G13"/>
  <c r="K12"/>
  <c r="K14" s="1"/>
  <c r="I12"/>
  <c r="H12"/>
  <c r="H14" s="1"/>
  <c r="T12" i="12" s="1"/>
  <c r="U12" s="1"/>
  <c r="G12" i="14"/>
  <c r="J11"/>
  <c r="J14" s="1"/>
  <c r="I11"/>
  <c r="G11"/>
  <c r="N10"/>
  <c r="M10"/>
  <c r="K10"/>
  <c r="I10"/>
  <c r="I14" s="1"/>
  <c r="G10"/>
  <c r="J7"/>
  <c r="I7"/>
  <c r="K6"/>
  <c r="I6"/>
  <c r="H6"/>
  <c r="G6"/>
  <c r="K5"/>
  <c r="K7" s="1"/>
  <c r="H5"/>
  <c r="H7" s="1"/>
  <c r="J4"/>
  <c r="G4"/>
  <c r="N3"/>
  <c r="M3"/>
  <c r="O3" s="1"/>
  <c r="I3"/>
  <c r="G3"/>
  <c r="G7" s="1"/>
  <c r="F37" i="2"/>
  <c r="F25"/>
  <c r="F19"/>
  <c r="P9" i="11"/>
  <c r="F36" i="2" s="1"/>
  <c r="O9" i="11"/>
  <c r="F30" i="2" s="1"/>
  <c r="N9" i="11"/>
  <c r="F24" i="2" s="1"/>
  <c r="M9" i="11"/>
  <c r="F18" i="2" s="1"/>
  <c r="L9" i="11"/>
  <c r="F8" i="2" s="1"/>
  <c r="X4" i="11"/>
  <c r="V3"/>
  <c r="Q7"/>
  <c r="W8"/>
  <c r="W17" s="1"/>
  <c r="V7"/>
  <c r="V16" s="1"/>
  <c r="V6"/>
  <c r="V15" s="1"/>
  <c r="Z5"/>
  <c r="Z14" s="1"/>
  <c r="Q3"/>
  <c r="R19" i="12"/>
  <c r="R13"/>
  <c r="R11"/>
  <c r="R16"/>
  <c r="Y3"/>
  <c r="X3"/>
  <c r="W3"/>
  <c r="V3"/>
  <c r="U3"/>
  <c r="R3"/>
  <c r="AJ11" i="3"/>
  <c r="AD8" i="12" l="1"/>
  <c r="AC8"/>
  <c r="AC17" s="1"/>
  <c r="AG8"/>
  <c r="AG17" s="1"/>
  <c r="AF8"/>
  <c r="AF17" s="1"/>
  <c r="AE8"/>
  <c r="AE17" s="1"/>
  <c r="O22"/>
  <c r="F23" i="2" s="1"/>
  <c r="Q22" i="12"/>
  <c r="F35" i="2" s="1"/>
  <c r="P22" i="12"/>
  <c r="F29" i="2" s="1"/>
  <c r="M22" i="12"/>
  <c r="F7" i="2" s="1"/>
  <c r="S34"/>
  <c r="S28"/>
  <c r="S22"/>
  <c r="S16"/>
  <c r="X13" i="11"/>
  <c r="R28" i="2"/>
  <c r="R22"/>
  <c r="R34"/>
  <c r="R16"/>
  <c r="V12" i="11"/>
  <c r="F17" i="2"/>
  <c r="V4" i="12"/>
  <c r="T15"/>
  <c r="V15" s="1"/>
  <c r="T21"/>
  <c r="Y21" s="1"/>
  <c r="T18"/>
  <c r="U18" s="1"/>
  <c r="O10" i="14"/>
  <c r="G14"/>
  <c r="T11" i="12" s="1"/>
  <c r="Y11" s="1"/>
  <c r="T20"/>
  <c r="U20" s="1"/>
  <c r="T14"/>
  <c r="U14" s="1"/>
  <c r="T17"/>
  <c r="Y17" s="1"/>
  <c r="T13"/>
  <c r="V13" s="1"/>
  <c r="T16"/>
  <c r="U16" s="1"/>
  <c r="T19"/>
  <c r="Y19" s="1"/>
  <c r="V7"/>
  <c r="R7"/>
  <c r="W5"/>
  <c r="R4"/>
  <c r="Q9" i="11"/>
  <c r="W26"/>
  <c r="F9" i="2"/>
  <c r="V27" i="11"/>
  <c r="F31" i="2"/>
  <c r="V4" i="11"/>
  <c r="V13" s="1"/>
  <c r="W3"/>
  <c r="W12" s="1"/>
  <c r="V6" i="12"/>
  <c r="Y4"/>
  <c r="W4"/>
  <c r="U4"/>
  <c r="C30" i="14"/>
  <c r="E30" s="1"/>
  <c r="Y6" i="12"/>
  <c r="X6"/>
  <c r="Z3" i="11"/>
  <c r="Z12" s="1"/>
  <c r="W6" i="12"/>
  <c r="Y3" i="11"/>
  <c r="Y12" s="1"/>
  <c r="W7"/>
  <c r="W16" s="1"/>
  <c r="X4" i="12"/>
  <c r="Y8"/>
  <c r="X8"/>
  <c r="W8"/>
  <c r="V8"/>
  <c r="Y12"/>
  <c r="X12"/>
  <c r="X3" i="11"/>
  <c r="X12" s="1"/>
  <c r="V5" i="12"/>
  <c r="W12"/>
  <c r="Y8" i="11"/>
  <c r="Y17" s="1"/>
  <c r="U5" i="12"/>
  <c r="V12"/>
  <c r="W5" i="11"/>
  <c r="W14" s="1"/>
  <c r="V8"/>
  <c r="V17" s="1"/>
  <c r="Z7"/>
  <c r="Z16" s="1"/>
  <c r="Y7"/>
  <c r="Y16" s="1"/>
  <c r="W4"/>
  <c r="W13" s="1"/>
  <c r="Y5"/>
  <c r="Y14" s="1"/>
  <c r="X5"/>
  <c r="X14" s="1"/>
  <c r="Z6"/>
  <c r="Z15" s="1"/>
  <c r="Y6"/>
  <c r="Y15" s="1"/>
  <c r="V5"/>
  <c r="V14" s="1"/>
  <c r="X6"/>
  <c r="X15" s="1"/>
  <c r="W6"/>
  <c r="W15" s="1"/>
  <c r="X7"/>
  <c r="X16" s="1"/>
  <c r="Z8"/>
  <c r="Z17" s="1"/>
  <c r="Z4"/>
  <c r="Z13" s="1"/>
  <c r="Y4"/>
  <c r="Y13" s="1"/>
  <c r="X8"/>
  <c r="X17" s="1"/>
  <c r="U7" i="12"/>
  <c r="Z3"/>
  <c r="Y7"/>
  <c r="Y5"/>
  <c r="X7"/>
  <c r="X5"/>
  <c r="W7"/>
  <c r="AC4"/>
  <c r="Y9" l="1"/>
  <c r="V9"/>
  <c r="W9"/>
  <c r="X9"/>
  <c r="U9"/>
  <c r="F4" i="2"/>
  <c r="AH8" i="12"/>
  <c r="AH22" s="1"/>
  <c r="AD17"/>
  <c r="W19"/>
  <c r="W17"/>
  <c r="W20"/>
  <c r="R22"/>
  <c r="U17"/>
  <c r="AC6" s="1"/>
  <c r="AC15" s="1"/>
  <c r="W14"/>
  <c r="U11"/>
  <c r="AC3" s="1"/>
  <c r="V20"/>
  <c r="X20"/>
  <c r="V17"/>
  <c r="X17"/>
  <c r="X14"/>
  <c r="X11"/>
  <c r="AF3" s="1"/>
  <c r="V11"/>
  <c r="AD3" s="1"/>
  <c r="W27" i="11"/>
  <c r="W28" s="1"/>
  <c r="X27"/>
  <c r="AG3" i="12"/>
  <c r="W16"/>
  <c r="Y20"/>
  <c r="X18"/>
  <c r="V14"/>
  <c r="U21"/>
  <c r="W21"/>
  <c r="V21"/>
  <c r="Y18"/>
  <c r="X15"/>
  <c r="W15"/>
  <c r="Y15"/>
  <c r="X21"/>
  <c r="W18"/>
  <c r="U15"/>
  <c r="V18"/>
  <c r="Y14"/>
  <c r="W11"/>
  <c r="AE3" s="1"/>
  <c r="U13"/>
  <c r="Y16"/>
  <c r="W13"/>
  <c r="X13"/>
  <c r="X16"/>
  <c r="U19"/>
  <c r="X19"/>
  <c r="V16"/>
  <c r="Y13"/>
  <c r="V19"/>
  <c r="AD4"/>
  <c r="AD13" s="1"/>
  <c r="R9"/>
  <c r="X26" i="11"/>
  <c r="Y26"/>
  <c r="Z26"/>
  <c r="Y27"/>
  <c r="Z27"/>
  <c r="V26"/>
  <c r="V28" s="1"/>
  <c r="AF4" i="12"/>
  <c r="AF13" s="1"/>
  <c r="AE4"/>
  <c r="AE13" s="1"/>
  <c r="Z4"/>
  <c r="Z6"/>
  <c r="AG4"/>
  <c r="Z8"/>
  <c r="AC13"/>
  <c r="X18" i="11"/>
  <c r="Z12" i="12"/>
  <c r="V18" i="11"/>
  <c r="W18"/>
  <c r="Z18"/>
  <c r="Z9"/>
  <c r="Y9"/>
  <c r="Y18"/>
  <c r="X9"/>
  <c r="W9"/>
  <c r="V9"/>
  <c r="Z7" i="12"/>
  <c r="Z5"/>
  <c r="AD12" l="1"/>
  <c r="AG12"/>
  <c r="AE12"/>
  <c r="AF12"/>
  <c r="AH21"/>
  <c r="AH24"/>
  <c r="AH23"/>
  <c r="AH25"/>
  <c r="AE6"/>
  <c r="AE15" s="1"/>
  <c r="Z17"/>
  <c r="AF6"/>
  <c r="AF15" s="1"/>
  <c r="AD7"/>
  <c r="AD16" s="1"/>
  <c r="Z20"/>
  <c r="AD6"/>
  <c r="AD15" s="1"/>
  <c r="X28" i="11"/>
  <c r="K25" i="2" s="1"/>
  <c r="W23" i="11"/>
  <c r="X23"/>
  <c r="V23"/>
  <c r="Z28"/>
  <c r="G13" i="10" s="1"/>
  <c r="Z11" i="12"/>
  <c r="AE5"/>
  <c r="AE7"/>
  <c r="AE16" s="1"/>
  <c r="AC5"/>
  <c r="AG6"/>
  <c r="AG15" s="1"/>
  <c r="Z21"/>
  <c r="AC7"/>
  <c r="AC16" s="1"/>
  <c r="AF7"/>
  <c r="AF16" s="1"/>
  <c r="Z18"/>
  <c r="Z13"/>
  <c r="Z15"/>
  <c r="Z19"/>
  <c r="AG5"/>
  <c r="AG7"/>
  <c r="AG16" s="1"/>
  <c r="AF5"/>
  <c r="Z16"/>
  <c r="Z14"/>
  <c r="AD5"/>
  <c r="Y28" i="11"/>
  <c r="F13" i="10" s="1"/>
  <c r="Y23" i="11"/>
  <c r="Z23"/>
  <c r="AH4" i="12"/>
  <c r="AD24" s="1"/>
  <c r="E18" i="2"/>
  <c r="D7" i="10"/>
  <c r="C7"/>
  <c r="E8" i="2"/>
  <c r="AH3" i="12"/>
  <c r="AC21" s="1"/>
  <c r="E24" i="2"/>
  <c r="E7" i="10"/>
  <c r="E36" i="2"/>
  <c r="G7" i="10"/>
  <c r="E30" i="2"/>
  <c r="F7" i="10"/>
  <c r="AG13" i="12"/>
  <c r="K36" i="2"/>
  <c r="G9" i="10"/>
  <c r="K8" i="2"/>
  <c r="C9" i="10"/>
  <c r="K18" i="2"/>
  <c r="D9" i="10"/>
  <c r="K19" i="2"/>
  <c r="D13" i="10"/>
  <c r="E9"/>
  <c r="K24" i="2"/>
  <c r="F9" i="10"/>
  <c r="K30" i="2"/>
  <c r="K9"/>
  <c r="C13" i="10"/>
  <c r="AC12" i="12"/>
  <c r="E19" i="2" l="1"/>
  <c r="E11" i="10"/>
  <c r="C11"/>
  <c r="AG14" i="12"/>
  <c r="AF14"/>
  <c r="AF18" s="1"/>
  <c r="F5" i="10" s="1"/>
  <c r="AE14" i="12"/>
  <c r="AE18" s="1"/>
  <c r="E5" i="10" s="1"/>
  <c r="AC14" i="12"/>
  <c r="E13" i="10"/>
  <c r="D11"/>
  <c r="E9" i="2"/>
  <c r="E25"/>
  <c r="K37"/>
  <c r="K31"/>
  <c r="AE9" i="12"/>
  <c r="AH7"/>
  <c r="AG25" s="1"/>
  <c r="AH6"/>
  <c r="AF21" s="1"/>
  <c r="AC9"/>
  <c r="AH5"/>
  <c r="AE23" s="1"/>
  <c r="AF9"/>
  <c r="AG9"/>
  <c r="AD14"/>
  <c r="AD9"/>
  <c r="E31" i="2"/>
  <c r="F11" i="10"/>
  <c r="G11"/>
  <c r="E37" i="2"/>
  <c r="AD21" i="12"/>
  <c r="AD22"/>
  <c r="AD23"/>
  <c r="AD25"/>
  <c r="AC22"/>
  <c r="AC25"/>
  <c r="AC24"/>
  <c r="AC23"/>
  <c r="D3" i="10" l="1"/>
  <c r="D4" s="1"/>
  <c r="E23" i="2"/>
  <c r="E29"/>
  <c r="G3" i="10"/>
  <c r="G16" s="1"/>
  <c r="C3"/>
  <c r="C8" s="1"/>
  <c r="AD18" i="12"/>
  <c r="D5" i="10" s="1"/>
  <c r="D17" s="1"/>
  <c r="AC18" i="12"/>
  <c r="C5" i="10" s="1"/>
  <c r="AG18" i="12"/>
  <c r="G5" i="10" s="1"/>
  <c r="G14" s="1"/>
  <c r="E7" i="2"/>
  <c r="AF22" i="12"/>
  <c r="AF23"/>
  <c r="AG22"/>
  <c r="AG23"/>
  <c r="AF24"/>
  <c r="E3" i="10"/>
  <c r="E4" s="1"/>
  <c r="AF25" i="12"/>
  <c r="AG21"/>
  <c r="AG24"/>
  <c r="AE21"/>
  <c r="AE25"/>
  <c r="F3" i="10"/>
  <c r="F4" s="1"/>
  <c r="AE22" i="12"/>
  <c r="AH9"/>
  <c r="AE24"/>
  <c r="E35" i="2"/>
  <c r="E17"/>
  <c r="G8" i="10"/>
  <c r="K29" i="2"/>
  <c r="K23"/>
  <c r="F17" i="10"/>
  <c r="F10"/>
  <c r="F14"/>
  <c r="F6"/>
  <c r="E14"/>
  <c r="E6"/>
  <c r="E10"/>
  <c r="E17"/>
  <c r="J6" i="2"/>
  <c r="G4" i="10" l="1"/>
  <c r="G12"/>
  <c r="C16"/>
  <c r="K7" i="2"/>
  <c r="G17" i="10"/>
  <c r="K35" i="2"/>
  <c r="K34" s="1"/>
  <c r="G10" i="10"/>
  <c r="D12"/>
  <c r="D16"/>
  <c r="C4"/>
  <c r="C12"/>
  <c r="D8"/>
  <c r="G6"/>
  <c r="D14"/>
  <c r="D10"/>
  <c r="D6"/>
  <c r="K17" i="2"/>
  <c r="E4"/>
  <c r="B4" s="1"/>
  <c r="E12"/>
  <c r="E12" i="10"/>
  <c r="F12"/>
  <c r="E8"/>
  <c r="E16"/>
  <c r="F8"/>
  <c r="F16"/>
  <c r="J22" i="2"/>
  <c r="J28"/>
  <c r="J34"/>
  <c r="J16"/>
  <c r="C17" i="10"/>
  <c r="C10"/>
  <c r="C6"/>
  <c r="C14"/>
  <c r="O36" i="2"/>
  <c r="O30"/>
  <c r="O24"/>
  <c r="O37"/>
  <c r="O31"/>
  <c r="O25"/>
  <c r="K28"/>
  <c r="I17" i="10" l="1"/>
  <c r="I16"/>
  <c r="J23" i="2"/>
  <c r="J29"/>
  <c r="J30"/>
  <c r="J31"/>
  <c r="O18"/>
  <c r="J25"/>
  <c r="J24"/>
  <c r="K22"/>
  <c r="O19"/>
  <c r="J17"/>
  <c r="J19"/>
  <c r="J18"/>
  <c r="J7"/>
  <c r="J8"/>
  <c r="J9"/>
  <c r="F34"/>
  <c r="F28"/>
  <c r="F22"/>
  <c r="F6"/>
  <c r="F16"/>
  <c r="AJ15" i="3"/>
  <c r="AJ19" s="1"/>
  <c r="G8" i="2" s="1"/>
  <c r="AJ13" i="3"/>
  <c r="I6" i="2" s="1"/>
  <c r="AJ17" i="3"/>
  <c r="G24" i="2" l="1"/>
  <c r="G18"/>
  <c r="H18" s="1"/>
  <c r="G9"/>
  <c r="G36"/>
  <c r="G30"/>
  <c r="I34"/>
  <c r="I35" s="1"/>
  <c r="I28"/>
  <c r="I29" s="1"/>
  <c r="I22"/>
  <c r="I23" s="1"/>
  <c r="L23" s="1"/>
  <c r="I16"/>
  <c r="I17" s="1"/>
  <c r="I7"/>
  <c r="L7" s="1"/>
  <c r="F2"/>
  <c r="J37"/>
  <c r="J35"/>
  <c r="J36"/>
  <c r="L17"/>
  <c r="L29"/>
  <c r="H8"/>
  <c r="G31" l="1"/>
  <c r="G25"/>
  <c r="G19"/>
  <c r="G37"/>
  <c r="L35"/>
  <c r="P17"/>
  <c r="P23"/>
  <c r="P35"/>
  <c r="P29"/>
  <c r="L18"/>
  <c r="L8"/>
  <c r="K16"/>
  <c r="H30"/>
  <c r="H9"/>
  <c r="L9" s="1"/>
  <c r="H19"/>
  <c r="L19" s="1"/>
  <c r="E6"/>
  <c r="E16"/>
  <c r="E28"/>
  <c r="E22"/>
  <c r="E34"/>
  <c r="Q35" l="1"/>
  <c r="S35" s="1"/>
  <c r="Q29"/>
  <c r="Q23"/>
  <c r="T23" s="1"/>
  <c r="Q17"/>
  <c r="U17" s="1"/>
  <c r="P12"/>
  <c r="Q12" s="1"/>
  <c r="W12" s="1"/>
  <c r="E2"/>
  <c r="H16"/>
  <c r="L30"/>
  <c r="H6"/>
  <c r="K6"/>
  <c r="K2" s="1"/>
  <c r="H24"/>
  <c r="W17" l="1"/>
  <c r="T17"/>
  <c r="R17"/>
  <c r="R35"/>
  <c r="U35"/>
  <c r="T35"/>
  <c r="W35"/>
  <c r="V35"/>
  <c r="U29"/>
  <c r="T29"/>
  <c r="W29"/>
  <c r="S29"/>
  <c r="V29"/>
  <c r="R29"/>
  <c r="U12"/>
  <c r="W23"/>
  <c r="U23"/>
  <c r="V23"/>
  <c r="R12"/>
  <c r="R23"/>
  <c r="S12"/>
  <c r="S23"/>
  <c r="T12"/>
  <c r="V12"/>
  <c r="S17"/>
  <c r="V17"/>
  <c r="L24"/>
  <c r="M30"/>
  <c r="N30"/>
  <c r="N18"/>
  <c r="M18"/>
  <c r="M19"/>
  <c r="N19"/>
  <c r="H25"/>
  <c r="L25" s="1"/>
  <c r="H31"/>
  <c r="L6"/>
  <c r="L16"/>
  <c r="H22" l="1"/>
  <c r="L31"/>
  <c r="H28"/>
  <c r="M24"/>
  <c r="N24"/>
  <c r="H36"/>
  <c r="L36" l="1"/>
  <c r="L28"/>
  <c r="M31"/>
  <c r="N31"/>
  <c r="L22"/>
  <c r="M25"/>
  <c r="N25"/>
  <c r="H37"/>
  <c r="L37" s="1"/>
  <c r="H34" l="1"/>
  <c r="N36"/>
  <c r="M36"/>
  <c r="L34" l="1"/>
  <c r="L2" s="1"/>
  <c r="M37"/>
  <c r="N37"/>
</calcChain>
</file>

<file path=xl/comments1.xml><?xml version="1.0" encoding="utf-8"?>
<comments xmlns="http://schemas.openxmlformats.org/spreadsheetml/2006/main">
  <authors>
    <author>Boris Paul Kobal</author>
    <author>t52274</author>
  </authors>
  <commentList>
    <comment ref="I6" authorId="0">
      <text>
        <r>
          <rPr>
            <b/>
            <sz val="8"/>
            <color indexed="81"/>
            <rFont val="Tahoma"/>
            <family val="2"/>
          </rPr>
          <t>OCT13 YTD scaled up to full year</t>
        </r>
      </text>
    </comment>
    <comment ref="J6" authorId="1">
      <text>
        <r>
          <rPr>
            <sz val="8"/>
            <color indexed="81"/>
            <rFont val="Tahoma"/>
            <family val="2"/>
          </rPr>
          <t>Oct13 YTD then extrapolated to full year then increased
110% reflective of ~ 50k nmi increase of meters</t>
        </r>
      </text>
    </comment>
    <comment ref="G8" authorId="0">
      <text>
        <r>
          <rPr>
            <b/>
            <sz val="8"/>
            <color indexed="81"/>
            <rFont val="Tahoma"/>
            <family val="2"/>
          </rPr>
          <t>Projected rate with Oct13 YTD costs and volumes</t>
        </r>
      </text>
    </comment>
    <comment ref="G9" authorId="0">
      <text>
        <r>
          <rPr>
            <b/>
            <sz val="8"/>
            <color indexed="81"/>
            <rFont val="Tahoma"/>
            <family val="2"/>
          </rPr>
          <t>Projected rate with Oct13 YTD costs and volumes - but discounted for reduced travel time - 18 minutes of fully costed average hourly ratefor metering technician</t>
        </r>
      </text>
    </comment>
    <comment ref="R13" authorId="0">
      <text>
        <r>
          <rPr>
            <b/>
            <sz val="8"/>
            <color indexed="81"/>
            <rFont val="Tahoma"/>
            <family val="2"/>
          </rPr>
          <t>Single Phase Single Element Two Wire Direct Connected Accumulation Watt-hour Meter</t>
        </r>
      </text>
    </comment>
    <comment ref="S13" authorId="0">
      <text>
        <r>
          <rPr>
            <b/>
            <sz val="8"/>
            <color indexed="81"/>
            <rFont val="Tahoma"/>
            <family val="2"/>
          </rPr>
          <t>Three Phase Single Element Four Wire Direct Connected Accumulation Watt-hour Meter</t>
        </r>
      </text>
    </comment>
    <comment ref="T13" authorId="0">
      <text>
        <r>
          <rPr>
            <b/>
            <sz val="8"/>
            <color indexed="81"/>
            <rFont val="Tahoma"/>
            <family val="2"/>
          </rPr>
          <t>Single Phase Single Element Two Wire Direct Connected Interval Watt-hour Meter</t>
        </r>
      </text>
    </comment>
    <comment ref="U13" authorId="0">
      <text>
        <r>
          <rPr>
            <b/>
            <sz val="8"/>
            <color indexed="81"/>
            <rFont val="Tahoma"/>
            <family val="2"/>
          </rPr>
          <t>Single Phase Dual Element Two Wire Direct Connected Interval Watt-hour Meter</t>
        </r>
      </text>
    </comment>
    <comment ref="V13" authorId="0">
      <text>
        <r>
          <rPr>
            <b/>
            <sz val="8"/>
            <color indexed="81"/>
            <rFont val="Tahoma"/>
            <family val="2"/>
          </rPr>
          <t>Three Phase Single Element Four Wire Direct Connected Interval Watt-hour Meter</t>
        </r>
      </text>
    </comment>
    <comment ref="W13" authorId="0">
      <text>
        <r>
          <rPr>
            <b/>
            <sz val="8"/>
            <color indexed="81"/>
            <rFont val="Tahoma"/>
            <family val="2"/>
          </rPr>
          <t>Three Phase Single Element CT Connected Interval Watt-hour Meter</t>
        </r>
      </text>
    </comment>
    <comment ref="I16" authorId="0">
      <text>
        <r>
          <rPr>
            <b/>
            <sz val="8"/>
            <color indexed="81"/>
            <rFont val="Tahoma"/>
            <family val="2"/>
          </rPr>
          <t>20% increase due to new &amp; upgrades increase for SBS gross to Net</t>
        </r>
      </text>
    </comment>
    <comment ref="J16" authorId="1">
      <text>
        <r>
          <rPr>
            <b/>
            <sz val="8"/>
            <color indexed="81"/>
            <rFont val="Tahoma"/>
            <family val="2"/>
          </rPr>
          <t>t52274:</t>
        </r>
        <r>
          <rPr>
            <sz val="8"/>
            <color indexed="81"/>
            <rFont val="Tahoma"/>
            <family val="2"/>
          </rPr>
          <t xml:space="preserve">
Further 5 % increase indicative of ~25k nmi increase SBS gross to Net</t>
        </r>
      </text>
    </comment>
    <comment ref="I22" authorId="0">
      <text>
        <r>
          <rPr>
            <b/>
            <sz val="8"/>
            <color indexed="81"/>
            <rFont val="Tahoma"/>
            <family val="2"/>
          </rPr>
          <t>20% increase due to new &amp; upgrades increase for SBS gross to Net</t>
        </r>
      </text>
    </comment>
    <comment ref="J22" authorId="1">
      <text>
        <r>
          <rPr>
            <b/>
            <sz val="8"/>
            <color indexed="81"/>
            <rFont val="Tahoma"/>
            <family val="2"/>
          </rPr>
          <t>t52274:</t>
        </r>
        <r>
          <rPr>
            <sz val="8"/>
            <color indexed="81"/>
            <rFont val="Tahoma"/>
            <family val="2"/>
          </rPr>
          <t xml:space="preserve">
Further 5 % increase indicative of ~25k nmi increase SBS gross to Net</t>
        </r>
      </text>
    </comment>
    <comment ref="I28" authorId="0">
      <text>
        <r>
          <rPr>
            <b/>
            <sz val="8"/>
            <color indexed="81"/>
            <rFont val="Tahoma"/>
            <family val="2"/>
          </rPr>
          <t>Logistics costs back to same level as FY15</t>
        </r>
      </text>
    </comment>
    <comment ref="J28" authorId="1">
      <text>
        <r>
          <rPr>
            <b/>
            <sz val="8"/>
            <color indexed="81"/>
            <rFont val="Tahoma"/>
            <family val="2"/>
          </rPr>
          <t>Back to the original level of Meter Release, Acceptance and Handling</t>
        </r>
      </text>
    </comment>
    <comment ref="I34" authorId="0">
      <text>
        <r>
          <rPr>
            <b/>
            <sz val="8"/>
            <color indexed="81"/>
            <rFont val="Tahoma"/>
            <family val="2"/>
          </rPr>
          <t>Logistics costs back to same level as FY15</t>
        </r>
      </text>
    </comment>
    <comment ref="J34" authorId="1">
      <text>
        <r>
          <rPr>
            <b/>
            <sz val="8"/>
            <color indexed="81"/>
            <rFont val="Tahoma"/>
            <family val="2"/>
          </rPr>
          <t>Back to the original level of Meter Release, Acceptance and Handling</t>
        </r>
      </text>
    </comment>
  </commentList>
</comments>
</file>

<file path=xl/comments2.xml><?xml version="1.0" encoding="utf-8"?>
<comments xmlns="http://schemas.openxmlformats.org/spreadsheetml/2006/main">
  <authors>
    <author>Boris Paul Kobal</author>
  </authors>
  <commentList>
    <comment ref="E3" authorId="0">
      <text>
        <r>
          <rPr>
            <b/>
            <sz val="8"/>
            <color indexed="81"/>
            <rFont val="Tahoma"/>
            <family val="2"/>
          </rPr>
          <t>SSDM Database</t>
        </r>
      </text>
    </comment>
    <comment ref="F3" authorId="0">
      <text>
        <r>
          <rPr>
            <b/>
            <sz val="8"/>
            <color indexed="81"/>
            <rFont val="Tahoma"/>
            <family val="2"/>
          </rPr>
          <t>SSDM Database</t>
        </r>
      </text>
    </comment>
    <comment ref="G3" authorId="0">
      <text>
        <r>
          <rPr>
            <b/>
            <sz val="8"/>
            <color indexed="81"/>
            <rFont val="Tahoma"/>
            <family val="2"/>
          </rPr>
          <t>SSDM Database</t>
        </r>
      </text>
    </comment>
    <comment ref="H3" authorId="0">
      <text>
        <r>
          <rPr>
            <b/>
            <sz val="8"/>
            <color indexed="81"/>
            <rFont val="Tahoma"/>
            <family val="2"/>
          </rPr>
          <t>SSDM Database</t>
        </r>
      </text>
    </comment>
    <comment ref="I3" authorId="0">
      <text>
        <r>
          <rPr>
            <b/>
            <sz val="8"/>
            <color indexed="81"/>
            <rFont val="Tahoma"/>
            <family val="2"/>
          </rPr>
          <t>SSDM Database</t>
        </r>
      </text>
    </comment>
    <comment ref="E7" authorId="0">
      <text>
        <r>
          <rPr>
            <b/>
            <sz val="8"/>
            <color indexed="81"/>
            <rFont val="Tahoma"/>
            <family val="2"/>
          </rPr>
          <t>SSDM Database</t>
        </r>
      </text>
    </comment>
    <comment ref="F7" authorId="0">
      <text>
        <r>
          <rPr>
            <b/>
            <sz val="8"/>
            <color indexed="81"/>
            <rFont val="Tahoma"/>
            <family val="2"/>
          </rPr>
          <t>SSDM Database</t>
        </r>
      </text>
    </comment>
    <comment ref="G7" authorId="0">
      <text>
        <r>
          <rPr>
            <b/>
            <sz val="8"/>
            <color indexed="81"/>
            <rFont val="Tahoma"/>
            <family val="2"/>
          </rPr>
          <t>SSDM Database</t>
        </r>
      </text>
    </comment>
    <comment ref="H7" authorId="0">
      <text>
        <r>
          <rPr>
            <b/>
            <sz val="8"/>
            <color indexed="81"/>
            <rFont val="Tahoma"/>
            <family val="2"/>
          </rPr>
          <t>SSDM Database</t>
        </r>
      </text>
    </comment>
    <comment ref="I7" authorId="0">
      <text>
        <r>
          <rPr>
            <b/>
            <sz val="8"/>
            <color indexed="81"/>
            <rFont val="Tahoma"/>
            <family val="2"/>
          </rPr>
          <t>SSDM Database</t>
        </r>
      </text>
    </comment>
  </commentList>
</comments>
</file>

<file path=xl/sharedStrings.xml><?xml version="1.0" encoding="utf-8"?>
<sst xmlns="http://schemas.openxmlformats.org/spreadsheetml/2006/main" count="1034" uniqueCount="574">
  <si>
    <t>Ancillary
Service</t>
  </si>
  <si>
    <t>Customer
funded</t>
  </si>
  <si>
    <t>Type 5 New NET Solar Installations</t>
  </si>
  <si>
    <t>Type 5 SBS GROSS to NET Conversion Solar Installations</t>
  </si>
  <si>
    <t>Installation
Cost to Customer</t>
  </si>
  <si>
    <t>Alternate Control Service</t>
  </si>
  <si>
    <t>Failed Meter Population - AZ / BAZ / SD</t>
  </si>
  <si>
    <t>Faulty MRIM meters (predominantly ZMIS Service Orders)</t>
  </si>
  <si>
    <t>NEW</t>
  </si>
  <si>
    <t>UPGRADE</t>
  </si>
  <si>
    <t>REACTIVE REPLACEMENT</t>
  </si>
  <si>
    <t>PROACTIVE REPLACEMENT</t>
  </si>
  <si>
    <t>Category</t>
  </si>
  <si>
    <t>Description</t>
  </si>
  <si>
    <t>NMI's
FY15</t>
  </si>
  <si>
    <t>NMI's
FY16</t>
  </si>
  <si>
    <t>NMI's
FY17</t>
  </si>
  <si>
    <t>NMI's
FY18</t>
  </si>
  <si>
    <t>NMI's
FY19</t>
  </si>
  <si>
    <t>Total</t>
  </si>
  <si>
    <t>CUBE:</t>
  </si>
  <si>
    <t>tm1prod:SAP Orders - Internal</t>
  </si>
  <si>
    <t>tm1prod:SAP Cost Centres</t>
  </si>
  <si>
    <t>tm1prod:SAP Orders - Network</t>
  </si>
  <si>
    <t>tm1prod:Year - post-iAMS</t>
  </si>
  <si>
    <t>All Project Types</t>
  </si>
  <si>
    <t>tm1prod:Version - CO</t>
  </si>
  <si>
    <t>Actual</t>
  </si>
  <si>
    <t>Budget</t>
  </si>
  <si>
    <t>WBS HIERARCHY</t>
  </si>
  <si>
    <t>tm1prod:Partner Cost Centre</t>
  </si>
  <si>
    <t>Partner Cost Centre</t>
  </si>
  <si>
    <t>tm1prod:Functional Area</t>
  </si>
  <si>
    <t>All Functional Areas</t>
  </si>
  <si>
    <t>tm1prod:Job Number</t>
  </si>
  <si>
    <t>All Job Numbers</t>
  </si>
  <si>
    <t>tm1prod:Product Code</t>
  </si>
  <si>
    <t>All Product Codes</t>
  </si>
  <si>
    <t>tm1prod:Project Code</t>
  </si>
  <si>
    <t>All Project Codes</t>
  </si>
  <si>
    <t>tm1prod:Profit Centre</t>
  </si>
  <si>
    <t>30009</t>
  </si>
  <si>
    <t>30009 - Metering Operations</t>
  </si>
  <si>
    <t>tm1prod:Cost Centre</t>
  </si>
  <si>
    <t>EA3</t>
  </si>
  <si>
    <t>Year</t>
  </si>
  <si>
    <t>LOB-OPEX</t>
  </si>
  <si>
    <t>Amount</t>
  </si>
  <si>
    <t>Detailed Expenditure for YTD October 2013</t>
  </si>
  <si>
    <t>LOB-LABOUR - Labour plus Oncosts</t>
  </si>
  <si>
    <t>LOB-CONT</t>
  </si>
  <si>
    <t>LOB-MAT</t>
  </si>
  <si>
    <t>Labour</t>
  </si>
  <si>
    <t>Contracted Servies</t>
  </si>
  <si>
    <t>Materials</t>
  </si>
  <si>
    <t>Other</t>
  </si>
  <si>
    <t>Total Operational Expenditure</t>
  </si>
  <si>
    <t>Variance</t>
  </si>
  <si>
    <t>Extrpolated Costs (X 3)</t>
  </si>
  <si>
    <t>FY12/13 Costs</t>
  </si>
  <si>
    <t>Cost Items $'000</t>
  </si>
  <si>
    <t>Oct YTD</t>
  </si>
  <si>
    <t>Full Year</t>
  </si>
  <si>
    <t>Jun YTD</t>
  </si>
  <si>
    <t>System Capital - Network Activities</t>
  </si>
  <si>
    <t>900003613-3002</t>
  </si>
  <si>
    <t>Accept Testing - Polyphase Meters 4613</t>
  </si>
  <si>
    <t>900003613-3003</t>
  </si>
  <si>
    <t>Accept Testing - Single Phase Meter 4613</t>
  </si>
  <si>
    <t>264850043</t>
  </si>
  <si>
    <t>900003613-3001</t>
  </si>
  <si>
    <t>Acceptance Testing - Communications 4613</t>
  </si>
  <si>
    <t>900003613-3004</t>
  </si>
  <si>
    <t>Reconfiguring Metering Equipment 4613</t>
  </si>
  <si>
    <t>264850042</t>
  </si>
  <si>
    <t>900003613-3005</t>
  </si>
  <si>
    <t>Release of Metering Equipment 4613</t>
  </si>
  <si>
    <t>900003613-3010</t>
  </si>
  <si>
    <t>SG/SC - Lab Acceptance Testing</t>
  </si>
  <si>
    <t>900003613-3011</t>
  </si>
  <si>
    <t>SG/SC - Lab Meter Release</t>
  </si>
  <si>
    <t>900003613-3006</t>
  </si>
  <si>
    <t>Solar Bonus-Meter Release &amp; Config 4613</t>
  </si>
  <si>
    <t>900003613-3012</t>
  </si>
  <si>
    <t>SG/SC - Subseq. Acceptance Testing</t>
  </si>
  <si>
    <t>900003613-3013</t>
  </si>
  <si>
    <t>SG/SC - Subseq. Meter Release</t>
  </si>
  <si>
    <t>900003681-3002</t>
  </si>
  <si>
    <t>AMR Meter Replacement</t>
  </si>
  <si>
    <t>900003613-1004</t>
  </si>
  <si>
    <t>EA Network - Bi-Directional Meter Equip</t>
  </si>
  <si>
    <t>264850067</t>
  </si>
  <si>
    <t>900003613-1001</t>
  </si>
  <si>
    <t>EA Network - Meters &amp; Communication Equi</t>
  </si>
  <si>
    <t>900003613-1002</t>
  </si>
  <si>
    <t>Franchise Meter Comms return from Situ</t>
  </si>
  <si>
    <t>264850065</t>
  </si>
  <si>
    <t>900003613-1005</t>
  </si>
  <si>
    <t>Franchise Meters - ASP</t>
  </si>
  <si>
    <t>900003602-1009</t>
  </si>
  <si>
    <t>Franchise CT Meter Inatall - CC</t>
  </si>
  <si>
    <t>900003602-1010</t>
  </si>
  <si>
    <t>Franchise CT Meter Install - Hunter</t>
  </si>
  <si>
    <t>900003602-1011</t>
  </si>
  <si>
    <t>Franchise CT Meter Install - Syd Nth</t>
  </si>
  <si>
    <t>264850032</t>
  </si>
  <si>
    <t>900003602-1012</t>
  </si>
  <si>
    <t>Franchise CT Meter Install - Syd Sth</t>
  </si>
  <si>
    <t>900003613-1000</t>
  </si>
  <si>
    <t>Franchise Whole Current New Installation</t>
  </si>
  <si>
    <t>900003613-1009</t>
  </si>
  <si>
    <t>Install Franchise WC Meter - CC</t>
  </si>
  <si>
    <t>900003613-1010</t>
  </si>
  <si>
    <t>Install Franchise WC Meter - Hunter</t>
  </si>
  <si>
    <t>900003613-1011</t>
  </si>
  <si>
    <t>Install Franchise WC Meter - Syd Nth</t>
  </si>
  <si>
    <t>264850035</t>
  </si>
  <si>
    <t>900003613-1012</t>
  </si>
  <si>
    <t>Install Franchise WC Meter - Syd Sth</t>
  </si>
  <si>
    <t>900003613-1003</t>
  </si>
  <si>
    <t>Meter Equip Handling</t>
  </si>
  <si>
    <t>900003681-1009</t>
  </si>
  <si>
    <t>Replace Failed Meter Pop'n - CC</t>
  </si>
  <si>
    <t>900003681-1010</t>
  </si>
  <si>
    <t>Replace Failed Meter Pop'n - Hunter</t>
  </si>
  <si>
    <t>900003681-1011</t>
  </si>
  <si>
    <t>Replace Failed Meter Pop'n - Syd Nth</t>
  </si>
  <si>
    <t>900003681-1012</t>
  </si>
  <si>
    <t>Replace Failed Meter Pop'n - Syd Sth</t>
  </si>
  <si>
    <t>264850034</t>
  </si>
  <si>
    <t>900003681-1000</t>
  </si>
  <si>
    <t>Replace Failed Meter Pop'n Proj Mgmt</t>
  </si>
  <si>
    <t>900003613-1017</t>
  </si>
  <si>
    <t>ZMIS Meter Replacement - CC</t>
  </si>
  <si>
    <t>900003613-1013</t>
  </si>
  <si>
    <t>ZMIS Meter Replacement - Hunter</t>
  </si>
  <si>
    <t>900003613-1014</t>
  </si>
  <si>
    <t>ZMIS Meter Replacement - Syd Nth</t>
  </si>
  <si>
    <t>264850036</t>
  </si>
  <si>
    <t>900003613-1015</t>
  </si>
  <si>
    <t>ZMIS Meter Replacement - Syd Sth</t>
  </si>
  <si>
    <t>Total System Capital - Network Activities</t>
  </si>
  <si>
    <t>Non-System Capital - Network Activities</t>
  </si>
  <si>
    <t>265850061</t>
  </si>
  <si>
    <t>900000013-1001</t>
  </si>
  <si>
    <t>Contestable Meters (4611)</t>
  </si>
  <si>
    <t>900000013-1002</t>
  </si>
  <si>
    <t>Contestable Metering Project Co-ord</t>
  </si>
  <si>
    <t>900000013-1003</t>
  </si>
  <si>
    <t>Meters &amp; Comms Return from Situ (4611)</t>
  </si>
  <si>
    <t>900000013-1004</t>
  </si>
  <si>
    <t>Contestable Comms (4611)</t>
  </si>
  <si>
    <t>900000013-1005</t>
  </si>
  <si>
    <t>Installs - Regional NSW (4611)</t>
  </si>
  <si>
    <t>900000013-1006</t>
  </si>
  <si>
    <t>Installs - QLD (4611)</t>
  </si>
  <si>
    <t>900000013-1007</t>
  </si>
  <si>
    <t>Installs - SA (4611)</t>
  </si>
  <si>
    <t>900000013-1008</t>
  </si>
  <si>
    <t>Installs - VIC (4611)</t>
  </si>
  <si>
    <t>900000013-1009</t>
  </si>
  <si>
    <t>Installs - Integral (4611)</t>
  </si>
  <si>
    <t>900000013-1010</t>
  </si>
  <si>
    <t>Installs - Hunter (4611)</t>
  </si>
  <si>
    <t>900000013-1011</t>
  </si>
  <si>
    <t>Installs - Syd Nth (4611)</t>
  </si>
  <si>
    <t>900000013-1012</t>
  </si>
  <si>
    <t>Installs - Syd Sth (4611)</t>
  </si>
  <si>
    <t>900000013-1013</t>
  </si>
  <si>
    <t>Installs - CC (4611)</t>
  </si>
  <si>
    <t>900000013-3001</t>
  </si>
  <si>
    <t>EA Retail Mtr Instl Lrg Cust (4613)</t>
  </si>
  <si>
    <t>900000013-3002</t>
  </si>
  <si>
    <t>Ext Retailer Installs Lrg Cust (4613)</t>
  </si>
  <si>
    <t>Total Non-System Network Activities</t>
  </si>
  <si>
    <t>Total Internal Orders</t>
  </si>
  <si>
    <t>Internal Orders 30009 - Metering Operations</t>
  </si>
  <si>
    <t>Detailed Expenditure for YTD June 2013</t>
  </si>
  <si>
    <t>264850089</t>
  </si>
  <si>
    <t>264850090</t>
  </si>
  <si>
    <t>264850091</t>
  </si>
  <si>
    <t>264850092</t>
  </si>
  <si>
    <t>264850097</t>
  </si>
  <si>
    <t>264850098</t>
  </si>
  <si>
    <t>264850099</t>
  </si>
  <si>
    <t>264850100</t>
  </si>
  <si>
    <t>264850105</t>
  </si>
  <si>
    <t>264850106</t>
  </si>
  <si>
    <t>264850107</t>
  </si>
  <si>
    <t>264850108</t>
  </si>
  <si>
    <t>264850101</t>
  </si>
  <si>
    <t>264850102</t>
  </si>
  <si>
    <t>264850103</t>
  </si>
  <si>
    <t>264850104</t>
  </si>
  <si>
    <t>264850093</t>
  </si>
  <si>
    <t>900019541-1009</t>
  </si>
  <si>
    <t>TOU Opt-In Installations - CC</t>
  </si>
  <si>
    <t>264850094</t>
  </si>
  <si>
    <t>900019541-1010</t>
  </si>
  <si>
    <t>TOU Opt-In Installations - Hunter</t>
  </si>
  <si>
    <t>264850095</t>
  </si>
  <si>
    <t>900019541-1011</t>
  </si>
  <si>
    <t>TOU Opt-In Installations - Syd Nth</t>
  </si>
  <si>
    <t>264850096</t>
  </si>
  <si>
    <t>900019541-1012</t>
  </si>
  <si>
    <t>TOU Opt-In Installations - Syd Sth</t>
  </si>
  <si>
    <t>N/A</t>
  </si>
  <si>
    <t>Install Volumes (@ Oct 2013)</t>
  </si>
  <si>
    <t>Install Labour Costs (ex CT Installs) (@ Oct 2013)</t>
  </si>
  <si>
    <t>Work Category</t>
  </si>
  <si>
    <t>FY15</t>
  </si>
  <si>
    <t>FY16</t>
  </si>
  <si>
    <t>FY17</t>
  </si>
  <si>
    <t>FY18</t>
  </si>
  <si>
    <t>FY19</t>
  </si>
  <si>
    <t>Proportions</t>
  </si>
  <si>
    <t>NEW/UPGRADE</t>
  </si>
  <si>
    <t>Number of Meters</t>
  </si>
  <si>
    <t>Proportion by Meter Number</t>
  </si>
  <si>
    <t>Value of Meters</t>
  </si>
  <si>
    <t>Proportion by Meter Value</t>
  </si>
  <si>
    <t>TOTAL</t>
  </si>
  <si>
    <t>Meters</t>
  </si>
  <si>
    <t>NMI's</t>
  </si>
  <si>
    <t>B1</t>
  </si>
  <si>
    <t>B3</t>
  </si>
  <si>
    <t>E1</t>
  </si>
  <si>
    <t>E2</t>
  </si>
  <si>
    <t>E3</t>
  </si>
  <si>
    <t>E4</t>
  </si>
  <si>
    <t>TOTAL NMI</t>
  </si>
  <si>
    <t>Type 5 New Current Transformer Connected Customers</t>
  </si>
  <si>
    <t>Type 5 New Direct Connected Customers</t>
  </si>
  <si>
    <t>Type 6 New Direct Connected Customers</t>
  </si>
  <si>
    <t>Type 6 Upgrade Direct Connected Customers</t>
  </si>
  <si>
    <t>Type 5 Upgrade Direct Connected Customers</t>
  </si>
  <si>
    <t>MP(MOG) Install Labour Unit Cost</t>
  </si>
  <si>
    <t>Value of Meters in FY14 dollars</t>
  </si>
  <si>
    <t>MP(MOG) Install
Labour
Total
Cost</t>
  </si>
  <si>
    <t>Total
Cost
per
NMI</t>
  </si>
  <si>
    <t>Meters Required and Ratio to NMI</t>
  </si>
  <si>
    <t>Meters
FY15</t>
  </si>
  <si>
    <t>Meters
FY16</t>
  </si>
  <si>
    <t>Meters
FY17</t>
  </si>
  <si>
    <t>Meters
FY18</t>
  </si>
  <si>
    <t>Meters
FY19</t>
  </si>
  <si>
    <t>Value
FY15</t>
  </si>
  <si>
    <t>Value
FY16</t>
  </si>
  <si>
    <t>Value
FY17</t>
  </si>
  <si>
    <t>Value
FY18</t>
  </si>
  <si>
    <t>Value
FY19</t>
  </si>
  <si>
    <t>Meters Requried and Ratio to NMI</t>
  </si>
  <si>
    <t>BAZ</t>
  </si>
  <si>
    <t>AZ</t>
  </si>
  <si>
    <t>SD</t>
  </si>
  <si>
    <t>NEW CONNECTIONS</t>
  </si>
  <si>
    <t>Estimated Frequency of Occurrence</t>
  </si>
  <si>
    <t>Metering
Equipment
Cost - MRIM</t>
  </si>
  <si>
    <t>Metering
Equipment
Cost - BASIC</t>
  </si>
  <si>
    <t>MRIM</t>
  </si>
  <si>
    <t>BASIC</t>
  </si>
  <si>
    <t>OVERALL NMI/METER RATIO</t>
  </si>
  <si>
    <t>Single Phase</t>
  </si>
  <si>
    <t>Single Phase with OP(CLC)</t>
  </si>
  <si>
    <t>B1+B1+LCU</t>
  </si>
  <si>
    <t>Three Phase</t>
  </si>
  <si>
    <t>Three Phase with OP(CLC)</t>
  </si>
  <si>
    <t>E3+E1+LCU</t>
  </si>
  <si>
    <t>B3+B1+LCU</t>
  </si>
  <si>
    <t>UPGRADE ASP CONNECTIONS
NEW NET SOLAR CONNECTION
SBS to NET CONVERSION</t>
  </si>
  <si>
    <t>REACTIVE REPLACEMENT
Meter/NMI Ratio = 1.00</t>
  </si>
  <si>
    <t>Two Phase</t>
  </si>
  <si>
    <t>Replace E3 or E1</t>
  </si>
  <si>
    <t>Replace B3 or B1</t>
  </si>
  <si>
    <t>Three Phase CT</t>
  </si>
  <si>
    <t>#</t>
  </si>
  <si>
    <t>Hardware
Replacement
Cost</t>
  </si>
  <si>
    <t>Individual Meter/Total NMI Ratio</t>
  </si>
  <si>
    <t>Total NMI's</t>
  </si>
  <si>
    <t>Total Meters at thes NMI's</t>
  </si>
  <si>
    <t>Meter/NMI Ratio</t>
  </si>
  <si>
    <t>Replaceable Meters at these NMI's</t>
  </si>
  <si>
    <t>Replaceable Meters / Total NMI Ratio</t>
  </si>
  <si>
    <t>AVERAGE of Available prices
(Ex GST)</t>
  </si>
  <si>
    <t>Meter Release, Acceptance Test and  Handling Costs</t>
  </si>
  <si>
    <t>FY14 Prices, no escalation</t>
  </si>
  <si>
    <t>Meter Materials Costs</t>
  </si>
  <si>
    <t>Total Cost</t>
  </si>
  <si>
    <t>FY 2015 - CAPITAL</t>
  </si>
  <si>
    <t>FY 2016 - CAPITAL</t>
  </si>
  <si>
    <t>FY 2017 - CAPITAL</t>
  </si>
  <si>
    <t>FY 2018 - CAPITAL</t>
  </si>
  <si>
    <t>FY 2019 - CAPITAL</t>
  </si>
  <si>
    <t>FY 2016  -Up Front Meter Price for New &amp; Upgrade</t>
  </si>
  <si>
    <t>FY 2017  -Up Front Meter Price for New &amp; Upgrade</t>
  </si>
  <si>
    <t>FY 2018  -Up Front Meter Price for New &amp; Upgrade</t>
  </si>
  <si>
    <t>FY 2019  -Up Front Meter Price for New &amp; Upgrade</t>
  </si>
  <si>
    <t>Meter Volume proportions of Total</t>
  </si>
  <si>
    <t>Meter Volumes and Totals</t>
  </si>
  <si>
    <t>Total Meters</t>
  </si>
  <si>
    <t>Material
Cost
per
NMI</t>
  </si>
  <si>
    <t>REACTIVE REPLACEMENT - Replacing faulty interval and accumulation meters</t>
  </si>
  <si>
    <t>NEW &amp; UPGRADE -  Supply of LVCT and WC meters for New and Upgrade Type 5 &amp; 6 customer</t>
  </si>
  <si>
    <t>PROACTIVE REPLACEMENT - Replacing failed meter populations, specifically meter modesl Email AZ, BAZ &amp; SD</t>
  </si>
  <si>
    <t>Meter Hardware Only-&gt;</t>
  </si>
  <si>
    <t>Assessment</t>
  </si>
  <si>
    <t>Aligns with the long run projections</t>
  </si>
  <si>
    <t>As per identified meter populations for replacement</t>
  </si>
  <si>
    <t>Non-Material
Cost
per
NMI</t>
  </si>
  <si>
    <t>Change in Total Customers</t>
  </si>
  <si>
    <t>12/13 Total Actual</t>
  </si>
  <si>
    <t>NMIs</t>
  </si>
  <si>
    <t>New and Upgraded Installations</t>
  </si>
  <si>
    <t>New and Upgraded Installations (Solar)</t>
  </si>
  <si>
    <t>New CT Install</t>
  </si>
  <si>
    <t>NMI's
FY13</t>
  </si>
  <si>
    <t>NMI's
FY12</t>
  </si>
  <si>
    <t>NMI's
FY11</t>
  </si>
  <si>
    <t>NMI's
FY10</t>
  </si>
  <si>
    <t>TOTAL NEW</t>
  </si>
  <si>
    <t>From 1 July 2014, Ausgrid adopts an Accumulation Meter as Default metering strategy.  Exceptions include CT metering, connections &gt;40MWh PA and Embedded Generation, which remains with Interval Metering plus any opt-in to ToU pricing.  Estimate of 90% Accumulation and 10% Interval</t>
  </si>
  <si>
    <t>Projected to follow the trend of new CT connections with starting base of the average of the last regulatory period</t>
  </si>
  <si>
    <t>NMI's
FY14 
(Proj)</t>
  </si>
  <si>
    <t>%</t>
  </si>
  <si>
    <t>Single Phase with OP</t>
  </si>
  <si>
    <t>Three Phase with OP</t>
  </si>
  <si>
    <t>Two Phase with OP</t>
  </si>
  <si>
    <t xml:space="preserve">Others </t>
  </si>
  <si>
    <t>Existing Population - E61960 (Jan2014)</t>
  </si>
  <si>
    <t>Adjusted</t>
  </si>
  <si>
    <t>Tariff quantities</t>
  </si>
  <si>
    <t>Customer Numbers</t>
  </si>
  <si>
    <t>2013-14</t>
  </si>
  <si>
    <t>2014-15</t>
  </si>
  <si>
    <t>2015-16</t>
  </si>
  <si>
    <t>2016-17</t>
  </si>
  <si>
    <t>2017-18</t>
  </si>
  <si>
    <t>2018-19</t>
  </si>
  <si>
    <t>EA010</t>
  </si>
  <si>
    <t>LV Res non-TOU (Closed)</t>
  </si>
  <si>
    <t>EA025</t>
  </si>
  <si>
    <t>LV Res &lt;40 MWh (System)</t>
  </si>
  <si>
    <t>EA026</t>
  </si>
  <si>
    <t>LV Energy40 ToU (substation)</t>
  </si>
  <si>
    <t>EA030</t>
  </si>
  <si>
    <t>Controlled Load 1</t>
  </si>
  <si>
    <t>EA040</t>
  </si>
  <si>
    <t>Controlled Load 2</t>
  </si>
  <si>
    <t>EA401</t>
  </si>
  <si>
    <t>Public lighting</t>
  </si>
  <si>
    <t>EA402</t>
  </si>
  <si>
    <t>Constant unmetered</t>
  </si>
  <si>
    <t>EA403</t>
  </si>
  <si>
    <t>EnergyLight</t>
  </si>
  <si>
    <t>EA050</t>
  </si>
  <si>
    <t>LV Bus non-TOU (Closed)</t>
  </si>
  <si>
    <t>EA302</t>
  </si>
  <si>
    <t>LV 40-160 MWh (System)</t>
  </si>
  <si>
    <t>EA303</t>
  </si>
  <si>
    <t>LV kW Cap ToU (Substation)</t>
  </si>
  <si>
    <t>EA305</t>
  </si>
  <si>
    <t>LV 160-750 MWh (System)</t>
  </si>
  <si>
    <t>EA306</t>
  </si>
  <si>
    <t>LV Cap 750 (Substation)</t>
  </si>
  <si>
    <t>EA310</t>
  </si>
  <si>
    <t>LV &gt;750 MWh (System)</t>
  </si>
  <si>
    <t>EA320</t>
  </si>
  <si>
    <t>LV kVA Dem ToU (Substation)</t>
  </si>
  <si>
    <t>EA290</t>
  </si>
  <si>
    <t>LV Business ToU (System)</t>
  </si>
  <si>
    <t>EA291</t>
  </si>
  <si>
    <t>LV Business ToU (Substation)</t>
  </si>
  <si>
    <t>EA370</t>
  </si>
  <si>
    <t>HV Connection (System)</t>
  </si>
  <si>
    <t>EA380</t>
  </si>
  <si>
    <t>HV Connection (Substation)</t>
  </si>
  <si>
    <t>EA360</t>
  </si>
  <si>
    <t>HV Connection (Standby Tariff))</t>
  </si>
  <si>
    <t>EA390</t>
  </si>
  <si>
    <t>ST Connection</t>
  </si>
  <si>
    <t>OneSteel 132kV Mayfield West 1</t>
  </si>
  <si>
    <t>Country Energy - Kurri 860</t>
  </si>
  <si>
    <t>Hydro Aluminium (Kurri Kurri)</t>
  </si>
  <si>
    <t>RAC Heathcote</t>
  </si>
  <si>
    <t>Redbank Auxiliaries</t>
  </si>
  <si>
    <t>RAC Ourimbah</t>
  </si>
  <si>
    <t>Xstrata Coal (Bulga Saxonvale)</t>
  </si>
  <si>
    <t>Dartbrook Mine</t>
  </si>
  <si>
    <t>Rio Tinto (Warkworth)</t>
  </si>
  <si>
    <t>Rio Tinto (Mount Thorley)</t>
  </si>
  <si>
    <t>Rio Tinto (Bengala)</t>
  </si>
  <si>
    <t>RAC Berowra</t>
  </si>
  <si>
    <t>Desalination Plant</t>
  </si>
  <si>
    <t>Orica Botany Industrial Park</t>
  </si>
  <si>
    <t>Amcor Fibre Packaging</t>
  </si>
  <si>
    <t>Global Switch</t>
  </si>
  <si>
    <t>M5 East tollway</t>
  </si>
  <si>
    <t>OneSteel 33kV Waratah</t>
  </si>
  <si>
    <t>RAC Willoughby</t>
  </si>
  <si>
    <t>RAC Gordon (standby)</t>
  </si>
  <si>
    <t>RAC Port Hacking</t>
  </si>
  <si>
    <t>RAC Revesby</t>
  </si>
  <si>
    <t>RAC Pyrmont</t>
  </si>
  <si>
    <t>RAC Strathfield</t>
  </si>
  <si>
    <t>RAC Canterbury</t>
  </si>
  <si>
    <t>RAC Awaba</t>
  </si>
  <si>
    <t>RAC Rozelle</t>
  </si>
  <si>
    <t>RAC Waratah</t>
  </si>
  <si>
    <t>RAC Surry Hills</t>
  </si>
  <si>
    <t>Sydney Airport International</t>
  </si>
  <si>
    <t>Sydney Airport Domestic</t>
  </si>
  <si>
    <t>Orica Eastern Nitrogen Kooragang</t>
  </si>
  <si>
    <t>Incitec Greenleaf (B)</t>
  </si>
  <si>
    <t>Port Waratah Coal Services</t>
  </si>
  <si>
    <t>GENR</t>
  </si>
  <si>
    <t>OneSteel (Tubemakers 33)</t>
  </si>
  <si>
    <t>Oceanic Stockton Borehole</t>
  </si>
  <si>
    <t>Oceanic West Wallsend</t>
  </si>
  <si>
    <t>Connector Motorways Pty Ltd</t>
  </si>
  <si>
    <t>Country Energy - Martins Creek (Paterson)</t>
  </si>
  <si>
    <t>Country Energy - Salt Ash</t>
  </si>
  <si>
    <t>Delta Electricity (Vales Point)</t>
  </si>
  <si>
    <t>Caltex CRL</t>
  </si>
  <si>
    <t>Caltex ALOR</t>
  </si>
  <si>
    <t>OneSteel (Tubemakers 11)</t>
  </si>
  <si>
    <t>Pasminco Metal Sulphide P/L</t>
  </si>
  <si>
    <t>Australian Defence</t>
  </si>
  <si>
    <t>UNSW</t>
  </si>
  <si>
    <t>EA225</t>
  </si>
  <si>
    <t>LV Bus &lt;40 MWh (System)</t>
  </si>
  <si>
    <t>Air Liquide</t>
  </si>
  <si>
    <t>C&amp;A</t>
  </si>
  <si>
    <t>IBM</t>
  </si>
  <si>
    <t>Syd Water</t>
  </si>
  <si>
    <t>Ashton</t>
  </si>
  <si>
    <t>Colrok</t>
  </si>
  <si>
    <t>Integra</t>
  </si>
  <si>
    <t>Mt Arthur</t>
  </si>
  <si>
    <t>powercoal</t>
  </si>
  <si>
    <t>Wambo</t>
  </si>
  <si>
    <t>Xstrata Mount owen</t>
  </si>
  <si>
    <t>EA301</t>
  </si>
  <si>
    <t>LV Business ToU (Transition)</t>
  </si>
  <si>
    <t>EA325</t>
  </si>
  <si>
    <t>LV Connection (Standby Tariff)</t>
  </si>
  <si>
    <t>EA024</t>
  </si>
  <si>
    <t>LV Res &lt;40 MWh (No NAC)</t>
  </si>
  <si>
    <t>EA970</t>
  </si>
  <si>
    <t>EA984</t>
  </si>
  <si>
    <t>TOTAL FROM HERE</t>
  </si>
  <si>
    <t>Change in ToU Customers</t>
  </si>
  <si>
    <t>Percentage ToU in Growth</t>
  </si>
  <si>
    <t>Assume that Upgrades track New Connections in the economic cycle. The last 3 years of the present Reg Period indicate a ratio of 1.24 Upgrades to each New installation.  Also assuming that the majority of upgrades will be older sites, the upgrades will have the same ratio of Type 6 to Type 5, that is 90% of upgrades will be with Accumulation Meters</t>
  </si>
  <si>
    <t>from Revenue Pricing</t>
  </si>
  <si>
    <t>From MBS E61961
(Snapshot of Active NMI's on a given date)</t>
  </si>
  <si>
    <t>Revenue Pricing projections for new connections (&lt;160MWh PA Primary tariffs) as at 6/12/2013</t>
  </si>
  <si>
    <t>As at 28 Jan 2014, there are 42,790 GENR and GENR2 tariffed NMI's registered in MBS (E52895).  At the conclusion of the SBS, payment for generation on these tariffs will cease.  In contrast, NGER and NGER2 installations are NET connected will continue to contribute to customer's reduced Network bill</t>
  </si>
  <si>
    <t>NOSW - Audit Inspection System (SAP)</t>
  </si>
  <si>
    <t>SSDM</t>
  </si>
  <si>
    <t>Source</t>
  </si>
  <si>
    <t>Revenue Pricing</t>
  </si>
  <si>
    <t>MBS Customised Report- E61961 - Active NMI Snapshot</t>
  </si>
  <si>
    <t>Wayne Turner</t>
  </si>
  <si>
    <t>Kurt Filipitsch</t>
  </si>
  <si>
    <t>Patrick Gannon</t>
  </si>
  <si>
    <t>Boris Kobal</t>
  </si>
  <si>
    <t>Robert Simpson</t>
  </si>
  <si>
    <t xml:space="preserve"> </t>
  </si>
  <si>
    <t>Deliverer Name</t>
  </si>
  <si>
    <t>Deliverer Section</t>
  </si>
  <si>
    <t>Chief Engineer</t>
  </si>
  <si>
    <t>Metering Provision</t>
  </si>
  <si>
    <t>Demand Management &amp; Forecasting</t>
  </si>
  <si>
    <t>New Customers</t>
  </si>
  <si>
    <t>Annual Change of Active NMI's</t>
  </si>
  <si>
    <t>Completed Solar Applications for Connection (AFC)</t>
  </si>
  <si>
    <t>Growth of Embedded Generation</t>
  </si>
  <si>
    <t>FY10</t>
  </si>
  <si>
    <t>FY11</t>
  </si>
  <si>
    <t>FY12</t>
  </si>
  <si>
    <t>JAN13</t>
  </si>
  <si>
    <t>FEB13</t>
  </si>
  <si>
    <t>MAR13</t>
  </si>
  <si>
    <t>APR13</t>
  </si>
  <si>
    <t>MAY13</t>
  </si>
  <si>
    <t>JUN13</t>
  </si>
  <si>
    <t>JUL13</t>
  </si>
  <si>
    <t>AUG13</t>
  </si>
  <si>
    <t>SEP13</t>
  </si>
  <si>
    <t>OCT13</t>
  </si>
  <si>
    <t>NOV13</t>
  </si>
  <si>
    <t>FY14
to Dec13</t>
  </si>
  <si>
    <t>Annual
Average</t>
  </si>
  <si>
    <t>Projected NEW Customers</t>
  </si>
  <si>
    <r>
      <rPr>
        <b/>
        <sz val="11"/>
        <color rgb="FFFF0000"/>
        <rFont val="Calibri"/>
        <family val="2"/>
        <scheme val="minor"/>
      </rPr>
      <t>6 Dec Volumes.xls</t>
    </r>
    <r>
      <rPr>
        <sz val="11"/>
        <color theme="1"/>
        <rFont val="Calibri"/>
        <family val="2"/>
        <scheme val="minor"/>
      </rPr>
      <t xml:space="preserve"> from REGSTRAT folder</t>
    </r>
  </si>
  <si>
    <t>NOT USED - Projection does not look to include new Accumulation Metering policy</t>
  </si>
  <si>
    <t>Alternative Total New</t>
  </si>
  <si>
    <t>Source: MBS E2241 as at 1 Dec 2013</t>
  </si>
  <si>
    <t>TOTAL METERS</t>
  </si>
  <si>
    <t>REPLACEMENT METERS</t>
  </si>
  <si>
    <t>Specific Meters for Replacement</t>
  </si>
  <si>
    <t>Source: SSDM 29/01/2014 for Proactive Replacements (NMI's)</t>
  </si>
  <si>
    <t>July
2013
Actual</t>
  </si>
  <si>
    <t>Aug
2013
Actual</t>
  </si>
  <si>
    <t>Sep
2013
Actual</t>
  </si>
  <si>
    <t>Oct
2013
Actual</t>
  </si>
  <si>
    <t>Nov
2013
Actual</t>
  </si>
  <si>
    <t>Dec
2013
Actual</t>
  </si>
  <si>
    <t>Jan
2014
(29/01/2014)
Actual</t>
  </si>
  <si>
    <t>Feb
2014
Projected</t>
  </si>
  <si>
    <t>Mar
2014
Projected</t>
  </si>
  <si>
    <t>Apr
2014
Projected</t>
  </si>
  <si>
    <t>May
2014
Projected</t>
  </si>
  <si>
    <t>Jun
2014
Projected</t>
  </si>
  <si>
    <t>Replacement Quantities for New Regulatory Period</t>
  </si>
  <si>
    <r>
      <t xml:space="preserve">NMI's still to replace at end month </t>
    </r>
    <r>
      <rPr>
        <b/>
        <sz val="11"/>
        <color theme="1"/>
        <rFont val="Calibri"/>
        <family val="2"/>
      </rPr>
      <t>→</t>
    </r>
  </si>
  <si>
    <t>REACTIVE
REPLACEMENT</t>
  </si>
  <si>
    <t>PROACTIVE
REPLACEMENT</t>
  </si>
  <si>
    <r>
      <rPr>
        <b/>
        <sz val="10"/>
        <color theme="1"/>
        <rFont val="Calibri"/>
        <family val="2"/>
      </rPr>
      <t>←</t>
    </r>
    <r>
      <rPr>
        <b/>
        <sz val="10"/>
        <color theme="1"/>
        <rFont val="Calibri"/>
        <family val="2"/>
        <scheme val="minor"/>
      </rPr>
      <t>From MBS Query to identify all NMI's that have SD, BAZ or AZ as at Dec13</t>
    </r>
  </si>
  <si>
    <t>Percentage T6 Site for New/Upgrade Installations</t>
  </si>
  <si>
    <t>How Replacement Meters are Distributed Across NMI's, as at 1 December 2013</t>
  </si>
  <si>
    <t>Metering Business Labour Only hourly rate</t>
  </si>
  <si>
    <t>FY13</t>
  </si>
  <si>
    <t>TOTAL &lt;160MWh PA Customers (EA010/EA025/EA050/EA302/EA225 only)</t>
  </si>
  <si>
    <t>TOTAL &lt;160MWh PA ToU Customers (EA025/EA302/EA225 only)</t>
  </si>
  <si>
    <t>Total NMI's at the end of -&gt;</t>
  </si>
  <si>
    <t>Date</t>
  </si>
  <si>
    <t>Dom ToU</t>
  </si>
  <si>
    <t>Dom Non</t>
  </si>
  <si>
    <t>Dom</t>
  </si>
  <si>
    <t>Bus ToU</t>
  </si>
  <si>
    <t>Bus Non</t>
  </si>
  <si>
    <t>Pub</t>
  </si>
  <si>
    <t>Bus</t>
  </si>
  <si>
    <t>Total Primary</t>
  </si>
  <si>
    <t>CL</t>
  </si>
  <si>
    <t>Total ALL</t>
  </si>
  <si>
    <t>0-160 SME</t>
  </si>
  <si>
    <t>&gt;160 C+I</t>
  </si>
  <si>
    <t>CRNP</t>
  </si>
  <si>
    <t>Light</t>
  </si>
  <si>
    <t>FY09</t>
  </si>
  <si>
    <t>Average
(FY10-FY13)</t>
  </si>
  <si>
    <t>NMI's
FY14 
(Dec13)</t>
  </si>
  <si>
    <t>Ratio of Upgrade to New
Avg  (FY13 &amp; YTD FY14)</t>
  </si>
  <si>
    <t>THIS IS THE INFORMATION THAT WAS UTILISED -TO DETERMINE DELTA ONLY</t>
  </si>
  <si>
    <t>Historical
Projections
(FY10-FY14)</t>
  </si>
  <si>
    <t>Faulty BASIC meters
(Predominantly WC Meter Install Service Order)</t>
  </si>
  <si>
    <t>NEW &amp; UPGRADE</t>
  </si>
  <si>
    <t>FY 2016-19 Weighted Average Up Front Meter Price
for New &amp; Upgrade</t>
  </si>
  <si>
    <r>
      <rPr>
        <sz val="10"/>
        <color theme="1"/>
        <rFont val="Calibri"/>
        <family val="2"/>
      </rPr>
      <t>↑</t>
    </r>
    <r>
      <rPr>
        <sz val="10"/>
        <color theme="1"/>
        <rFont val="Calibri"/>
        <family val="2"/>
        <scheme val="minor"/>
      </rPr>
      <t xml:space="preserve">
Non material Costs Total</t>
    </r>
  </si>
  <si>
    <r>
      <rPr>
        <sz val="10"/>
        <color theme="1"/>
        <rFont val="Calibri"/>
        <family val="2"/>
      </rPr>
      <t>↑</t>
    </r>
    <r>
      <rPr>
        <sz val="10"/>
        <color theme="1"/>
        <rFont val="Calibri"/>
        <family val="2"/>
        <scheme val="minor"/>
      </rPr>
      <t xml:space="preserve">
Non material Costs per Meter</t>
    </r>
  </si>
  <si>
    <t>NMI Baseline -&gt;</t>
  </si>
  <si>
    <t>These numbers NOT used for NMI baseline but to help with determining Delta</t>
  </si>
  <si>
    <t>In the absence of any other information, assume installation rate to stay the same in the next reg period</t>
  </si>
  <si>
    <t>ASP Logistics Labour Costs (projected to full year)</t>
  </si>
  <si>
    <r>
      <t xml:space="preserve">Meter Hardware Only </t>
    </r>
    <r>
      <rPr>
        <sz val="10"/>
        <rFont val="Calibri"/>
        <family val="2"/>
      </rPr>
      <t>→</t>
    </r>
  </si>
  <si>
    <t>Average Capacity</t>
  </si>
  <si>
    <t>Direct Labour costs</t>
  </si>
  <si>
    <t>Direct material costs</t>
  </si>
  <si>
    <t>Meter Code</t>
  </si>
  <si>
    <t>Meter Type</t>
  </si>
  <si>
    <t>Type 6</t>
  </si>
  <si>
    <t>Single phase, direct connected, accumulation meter</t>
  </si>
  <si>
    <t>Three phase, direct connected, accumulation meter</t>
  </si>
  <si>
    <t>Single phase, direct connected interval meter</t>
  </si>
  <si>
    <t>Type 5</t>
  </si>
  <si>
    <t>Single phase, dual element, direct connected interval meter</t>
  </si>
  <si>
    <t>Three phase, Current Transformer connected interval meter</t>
  </si>
  <si>
    <t>Meter Hardware Cost</t>
  </si>
  <si>
    <r>
      <t>Three phase, direct connected interval me</t>
    </r>
    <r>
      <rPr>
        <sz val="11"/>
        <color rgb="FF000000"/>
        <rFont val="Calibri"/>
        <family val="2"/>
      </rPr>
      <t>ter</t>
    </r>
  </si>
  <si>
    <t>(no direct or indirect costs)</t>
  </si>
  <si>
    <t>AER Reset RIN requirement: Labour Classification Level:</t>
  </si>
  <si>
    <t>"Skilled electrical worker"</t>
  </si>
</sst>
</file>

<file path=xl/styles.xml><?xml version="1.0" encoding="utf-8"?>
<styleSheet xmlns="http://schemas.openxmlformats.org/spreadsheetml/2006/main">
  <numFmts count="12">
    <numFmt numFmtId="6" formatCode="&quot;$&quot;#,##0;[Red]\-&quot;$&quot;#,##0"/>
    <numFmt numFmtId="8" formatCode="&quot;$&quot;#,##0.00;[Red]\-&quot;$&quot;#,##0.00"/>
    <numFmt numFmtId="44" formatCode="_-&quot;$&quot;* #,##0.00_-;\-&quot;$&quot;* #,##0.00_-;_-&quot;$&quot;* &quot;-&quot;??_-;_-@_-"/>
    <numFmt numFmtId="43" formatCode="_-* #,##0.00_-;\-* #,##0.00_-;_-* &quot;-&quot;??_-;_-@_-"/>
    <numFmt numFmtId="164" formatCode="&quot;$&quot;#,##0_);[Red]\(&quot;$&quot;#,##0\)"/>
    <numFmt numFmtId="165" formatCode="_-* #,##0_-;\-* #,##0_-;_-* &quot;-&quot;??_-;_-@_-"/>
    <numFmt numFmtId="166" formatCode="#,###,\ ;[Red]\(#,###,\)"/>
    <numFmt numFmtId="167" formatCode="_(* #,##0,_);_(* \(#,##0,\);_(* &quot;-&quot;_);_(@_)"/>
    <numFmt numFmtId="168" formatCode="_-&quot;$&quot;* #,##0_-;\-&quot;$&quot;* #,##0_-;_-&quot;$&quot;* &quot;-&quot;??_-;_-@_-"/>
    <numFmt numFmtId="169" formatCode="_(* #,##0.00,_);_(* \(#,##0.00,\);_(* &quot;-&quot;_);_(@_)"/>
    <numFmt numFmtId="170" formatCode="0.0%"/>
    <numFmt numFmtId="171" formatCode="#,##0_ ;\-#,##0\ "/>
  </numFmts>
  <fonts count="54">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0"/>
      <color theme="1"/>
      <name val="Tahoma"/>
      <family val="2"/>
    </font>
    <font>
      <sz val="10"/>
      <name val="Tahoma"/>
      <family val="2"/>
    </font>
    <font>
      <sz val="12"/>
      <color theme="1"/>
      <name val="Tahoma"/>
      <family val="2"/>
    </font>
    <font>
      <b/>
      <sz val="12"/>
      <color indexed="9"/>
      <name val="Tahoma"/>
      <family val="2"/>
    </font>
    <font>
      <b/>
      <sz val="12"/>
      <color theme="0"/>
      <name val="Tahoma"/>
      <family val="2"/>
    </font>
    <font>
      <sz val="10"/>
      <color theme="0"/>
      <name val="Tahoma"/>
      <family val="2"/>
    </font>
    <font>
      <b/>
      <sz val="10"/>
      <color theme="0"/>
      <name val="Tahoma"/>
      <family val="2"/>
    </font>
    <font>
      <b/>
      <sz val="10"/>
      <name val="Tahoma"/>
      <family val="2"/>
    </font>
    <font>
      <sz val="10"/>
      <name val="Arial"/>
      <family val="2"/>
    </font>
    <font>
      <sz val="10"/>
      <color indexed="9"/>
      <name val="Tahoma"/>
      <family val="2"/>
    </font>
    <font>
      <i/>
      <sz val="10"/>
      <name val="Tahoma"/>
      <family val="2"/>
    </font>
    <font>
      <b/>
      <sz val="10"/>
      <color indexed="9"/>
      <name val="Tahoma"/>
      <family val="2"/>
    </font>
    <font>
      <b/>
      <sz val="10"/>
      <color theme="1"/>
      <name val="Tahoma"/>
      <family val="2"/>
    </font>
    <font>
      <sz val="8"/>
      <color indexed="81"/>
      <name val="Tahoma"/>
      <family val="2"/>
    </font>
    <font>
      <b/>
      <sz val="8"/>
      <color indexed="81"/>
      <name val="Tahoma"/>
      <family val="2"/>
    </font>
    <font>
      <b/>
      <sz val="10"/>
      <name val="Calibri"/>
      <family val="2"/>
      <scheme val="minor"/>
    </font>
    <font>
      <sz val="10"/>
      <color theme="0" tint="-0.499984740745262"/>
      <name val="Calibri"/>
      <family val="2"/>
      <scheme val="minor"/>
    </font>
    <font>
      <sz val="11"/>
      <color theme="0" tint="-0.499984740745262"/>
      <name val="Calibri"/>
      <family val="2"/>
      <scheme val="minor"/>
    </font>
    <font>
      <sz val="11"/>
      <name val="Calibri"/>
      <family val="2"/>
      <scheme val="minor"/>
    </font>
    <font>
      <b/>
      <sz val="12"/>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0"/>
      <name val="Arial Narrow"/>
      <family val="2"/>
    </font>
    <font>
      <sz val="10"/>
      <name val="Arial Narrow"/>
      <family val="2"/>
    </font>
    <font>
      <sz val="10"/>
      <color theme="1"/>
      <name val="Arial Narrow"/>
      <family val="2"/>
    </font>
    <font>
      <b/>
      <sz val="10"/>
      <color theme="1"/>
      <name val="Arial Narrow"/>
      <family val="2"/>
    </font>
    <font>
      <sz val="12"/>
      <color theme="1"/>
      <name val="Calibri"/>
      <family val="2"/>
      <scheme val="minor"/>
    </font>
    <font>
      <sz val="8"/>
      <color indexed="8"/>
      <name val="Arial"/>
      <family val="2"/>
    </font>
    <font>
      <sz val="10"/>
      <color rgb="FFFF0000"/>
      <name val="Calibri"/>
      <family val="2"/>
      <scheme val="minor"/>
    </font>
    <font>
      <sz val="11"/>
      <color rgb="FF9C0006"/>
      <name val="Calibri"/>
      <family val="2"/>
      <scheme val="minor"/>
    </font>
    <font>
      <b/>
      <sz val="10"/>
      <name val="Arial"/>
      <family val="2"/>
    </font>
    <font>
      <sz val="10"/>
      <color theme="0" tint="-0.499984740745262"/>
      <name val="Arial"/>
      <family val="2"/>
    </font>
    <font>
      <b/>
      <sz val="11"/>
      <color rgb="FFFF0000"/>
      <name val="Calibri"/>
      <family val="2"/>
      <scheme val="minor"/>
    </font>
    <font>
      <b/>
      <sz val="11"/>
      <color theme="3" tint="0.39997558519241921"/>
      <name val="Calibri"/>
      <family val="2"/>
      <scheme val="minor"/>
    </font>
    <font>
      <b/>
      <sz val="10"/>
      <color theme="5" tint="-0.249977111117893"/>
      <name val="Calibri"/>
      <family val="2"/>
      <scheme val="minor"/>
    </font>
    <font>
      <b/>
      <sz val="11"/>
      <color theme="5" tint="-0.249977111117893"/>
      <name val="Calibri"/>
      <family val="2"/>
      <scheme val="minor"/>
    </font>
    <font>
      <sz val="10"/>
      <color theme="5" tint="-0.249977111117893"/>
      <name val="Calibri"/>
      <family val="2"/>
      <scheme val="minor"/>
    </font>
    <font>
      <b/>
      <sz val="11"/>
      <color theme="1"/>
      <name val="Calibri"/>
      <family val="2"/>
    </font>
    <font>
      <sz val="11"/>
      <color indexed="8"/>
      <name val="Calibri"/>
      <family val="2"/>
    </font>
    <font>
      <b/>
      <sz val="10"/>
      <color theme="1"/>
      <name val="Calibri"/>
      <family val="2"/>
    </font>
    <font>
      <b/>
      <sz val="10"/>
      <color theme="0" tint="-0.499984740745262"/>
      <name val="Calibri"/>
      <family val="2"/>
      <scheme val="minor"/>
    </font>
    <font>
      <sz val="10"/>
      <name val="Calibri"/>
      <family val="2"/>
    </font>
    <font>
      <sz val="10"/>
      <color theme="1"/>
      <name val="Calibri"/>
      <family val="2"/>
    </font>
    <font>
      <sz val="10"/>
      <color theme="1"/>
      <name val="Arial"/>
      <family val="2"/>
    </font>
    <font>
      <sz val="11"/>
      <color rgb="FF000000"/>
      <name val="Calibri"/>
      <family val="2"/>
    </font>
    <font>
      <sz val="11"/>
      <color theme="1"/>
      <name val="Calibri"/>
      <family val="2"/>
    </font>
    <font>
      <i/>
      <sz val="9"/>
      <color rgb="FF000000"/>
      <name val="Calibri"/>
      <family val="2"/>
      <scheme val="minor"/>
    </font>
  </fonts>
  <fills count="39">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2060"/>
        <bgColor indexed="64"/>
      </patternFill>
    </fill>
    <fill>
      <patternFill patternType="solid">
        <fgColor theme="1"/>
        <bgColor indexed="64"/>
      </patternFill>
    </fill>
    <fill>
      <patternFill patternType="solid">
        <fgColor rgb="FFFF99FF"/>
        <bgColor indexed="64"/>
      </patternFill>
    </fill>
    <fill>
      <patternFill patternType="solid">
        <fgColor theme="0"/>
        <bgColor indexed="64"/>
      </patternFill>
    </fill>
    <fill>
      <patternFill patternType="solid">
        <fgColor rgb="FF13294B"/>
        <bgColor indexed="64"/>
      </patternFill>
    </fill>
    <fill>
      <patternFill patternType="solid">
        <fgColor rgb="FF209AD2"/>
        <bgColor indexed="64"/>
      </patternFill>
    </fill>
    <fill>
      <patternFill patternType="solid">
        <fgColor rgb="FFC3DCF2"/>
        <bgColor indexed="64"/>
      </patternFill>
    </fill>
    <fill>
      <patternFill patternType="solid">
        <fgColor rgb="FF0065A6"/>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7CE"/>
      </patternFill>
    </fill>
    <fill>
      <patternFill patternType="solid">
        <fgColor rgb="FF92D050"/>
        <bgColor indexed="64"/>
      </patternFill>
    </fill>
    <fill>
      <patternFill patternType="solid">
        <fgColor theme="0" tint="-0.34998626667073579"/>
        <bgColor indexed="64"/>
      </patternFill>
    </fill>
    <fill>
      <gradientFill type="path" left="0.5" right="0.5" top="0.5" bottom="0.5">
        <stop position="0">
          <color rgb="FF92D050"/>
        </stop>
        <stop position="1">
          <color rgb="FFFFFF00"/>
        </stop>
      </gradientFill>
    </fill>
    <fill>
      <patternFill patternType="solid">
        <fgColor theme="9" tint="0.79998168889431442"/>
        <bgColor indexed="64"/>
      </patternFill>
    </fill>
    <fill>
      <patternFill patternType="solid">
        <fgColor indexed="55"/>
        <bgColor indexed="64"/>
      </patternFill>
    </fill>
    <fill>
      <patternFill patternType="solid">
        <fgColor theme="7" tint="0.39997558519241921"/>
        <bgColor indexed="64"/>
      </patternFill>
    </fill>
    <fill>
      <patternFill patternType="solid">
        <fgColor indexed="10"/>
        <bgColor indexed="64"/>
      </patternFill>
    </fill>
    <fill>
      <patternFill patternType="solid">
        <fgColor rgb="FFFF6600"/>
        <bgColor indexed="64"/>
      </patternFill>
    </fill>
    <fill>
      <patternFill patternType="solid">
        <fgColor theme="2" tint="-9.9978637043366805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double">
        <color auto="1"/>
      </left>
      <right/>
      <top/>
      <bottom/>
      <diagonal/>
    </border>
    <border>
      <left style="double">
        <color auto="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499984740745262"/>
      </diagonal>
    </border>
    <border diagonalUp="1" diagonalDown="1">
      <left style="thin">
        <color indexed="64"/>
      </left>
      <right/>
      <top style="thin">
        <color indexed="64"/>
      </top>
      <bottom style="thin">
        <color indexed="64"/>
      </bottom>
      <diagonal style="thin">
        <color theme="0" tint="-0.499984740745262"/>
      </diagonal>
    </border>
    <border diagonalUp="1" diagonalDown="1">
      <left style="double">
        <color auto="1"/>
      </left>
      <right style="thin">
        <color indexed="64"/>
      </right>
      <top style="thin">
        <color indexed="64"/>
      </top>
      <bottom style="thin">
        <color indexed="64"/>
      </bottom>
      <diagonal style="thin">
        <color theme="0" tint="-0.499984740745262"/>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thin">
        <color theme="0" tint="-0.499984740745262"/>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double">
        <color theme="7" tint="-0.24994659260841701"/>
      </left>
      <right style="thin">
        <color indexed="64"/>
      </right>
      <top style="double">
        <color theme="7" tint="-0.24994659260841701"/>
      </top>
      <bottom style="thin">
        <color indexed="64"/>
      </bottom>
      <diagonal/>
    </border>
    <border>
      <left style="thin">
        <color indexed="64"/>
      </left>
      <right style="thin">
        <color indexed="64"/>
      </right>
      <top style="double">
        <color theme="7" tint="-0.24994659260841701"/>
      </top>
      <bottom style="thin">
        <color indexed="64"/>
      </bottom>
      <diagonal/>
    </border>
    <border>
      <left style="thin">
        <color indexed="64"/>
      </left>
      <right style="double">
        <color theme="7" tint="-0.24994659260841701"/>
      </right>
      <top style="double">
        <color theme="7" tint="-0.24994659260841701"/>
      </top>
      <bottom style="thin">
        <color indexed="64"/>
      </bottom>
      <diagonal/>
    </border>
    <border>
      <left style="double">
        <color theme="7" tint="-0.24994659260841701"/>
      </left>
      <right style="thin">
        <color indexed="64"/>
      </right>
      <top style="thin">
        <color indexed="64"/>
      </top>
      <bottom style="thin">
        <color indexed="64"/>
      </bottom>
      <diagonal/>
    </border>
    <border>
      <left style="thin">
        <color indexed="64"/>
      </left>
      <right style="double">
        <color theme="7" tint="-0.24994659260841701"/>
      </right>
      <top style="thin">
        <color indexed="64"/>
      </top>
      <bottom style="thin">
        <color indexed="64"/>
      </bottom>
      <diagonal/>
    </border>
    <border>
      <left style="double">
        <color theme="7" tint="-0.24994659260841701"/>
      </left>
      <right style="thin">
        <color indexed="64"/>
      </right>
      <top style="thin">
        <color indexed="64"/>
      </top>
      <bottom style="double">
        <color theme="7" tint="-0.24994659260841701"/>
      </bottom>
      <diagonal/>
    </border>
    <border>
      <left style="thin">
        <color indexed="64"/>
      </left>
      <right style="thin">
        <color indexed="64"/>
      </right>
      <top style="thin">
        <color indexed="64"/>
      </top>
      <bottom style="double">
        <color theme="7" tint="-0.24994659260841701"/>
      </bottom>
      <diagonal/>
    </border>
    <border>
      <left style="thin">
        <color indexed="64"/>
      </left>
      <right style="double">
        <color theme="7" tint="-0.24994659260841701"/>
      </right>
      <top style="thin">
        <color indexed="64"/>
      </top>
      <bottom style="double">
        <color theme="7" tint="-0.24994659260841701"/>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36" fillId="29" borderId="0" applyNumberFormat="0" applyBorder="0" applyAlignment="0" applyProtection="0"/>
    <xf numFmtId="0" fontId="13" fillId="0" borderId="0"/>
    <xf numFmtId="0" fontId="13" fillId="0" borderId="0"/>
    <xf numFmtId="0" fontId="13" fillId="0" borderId="0" applyFill="0"/>
    <xf numFmtId="0" fontId="50" fillId="0" borderId="0"/>
  </cellStyleXfs>
  <cellXfs count="469">
    <xf numFmtId="0" fontId="0" fillId="0" borderId="0" xfId="0"/>
    <xf numFmtId="0" fontId="1"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164" fontId="2"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1" fontId="2" fillId="5"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0" fillId="0" borderId="0" xfId="0" applyAlignment="1">
      <alignment horizontal="left" vertical="center"/>
    </xf>
    <xf numFmtId="0" fontId="1" fillId="0" borderId="6" xfId="0" applyFont="1" applyBorder="1" applyAlignment="1">
      <alignment vertical="center" wrapText="1"/>
    </xf>
    <xf numFmtId="0" fontId="2" fillId="0" borderId="7" xfId="0" applyFont="1" applyBorder="1" applyAlignment="1">
      <alignment horizontal="left" vertical="center" wrapText="1"/>
    </xf>
    <xf numFmtId="3" fontId="3" fillId="3" borderId="1"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5" fontId="3" fillId="0" borderId="3" xfId="1" applyNumberFormat="1" applyFont="1" applyFill="1" applyBorder="1" applyAlignment="1">
      <alignment vertical="center" wrapText="1"/>
    </xf>
    <xf numFmtId="165" fontId="3" fillId="0" borderId="1" xfId="1" applyNumberFormat="1" applyFont="1" applyFill="1" applyBorder="1" applyAlignment="1">
      <alignment vertical="center" wrapText="1"/>
    </xf>
    <xf numFmtId="165" fontId="3" fillId="0" borderId="3" xfId="1" applyNumberFormat="1" applyFont="1" applyFill="1" applyBorder="1" applyAlignment="1">
      <alignment horizontal="left" vertical="center" wrapText="1"/>
    </xf>
    <xf numFmtId="0" fontId="5" fillId="0" borderId="0" xfId="0" applyFont="1"/>
    <xf numFmtId="0" fontId="5" fillId="0" borderId="0" xfId="0" applyFont="1" applyFill="1"/>
    <xf numFmtId="0" fontId="0" fillId="0" borderId="0" xfId="0" applyAlignment="1">
      <alignment horizontal="left"/>
    </xf>
    <xf numFmtId="0" fontId="0" fillId="8" borderId="0" xfId="0" quotePrefix="1" applyFill="1"/>
    <xf numFmtId="0" fontId="5" fillId="0" borderId="0" xfId="0" applyFont="1" applyBorder="1"/>
    <xf numFmtId="0" fontId="0" fillId="0" borderId="0" xfId="0" applyFill="1"/>
    <xf numFmtId="0" fontId="5" fillId="0" borderId="0" xfId="0" quotePrefix="1" applyFont="1" applyAlignment="1">
      <alignment horizontal="left"/>
    </xf>
    <xf numFmtId="0" fontId="6" fillId="0" borderId="0" xfId="0" applyFont="1" applyFill="1" applyBorder="1" applyAlignment="1"/>
    <xf numFmtId="0" fontId="5" fillId="9" borderId="0" xfId="0" applyFont="1" applyFill="1"/>
    <xf numFmtId="0" fontId="7" fillId="0" borderId="0" xfId="0" applyFont="1"/>
    <xf numFmtId="0" fontId="8" fillId="9" borderId="0" xfId="0" applyFont="1" applyFill="1" applyAlignment="1"/>
    <xf numFmtId="0" fontId="7" fillId="9" borderId="0" xfId="0" applyFont="1" applyFill="1"/>
    <xf numFmtId="0" fontId="10" fillId="11" borderId="0" xfId="0" applyFont="1" applyFill="1" applyAlignment="1">
      <alignment horizontal="center"/>
    </xf>
    <xf numFmtId="0" fontId="6" fillId="0" borderId="0" xfId="0" applyFont="1" applyFill="1" applyBorder="1" applyAlignment="1" applyProtection="1">
      <alignment horizontal="center" wrapText="1"/>
    </xf>
    <xf numFmtId="0" fontId="10" fillId="11" borderId="0" xfId="0" applyFont="1" applyFill="1" applyAlignment="1">
      <alignment horizontal="left"/>
    </xf>
    <xf numFmtId="0" fontId="11" fillId="11" borderId="0" xfId="0" applyFont="1" applyFill="1" applyAlignment="1">
      <alignment horizontal="center"/>
    </xf>
    <xf numFmtId="0" fontId="5" fillId="9" borderId="0" xfId="0" applyFont="1" applyFill="1" applyAlignment="1">
      <alignment horizontal="center" vertical="center"/>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11" fillId="11" borderId="0" xfId="0" applyFont="1" applyFill="1" applyAlignment="1">
      <alignment horizontal="center" vertical="center"/>
    </xf>
    <xf numFmtId="0" fontId="12" fillId="9" borderId="0" xfId="0" applyFont="1" applyFill="1" applyBorder="1" applyAlignment="1" applyProtection="1">
      <alignment horizontal="center" wrapText="1"/>
    </xf>
    <xf numFmtId="0" fontId="12" fillId="0" borderId="0" xfId="0" applyFont="1" applyFill="1" applyBorder="1" applyAlignment="1" applyProtection="1">
      <alignment horizontal="center" wrapText="1"/>
    </xf>
    <xf numFmtId="0" fontId="6" fillId="12" borderId="0" xfId="0" applyFont="1" applyFill="1" applyAlignment="1">
      <alignment horizontal="left" vertical="center"/>
    </xf>
    <xf numFmtId="0" fontId="13" fillId="12" borderId="0" xfId="0" applyFont="1" applyFill="1" applyBorder="1"/>
    <xf numFmtId="166" fontId="14" fillId="0" borderId="0" xfId="0" applyNumberFormat="1" applyFont="1" applyFill="1" applyBorder="1" applyAlignment="1"/>
    <xf numFmtId="167" fontId="13" fillId="0" borderId="0" xfId="1" applyNumberFormat="1" applyFont="1" applyFill="1" applyBorder="1" applyAlignment="1">
      <alignment horizontal="center"/>
    </xf>
    <xf numFmtId="167" fontId="6" fillId="12" borderId="0" xfId="1" applyNumberFormat="1" applyFont="1" applyFill="1"/>
    <xf numFmtId="167" fontId="15" fillId="12" borderId="0" xfId="1" applyNumberFormat="1" applyFont="1" applyFill="1"/>
    <xf numFmtId="0" fontId="12" fillId="12" borderId="0" xfId="0" applyFont="1" applyFill="1" applyAlignment="1">
      <alignment horizontal="left" vertical="center"/>
    </xf>
    <xf numFmtId="167" fontId="6" fillId="0" borderId="0" xfId="1" applyNumberFormat="1" applyFont="1" applyBorder="1" applyAlignment="1">
      <alignment horizontal="center"/>
    </xf>
    <xf numFmtId="167" fontId="5" fillId="0" borderId="0" xfId="0" applyNumberFormat="1" applyFont="1" applyFill="1"/>
    <xf numFmtId="1" fontId="5" fillId="0" borderId="0" xfId="0" applyNumberFormat="1" applyFont="1" applyFill="1"/>
    <xf numFmtId="167" fontId="11" fillId="13" borderId="0" xfId="1" applyNumberFormat="1" applyFont="1" applyFill="1" applyAlignment="1">
      <alignment horizontal="left" vertical="center"/>
    </xf>
    <xf numFmtId="167" fontId="11" fillId="13" borderId="0" xfId="1" applyNumberFormat="1" applyFont="1" applyFill="1" applyAlignment="1">
      <alignment horizontal="center" vertical="center"/>
    </xf>
    <xf numFmtId="167" fontId="11" fillId="0" borderId="0" xfId="1" applyNumberFormat="1" applyFont="1" applyFill="1" applyAlignment="1">
      <alignment horizontal="center" vertical="center"/>
    </xf>
    <xf numFmtId="0" fontId="6" fillId="0" borderId="0" xfId="0" applyFont="1" applyFill="1" applyAlignment="1">
      <alignment horizontal="left" vertical="center"/>
    </xf>
    <xf numFmtId="0" fontId="13" fillId="0" borderId="0" xfId="0" applyFont="1" applyFill="1" applyBorder="1"/>
    <xf numFmtId="167" fontId="6" fillId="0" borderId="0" xfId="1" applyNumberFormat="1" applyFont="1" applyFill="1" applyBorder="1" applyAlignment="1">
      <alignment horizontal="center"/>
    </xf>
    <xf numFmtId="0" fontId="16" fillId="6"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167" fontId="16" fillId="6" borderId="0" xfId="0" applyNumberFormat="1" applyFont="1" applyFill="1" applyBorder="1" applyAlignment="1" applyProtection="1">
      <alignment horizontal="center" vertical="center"/>
    </xf>
    <xf numFmtId="0" fontId="10" fillId="0" borderId="0" xfId="0" applyFont="1" applyFill="1"/>
    <xf numFmtId="44" fontId="2" fillId="5" borderId="1" xfId="2" applyFont="1" applyFill="1" applyBorder="1" applyAlignment="1">
      <alignment horizontal="center" vertical="center" wrapText="1"/>
    </xf>
    <xf numFmtId="44" fontId="2" fillId="2" borderId="1" xfId="2" applyFont="1" applyFill="1" applyBorder="1" applyAlignment="1">
      <alignment horizontal="center" vertical="center" wrapText="1"/>
    </xf>
    <xf numFmtId="168" fontId="3" fillId="3" borderId="1" xfId="2" applyNumberFormat="1" applyFont="1" applyFill="1" applyBorder="1" applyAlignment="1">
      <alignment horizontal="center" vertical="center" wrapText="1"/>
    </xf>
    <xf numFmtId="168" fontId="2" fillId="5" borderId="1" xfId="2" applyNumberFormat="1" applyFont="1" applyFill="1" applyBorder="1" applyAlignment="1">
      <alignment horizontal="center" vertical="center" wrapText="1"/>
    </xf>
    <xf numFmtId="168" fontId="2" fillId="2" borderId="1" xfId="2" applyNumberFormat="1" applyFont="1" applyFill="1" applyBorder="1" applyAlignment="1">
      <alignment horizontal="center" vertical="center" wrapText="1"/>
    </xf>
    <xf numFmtId="168" fontId="3" fillId="0" borderId="2" xfId="2" applyNumberFormat="1" applyFont="1" applyFill="1" applyBorder="1" applyAlignment="1">
      <alignment vertical="center" wrapText="1"/>
    </xf>
    <xf numFmtId="169" fontId="17" fillId="0" borderId="0" xfId="0" applyNumberFormat="1" applyFont="1" applyFill="1"/>
    <xf numFmtId="165" fontId="3" fillId="9" borderId="3" xfId="1" applyNumberFormat="1" applyFont="1" applyFill="1" applyBorder="1" applyAlignment="1">
      <alignment horizontal="left" vertical="center" wrapText="1"/>
    </xf>
    <xf numFmtId="168" fontId="20" fillId="0" borderId="2" xfId="2" applyNumberFormat="1" applyFont="1" applyFill="1" applyBorder="1" applyAlignment="1">
      <alignment vertical="center" wrapText="1"/>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44" fontId="2" fillId="0" borderId="0" xfId="2" applyFont="1" applyFill="1" applyBorder="1" applyAlignment="1">
      <alignment horizontal="center" vertical="center" wrapText="1"/>
    </xf>
    <xf numFmtId="168" fontId="2" fillId="0" borderId="0" xfId="2" applyNumberFormat="1" applyFont="1" applyFill="1" applyBorder="1" applyAlignment="1">
      <alignment horizontal="center" vertical="center" wrapText="1"/>
    </xf>
    <xf numFmtId="168" fontId="1" fillId="0" borderId="0" xfId="2"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left" vertical="center" wrapText="1"/>
    </xf>
    <xf numFmtId="9" fontId="2" fillId="4" borderId="1" xfId="3" applyFont="1" applyFill="1" applyBorder="1" applyAlignment="1">
      <alignment horizontal="center" vertical="center" wrapText="1"/>
    </xf>
    <xf numFmtId="168" fontId="21" fillId="14" borderId="1" xfId="2" applyNumberFormat="1" applyFont="1" applyFill="1" applyBorder="1" applyAlignment="1">
      <alignment horizontal="center" vertical="center" wrapText="1"/>
    </xf>
    <xf numFmtId="1" fontId="21" fillId="14" borderId="1" xfId="0" applyNumberFormat="1" applyFont="1" applyFill="1" applyBorder="1" applyAlignment="1">
      <alignment horizontal="left" vertical="center" wrapText="1"/>
    </xf>
    <xf numFmtId="9" fontId="21" fillId="14" borderId="1" xfId="3" applyFont="1" applyFill="1" applyBorder="1" applyAlignment="1">
      <alignment horizontal="center" vertical="center" wrapText="1"/>
    </xf>
    <xf numFmtId="1" fontId="2" fillId="5" borderId="1" xfId="0" applyNumberFormat="1" applyFont="1" applyFill="1" applyBorder="1" applyAlignment="1">
      <alignment horizontal="left" vertical="center" wrapText="1"/>
    </xf>
    <xf numFmtId="9" fontId="2" fillId="5" borderId="1" xfId="3" applyFont="1" applyFill="1" applyBorder="1" applyAlignment="1">
      <alignment horizontal="center" vertical="center" wrapText="1"/>
    </xf>
    <xf numFmtId="168" fontId="21" fillId="15" borderId="1" xfId="2" applyNumberFormat="1" applyFont="1" applyFill="1" applyBorder="1" applyAlignment="1">
      <alignment horizontal="center" vertical="center" wrapText="1"/>
    </xf>
    <xf numFmtId="1" fontId="21" fillId="15" borderId="1" xfId="0" applyNumberFormat="1" applyFont="1" applyFill="1" applyBorder="1" applyAlignment="1">
      <alignment horizontal="left" vertical="center" wrapText="1"/>
    </xf>
    <xf numFmtId="9" fontId="21" fillId="15" borderId="1" xfId="3"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9" fontId="2" fillId="2" borderId="1" xfId="3" applyFont="1" applyFill="1" applyBorder="1" applyAlignment="1">
      <alignment horizontal="center" vertical="center" wrapText="1"/>
    </xf>
    <xf numFmtId="168" fontId="21" fillId="16" borderId="1" xfId="2" applyNumberFormat="1" applyFont="1" applyFill="1" applyBorder="1" applyAlignment="1">
      <alignment horizontal="center" vertical="center" wrapText="1"/>
    </xf>
    <xf numFmtId="1" fontId="21" fillId="16" borderId="1" xfId="0" applyNumberFormat="1" applyFont="1" applyFill="1" applyBorder="1" applyAlignment="1">
      <alignment horizontal="left" vertical="center" wrapText="1"/>
    </xf>
    <xf numFmtId="9" fontId="21" fillId="16" borderId="1" xfId="3"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1" fontId="21" fillId="0" borderId="1" xfId="0" applyNumberFormat="1" applyFont="1" applyFill="1" applyBorder="1" applyAlignment="1">
      <alignment horizontal="left" vertical="center" wrapText="1"/>
    </xf>
    <xf numFmtId="168" fontId="21" fillId="0" borderId="1" xfId="2"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3" fillId="3" borderId="1" xfId="0" applyFont="1" applyFill="1" applyBorder="1" applyAlignment="1">
      <alignment horizontal="left" vertical="center"/>
    </xf>
    <xf numFmtId="0" fontId="3" fillId="3" borderId="2"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1" fontId="24" fillId="4"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25" fillId="5" borderId="1" xfId="3"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5" fontId="3" fillId="0" borderId="2" xfId="1" applyNumberFormat="1" applyFont="1" applyFill="1" applyBorder="1" applyAlignment="1">
      <alignment vertical="center" wrapText="1"/>
    </xf>
    <xf numFmtId="0" fontId="0" fillId="0" borderId="0" xfId="0" applyAlignment="1">
      <alignment horizontal="center"/>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2" fontId="3" fillId="3" borderId="1" xfId="3"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6" fontId="2" fillId="0" borderId="1" xfId="0" applyNumberFormat="1" applyFont="1" applyBorder="1" applyAlignment="1">
      <alignment horizontal="center"/>
    </xf>
    <xf numFmtId="6" fontId="2" fillId="4" borderId="1" xfId="0" applyNumberFormat="1" applyFont="1" applyFill="1" applyBorder="1" applyAlignment="1">
      <alignment horizontal="center"/>
    </xf>
    <xf numFmtId="0" fontId="2" fillId="5" borderId="1" xfId="0" applyFont="1" applyFill="1" applyBorder="1" applyAlignment="1">
      <alignment horizontal="center" vertical="center" wrapText="1"/>
    </xf>
    <xf numFmtId="2" fontId="2" fillId="5" borderId="1" xfId="3"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6" fontId="2" fillId="5" borderId="1" xfId="0" applyNumberFormat="1" applyFont="1" applyFill="1" applyBorder="1" applyAlignment="1">
      <alignment horizontal="center"/>
    </xf>
    <xf numFmtId="2" fontId="2" fillId="2" borderId="1" xfId="0" applyNumberFormat="1" applyFont="1" applyFill="1" applyBorder="1" applyAlignment="1">
      <alignment horizontal="center" vertical="center" wrapText="1"/>
    </xf>
    <xf numFmtId="6" fontId="2" fillId="2" borderId="1" xfId="0" applyNumberFormat="1" applyFont="1" applyFill="1" applyBorder="1" applyAlignment="1">
      <alignment horizontal="center"/>
    </xf>
    <xf numFmtId="0" fontId="29" fillId="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1" fillId="0" borderId="0" xfId="0" applyFont="1"/>
    <xf numFmtId="0" fontId="3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0" fillId="0" borderId="1" xfId="0" applyFont="1" applyBorder="1" applyAlignment="1">
      <alignment vertical="center" wrapText="1"/>
    </xf>
    <xf numFmtId="170" fontId="29" fillId="0" borderId="1" xfId="0" applyNumberFormat="1" applyFont="1" applyBorder="1" applyAlignment="1">
      <alignment horizontal="center" vertical="center" wrapText="1"/>
    </xf>
    <xf numFmtId="170" fontId="31" fillId="0" borderId="0" xfId="0" applyNumberFormat="1" applyFont="1"/>
    <xf numFmtId="2" fontId="31" fillId="0" borderId="1" xfId="0" applyNumberFormat="1" applyFont="1" applyBorder="1" applyAlignment="1">
      <alignment horizontal="center" vertical="center" wrapText="1"/>
    </xf>
    <xf numFmtId="2" fontId="31" fillId="0" borderId="3" xfId="0" applyNumberFormat="1" applyFont="1" applyBorder="1" applyAlignment="1">
      <alignment horizontal="center" vertical="center" wrapText="1"/>
    </xf>
    <xf numFmtId="2" fontId="31" fillId="0" borderId="12" xfId="0" applyNumberFormat="1" applyFont="1" applyBorder="1" applyAlignment="1">
      <alignment horizontal="center" vertical="center" wrapText="1"/>
    </xf>
    <xf numFmtId="170" fontId="31" fillId="0" borderId="1" xfId="0" applyNumberFormat="1" applyFont="1" applyBorder="1" applyAlignment="1">
      <alignment horizontal="center" vertical="center" wrapText="1"/>
    </xf>
    <xf numFmtId="2" fontId="32" fillId="0" borderId="1" xfId="0" applyNumberFormat="1" applyFont="1" applyBorder="1" applyAlignment="1">
      <alignment horizontal="center" vertical="center" wrapText="1"/>
    </xf>
    <xf numFmtId="2" fontId="32" fillId="0" borderId="3" xfId="0" applyNumberFormat="1" applyFont="1" applyBorder="1" applyAlignment="1">
      <alignment horizontal="center" vertical="center" wrapText="1"/>
    </xf>
    <xf numFmtId="2" fontId="32" fillId="0" borderId="12" xfId="0" applyNumberFormat="1" applyFont="1" applyBorder="1" applyAlignment="1">
      <alignment horizontal="center" vertical="center" wrapText="1"/>
    </xf>
    <xf numFmtId="0" fontId="29" fillId="17" borderId="1" xfId="0" applyFont="1" applyFill="1" applyBorder="1" applyAlignment="1">
      <alignment horizontal="center" vertical="center" wrapText="1"/>
    </xf>
    <xf numFmtId="0" fontId="32" fillId="17" borderId="1" xfId="0" applyFont="1" applyFill="1" applyBorder="1" applyAlignment="1">
      <alignment horizontal="center" vertical="center" wrapText="1"/>
    </xf>
    <xf numFmtId="9" fontId="30" fillId="0" borderId="1" xfId="0" applyNumberFormat="1" applyFont="1" applyBorder="1" applyAlignment="1">
      <alignment horizontal="center" vertical="center" wrapText="1"/>
    </xf>
    <xf numFmtId="0" fontId="30" fillId="0" borderId="1" xfId="0" quotePrefix="1" applyFont="1" applyBorder="1" applyAlignment="1">
      <alignment horizontal="center" vertical="center" wrapText="1"/>
    </xf>
    <xf numFmtId="0" fontId="29" fillId="18"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9" fontId="30" fillId="0" borderId="1" xfId="3" applyFont="1" applyFill="1" applyBorder="1" applyAlignment="1">
      <alignment horizontal="center" vertical="center" wrapText="1"/>
    </xf>
    <xf numFmtId="170" fontId="30" fillId="0" borderId="1" xfId="0" applyNumberFormat="1" applyFont="1" applyBorder="1" applyAlignment="1">
      <alignment horizontal="center" vertical="center" wrapText="1"/>
    </xf>
    <xf numFmtId="0" fontId="29" fillId="19" borderId="1" xfId="0" applyFont="1" applyFill="1" applyBorder="1" applyAlignment="1">
      <alignment horizontal="center" vertical="center" wrapText="1"/>
    </xf>
    <xf numFmtId="3" fontId="31" fillId="0" borderId="1" xfId="0" applyNumberFormat="1" applyFont="1" applyBorder="1"/>
    <xf numFmtId="6" fontId="30" fillId="0" borderId="1" xfId="0" applyNumberFormat="1" applyFont="1" applyBorder="1" applyAlignment="1">
      <alignment horizontal="center" vertical="center" wrapText="1"/>
    </xf>
    <xf numFmtId="0" fontId="30" fillId="0" borderId="1" xfId="3" applyNumberFormat="1" applyFont="1" applyBorder="1" applyAlignment="1">
      <alignment horizontal="center" vertical="center" wrapText="1"/>
    </xf>
    <xf numFmtId="0" fontId="5" fillId="0" borderId="0" xfId="0" applyFont="1" applyFill="1" applyAlignment="1">
      <alignment wrapText="1"/>
    </xf>
    <xf numFmtId="168" fontId="0" fillId="0" borderId="0" xfId="0" applyNumberFormat="1"/>
    <xf numFmtId="168" fontId="20" fillId="0" borderId="4" xfId="2" applyNumberFormat="1" applyFont="1" applyFill="1" applyBorder="1" applyAlignment="1">
      <alignment vertical="center" wrapText="1"/>
    </xf>
    <xf numFmtId="0" fontId="0" fillId="0" borderId="14" xfId="0" applyBorder="1"/>
    <xf numFmtId="168" fontId="3" fillId="3" borderId="15" xfId="2"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0" fillId="0" borderId="5" xfId="0" applyBorder="1"/>
    <xf numFmtId="0" fontId="0" fillId="0" borderId="0" xfId="0" applyBorder="1"/>
    <xf numFmtId="9" fontId="2" fillId="0" borderId="1" xfId="3" applyFont="1" applyFill="1" applyBorder="1" applyAlignment="1">
      <alignment horizontal="center" vertical="center" wrapText="1"/>
    </xf>
    <xf numFmtId="0" fontId="25" fillId="0" borderId="1" xfId="0"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168" fontId="21" fillId="3" borderId="1" xfId="2" applyNumberFormat="1" applyFont="1" applyFill="1" applyBorder="1" applyAlignment="1">
      <alignment horizontal="center" vertical="center" wrapText="1"/>
    </xf>
    <xf numFmtId="0" fontId="0" fillId="5" borderId="1" xfId="0" applyFill="1" applyBorder="1" applyAlignment="1">
      <alignment horizontal="left"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0" fontId="2" fillId="0" borderId="2" xfId="0" applyFont="1" applyBorder="1" applyAlignment="1">
      <alignment horizontal="left" vertical="center" wrapText="1"/>
    </xf>
    <xf numFmtId="0" fontId="1" fillId="0" borderId="0" xfId="0" applyFont="1" applyBorder="1" applyAlignment="1">
      <alignment vertical="center" wrapText="1"/>
    </xf>
    <xf numFmtId="168" fontId="3" fillId="0" borderId="15" xfId="2" applyNumberFormat="1" applyFont="1" applyFill="1" applyBorder="1" applyAlignment="1">
      <alignment vertical="center"/>
    </xf>
    <xf numFmtId="168" fontId="3" fillId="3" borderId="16" xfId="2" applyNumberFormat="1" applyFont="1" applyFill="1" applyBorder="1" applyAlignment="1">
      <alignment horizontal="center" vertical="center" wrapText="1"/>
    </xf>
    <xf numFmtId="168" fontId="2" fillId="5" borderId="16" xfId="2" applyNumberFormat="1" applyFont="1" applyFill="1" applyBorder="1" applyAlignment="1">
      <alignment horizontal="center" vertical="center" wrapText="1"/>
    </xf>
    <xf numFmtId="168" fontId="2" fillId="2" borderId="16" xfId="2" applyNumberFormat="1" applyFont="1" applyFill="1" applyBorder="1" applyAlignment="1">
      <alignment horizontal="center" vertical="center" wrapText="1"/>
    </xf>
    <xf numFmtId="168" fontId="3" fillId="3" borderId="17" xfId="2" applyNumberFormat="1" applyFont="1" applyFill="1" applyBorder="1" applyAlignment="1">
      <alignment horizontal="center" vertical="center" wrapText="1"/>
    </xf>
    <xf numFmtId="168" fontId="1" fillId="5" borderId="18" xfId="2" applyNumberFormat="1" applyFont="1" applyFill="1" applyBorder="1" applyAlignment="1">
      <alignment horizontal="center" vertical="center" wrapText="1"/>
    </xf>
    <xf numFmtId="168" fontId="1" fillId="5" borderId="16" xfId="2" applyNumberFormat="1" applyFont="1" applyFill="1" applyBorder="1" applyAlignment="1">
      <alignment horizontal="center" vertical="center" wrapText="1"/>
    </xf>
    <xf numFmtId="168" fontId="1" fillId="2" borderId="18" xfId="2" applyNumberFormat="1" applyFont="1" applyFill="1" applyBorder="1" applyAlignment="1">
      <alignment horizontal="center" vertical="center" wrapText="1"/>
    </xf>
    <xf numFmtId="168" fontId="1" fillId="2" borderId="16" xfId="2" applyNumberFormat="1" applyFont="1" applyFill="1" applyBorder="1" applyAlignment="1">
      <alignment horizontal="center" vertical="center" wrapText="1"/>
    </xf>
    <xf numFmtId="168" fontId="24" fillId="0" borderId="2" xfId="2" applyNumberFormat="1" applyFont="1" applyFill="1" applyBorder="1" applyAlignment="1">
      <alignment vertical="center" wrapText="1"/>
    </xf>
    <xf numFmtId="168" fontId="24" fillId="3" borderId="1" xfId="2" applyNumberFormat="1" applyFont="1" applyFill="1" applyBorder="1" applyAlignment="1">
      <alignment horizontal="center" vertical="center" wrapText="1"/>
    </xf>
    <xf numFmtId="168" fontId="25" fillId="5" borderId="1" xfId="2" applyNumberFormat="1" applyFont="1" applyFill="1" applyBorder="1" applyAlignment="1">
      <alignment horizontal="center" vertical="center" wrapText="1"/>
    </xf>
    <xf numFmtId="168" fontId="25" fillId="2" borderId="1" xfId="2" applyNumberFormat="1" applyFont="1" applyFill="1" applyBorder="1" applyAlignment="1">
      <alignment horizontal="center" vertical="center" wrapText="1"/>
    </xf>
    <xf numFmtId="44" fontId="21" fillId="3" borderId="3" xfId="2" applyNumberFormat="1" applyFont="1" applyFill="1" applyBorder="1" applyAlignment="1">
      <alignment horizontal="center" vertical="center" wrapText="1"/>
    </xf>
    <xf numFmtId="44" fontId="24" fillId="20" borderId="20" xfId="2" applyNumberFormat="1" applyFont="1" applyFill="1" applyBorder="1" applyAlignment="1">
      <alignment horizontal="center" vertical="center" wrapText="1"/>
    </xf>
    <xf numFmtId="44" fontId="24" fillId="22" borderId="20" xfId="2" applyNumberFormat="1" applyFont="1" applyFill="1" applyBorder="1" applyAlignment="1">
      <alignment horizontal="center" vertical="center" wrapText="1"/>
    </xf>
    <xf numFmtId="44" fontId="24" fillId="23" borderId="20" xfId="2" applyNumberFormat="1" applyFont="1" applyFill="1" applyBorder="1" applyAlignment="1">
      <alignment horizontal="center" vertical="center" wrapText="1"/>
    </xf>
    <xf numFmtId="44" fontId="24" fillId="24" borderId="20" xfId="2" applyNumberFormat="1" applyFont="1" applyFill="1" applyBorder="1" applyAlignment="1">
      <alignment horizontal="center" vertical="center" wrapText="1"/>
    </xf>
    <xf numFmtId="44" fontId="24" fillId="25" borderId="21" xfId="2" applyNumberFormat="1" applyFont="1" applyFill="1" applyBorder="1" applyAlignment="1">
      <alignment horizontal="center" vertical="center" wrapText="1"/>
    </xf>
    <xf numFmtId="0" fontId="27" fillId="21" borderId="22" xfId="0" applyFont="1" applyFill="1" applyBorder="1" applyAlignment="1">
      <alignment horizontal="center" vertical="center" wrapText="1"/>
    </xf>
    <xf numFmtId="0" fontId="27" fillId="20" borderId="23" xfId="0" applyFont="1" applyFill="1" applyBorder="1" applyAlignment="1">
      <alignment horizontal="center" vertical="center" wrapText="1"/>
    </xf>
    <xf numFmtId="0" fontId="27" fillId="22" borderId="23" xfId="0" applyFont="1" applyFill="1" applyBorder="1" applyAlignment="1">
      <alignment horizontal="center" vertical="center" wrapText="1"/>
    </xf>
    <xf numFmtId="0" fontId="27" fillId="23" borderId="23" xfId="0" applyFont="1" applyFill="1" applyBorder="1" applyAlignment="1">
      <alignment horizontal="center" vertical="center" wrapText="1"/>
    </xf>
    <xf numFmtId="0" fontId="27" fillId="24" borderId="23" xfId="0" applyFont="1" applyFill="1" applyBorder="1" applyAlignment="1">
      <alignment horizontal="center" vertical="center" wrapText="1"/>
    </xf>
    <xf numFmtId="0" fontId="27" fillId="25" borderId="24" xfId="0" applyFont="1" applyFill="1" applyBorder="1" applyAlignment="1">
      <alignment horizontal="center" vertical="center" wrapText="1"/>
    </xf>
    <xf numFmtId="44" fontId="3" fillId="3" borderId="3" xfId="2" applyNumberFormat="1" applyFont="1" applyFill="1" applyBorder="1" applyAlignment="1">
      <alignment horizontal="center" vertical="center" wrapText="1"/>
    </xf>
    <xf numFmtId="8" fontId="3" fillId="0" borderId="11" xfId="2" applyNumberFormat="1" applyFont="1" applyFill="1" applyBorder="1" applyAlignment="1">
      <alignment vertical="center" wrapText="1"/>
    </xf>
    <xf numFmtId="168" fontId="1" fillId="5" borderId="25" xfId="2" applyNumberFormat="1" applyFont="1" applyFill="1" applyBorder="1" applyAlignment="1">
      <alignment horizontal="center" vertical="center" wrapText="1"/>
    </xf>
    <xf numFmtId="8" fontId="24" fillId="21" borderId="26" xfId="2" applyNumberFormat="1" applyFont="1" applyFill="1" applyBorder="1" applyAlignment="1">
      <alignment horizontal="center" vertical="center" wrapText="1"/>
    </xf>
    <xf numFmtId="8" fontId="24" fillId="20" borderId="27" xfId="2" applyNumberFormat="1" applyFont="1" applyFill="1" applyBorder="1" applyAlignment="1">
      <alignment horizontal="center" vertical="center" wrapText="1"/>
    </xf>
    <xf numFmtId="8" fontId="24" fillId="22" borderId="27" xfId="2" applyNumberFormat="1" applyFont="1" applyFill="1" applyBorder="1" applyAlignment="1">
      <alignment horizontal="center" vertical="center" wrapText="1"/>
    </xf>
    <xf numFmtId="8" fontId="24" fillId="23" borderId="27" xfId="2" applyNumberFormat="1" applyFont="1" applyFill="1" applyBorder="1" applyAlignment="1">
      <alignment horizontal="center" vertical="center" wrapText="1"/>
    </xf>
    <xf numFmtId="8" fontId="24" fillId="24" borderId="27" xfId="2" applyNumberFormat="1" applyFont="1" applyFill="1" applyBorder="1" applyAlignment="1">
      <alignment horizontal="center" vertical="center" wrapText="1"/>
    </xf>
    <xf numFmtId="8" fontId="24" fillId="25" borderId="28" xfId="2" applyNumberFormat="1" applyFont="1" applyFill="1" applyBorder="1" applyAlignment="1">
      <alignment horizontal="center" vertical="center" wrapText="1"/>
    </xf>
    <xf numFmtId="44" fontId="33" fillId="5" borderId="1" xfId="2" applyFont="1" applyFill="1" applyBorder="1" applyAlignment="1">
      <alignment horizontal="center" vertical="center" wrapText="1"/>
    </xf>
    <xf numFmtId="44" fontId="33" fillId="2" borderId="1" xfId="2" applyFont="1" applyFill="1" applyBorder="1" applyAlignment="1">
      <alignment horizontal="center" vertical="center" wrapText="1"/>
    </xf>
    <xf numFmtId="168" fontId="25" fillId="5" borderId="3" xfId="2" applyNumberFormat="1" applyFont="1" applyFill="1" applyBorder="1" applyAlignment="1">
      <alignment horizontal="center" vertical="center" wrapText="1"/>
    </xf>
    <xf numFmtId="168" fontId="25" fillId="2" borderId="3" xfId="2"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0" borderId="0" xfId="0" applyAlignment="1">
      <alignment vertical="center"/>
    </xf>
    <xf numFmtId="49" fontId="34" fillId="26" borderId="1" xfId="0" applyNumberFormat="1" applyFont="1" applyFill="1" applyBorder="1" applyAlignment="1">
      <alignment horizontal="center" vertical="center" wrapText="1"/>
    </xf>
    <xf numFmtId="0" fontId="0" fillId="0" borderId="0" xfId="0" applyAlignment="1">
      <alignment horizontal="center" vertical="center"/>
    </xf>
    <xf numFmtId="1" fontId="3" fillId="27" borderId="1" xfId="0" applyNumberFormat="1" applyFont="1" applyFill="1" applyBorder="1" applyAlignment="1">
      <alignment horizontal="center" vertical="center" wrapText="1"/>
    </xf>
    <xf numFmtId="2" fontId="3" fillId="27" borderId="1" xfId="3" applyNumberFormat="1" applyFont="1" applyFill="1" applyBorder="1" applyAlignment="1">
      <alignment horizontal="center" vertical="center" wrapText="1"/>
    </xf>
    <xf numFmtId="2" fontId="35" fillId="27"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0" fillId="0" borderId="0" xfId="0" applyNumberFormat="1"/>
    <xf numFmtId="0" fontId="0" fillId="0" borderId="0" xfId="0" applyFill="1" applyBorder="1" applyAlignment="1">
      <alignment vertical="center" wrapText="1"/>
    </xf>
    <xf numFmtId="0" fontId="13" fillId="0" borderId="0" xfId="0" applyFont="1" applyFill="1" applyBorder="1" applyAlignment="1">
      <alignment vertical="center" wrapText="1"/>
    </xf>
    <xf numFmtId="0" fontId="37" fillId="0" borderId="3" xfId="0" applyFont="1" applyFill="1" applyBorder="1" applyAlignment="1">
      <alignment horizontal="left"/>
    </xf>
    <xf numFmtId="0" fontId="37" fillId="0" borderId="31" xfId="0" applyFont="1" applyFill="1" applyBorder="1" applyAlignment="1">
      <alignment vertical="center"/>
    </xf>
    <xf numFmtId="0" fontId="37" fillId="0" borderId="1" xfId="0" applyFont="1" applyFill="1" applyBorder="1" applyAlignment="1">
      <alignment horizontal="center" vertical="center"/>
    </xf>
    <xf numFmtId="0" fontId="13" fillId="0" borderId="13" xfId="0" applyFont="1" applyFill="1" applyBorder="1" applyAlignment="1"/>
    <xf numFmtId="171" fontId="13" fillId="0" borderId="9" xfId="1" applyNumberFormat="1" applyFont="1" applyFill="1" applyBorder="1" applyAlignment="1">
      <alignment vertical="center"/>
    </xf>
    <xf numFmtId="0" fontId="36" fillId="29" borderId="13" xfId="4" applyBorder="1" applyAlignment="1"/>
    <xf numFmtId="0" fontId="13" fillId="0" borderId="0" xfId="0" applyFont="1" applyFill="1"/>
    <xf numFmtId="0" fontId="37" fillId="0" borderId="13" xfId="0" applyFont="1" applyFill="1" applyBorder="1" applyAlignment="1">
      <alignment vertical="center"/>
    </xf>
    <xf numFmtId="0" fontId="37" fillId="0" borderId="9" xfId="0" applyFont="1" applyFill="1" applyBorder="1" applyAlignment="1">
      <alignment horizontal="center" vertical="center"/>
    </xf>
    <xf numFmtId="0" fontId="13" fillId="30" borderId="13" xfId="0" applyFont="1" applyFill="1" applyBorder="1" applyAlignment="1"/>
    <xf numFmtId="0" fontId="38" fillId="0" borderId="13" xfId="0" applyFont="1" applyFill="1" applyBorder="1" applyAlignment="1"/>
    <xf numFmtId="171" fontId="38" fillId="0" borderId="9" xfId="1" applyNumberFormat="1" applyFont="1" applyFill="1" applyBorder="1" applyAlignment="1">
      <alignment vertical="center"/>
    </xf>
    <xf numFmtId="171" fontId="13" fillId="30" borderId="9" xfId="1" applyNumberFormat="1" applyFont="1" applyFill="1" applyBorder="1" applyAlignment="1">
      <alignment vertical="center"/>
    </xf>
    <xf numFmtId="171" fontId="37" fillId="0" borderId="1" xfId="0" applyNumberFormat="1" applyFont="1" applyFill="1" applyBorder="1" applyAlignment="1">
      <alignment horizontal="center" vertical="center"/>
    </xf>
    <xf numFmtId="0" fontId="37" fillId="0" borderId="32" xfId="0" applyFont="1" applyFill="1" applyBorder="1" applyAlignment="1">
      <alignment horizontal="right" vertical="center"/>
    </xf>
    <xf numFmtId="0" fontId="37" fillId="0" borderId="33" xfId="0" applyFont="1" applyFill="1" applyBorder="1" applyAlignment="1">
      <alignment horizontal="center" vertical="center"/>
    </xf>
    <xf numFmtId="9" fontId="37" fillId="0" borderId="33" xfId="3" applyFont="1" applyFill="1" applyBorder="1" applyAlignment="1">
      <alignment horizontal="center" vertical="center"/>
    </xf>
    <xf numFmtId="9" fontId="37" fillId="0" borderId="34" xfId="3" applyFont="1" applyFill="1" applyBorder="1" applyAlignment="1">
      <alignment horizontal="center" vertical="center"/>
    </xf>
    <xf numFmtId="0" fontId="37" fillId="0" borderId="35" xfId="0" applyFont="1" applyFill="1" applyBorder="1" applyAlignment="1">
      <alignment vertical="center"/>
    </xf>
    <xf numFmtId="0" fontId="37" fillId="31" borderId="1" xfId="0" applyFont="1" applyFill="1" applyBorder="1" applyAlignment="1">
      <alignment horizontal="center" vertical="center"/>
    </xf>
    <xf numFmtId="171" fontId="37" fillId="31" borderId="38" xfId="0" applyNumberFormat="1" applyFont="1" applyFill="1" applyBorder="1" applyAlignment="1">
      <alignment horizontal="center" vertical="center"/>
    </xf>
    <xf numFmtId="0" fontId="13" fillId="30" borderId="0" xfId="0" applyFont="1" applyFill="1" applyBorder="1" applyAlignment="1">
      <alignment vertical="center" wrapText="1"/>
    </xf>
    <xf numFmtId="0" fontId="37" fillId="30" borderId="35" xfId="0" applyFont="1" applyFill="1" applyBorder="1" applyAlignment="1">
      <alignment horizontal="right" vertical="center"/>
    </xf>
    <xf numFmtId="171" fontId="37" fillId="30" borderId="1" xfId="0" applyNumberFormat="1" applyFont="1" applyFill="1" applyBorder="1" applyAlignment="1">
      <alignment horizontal="center" vertical="center"/>
    </xf>
    <xf numFmtId="171" fontId="37" fillId="30" borderId="36" xfId="0" applyNumberFormat="1" applyFont="1" applyFill="1" applyBorder="1" applyAlignment="1">
      <alignment horizontal="center" vertical="center"/>
    </xf>
    <xf numFmtId="0" fontId="37" fillId="32" borderId="37" xfId="0" applyFont="1" applyFill="1" applyBorder="1" applyAlignment="1">
      <alignment horizontal="right" vertical="center"/>
    </xf>
    <xf numFmtId="171" fontId="37" fillId="32" borderId="38" xfId="0" applyNumberFormat="1" applyFont="1" applyFill="1" applyBorder="1" applyAlignment="1">
      <alignment horizontal="center" vertical="center"/>
    </xf>
    <xf numFmtId="171" fontId="37" fillId="32" borderId="39"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1" fontId="2" fillId="5" borderId="3" xfId="0" applyNumberFormat="1" applyFont="1" applyFill="1" applyBorder="1" applyAlignment="1">
      <alignment horizontal="center" vertical="center" wrapText="1"/>
    </xf>
    <xf numFmtId="1" fontId="2" fillId="2" borderId="8" xfId="0" applyNumberFormat="1"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49" fontId="34" fillId="33" borderId="1" xfId="0" applyNumberFormat="1" applyFont="1" applyFill="1" applyBorder="1" applyAlignment="1">
      <alignment horizontal="left" vertical="center" wrapText="1"/>
    </xf>
    <xf numFmtId="49" fontId="34" fillId="33"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0" fontId="39" fillId="0" borderId="0" xfId="0" applyFont="1"/>
    <xf numFmtId="0" fontId="21" fillId="3" borderId="1" xfId="0" applyFont="1" applyFill="1" applyBorder="1" applyAlignment="1">
      <alignment horizontal="left" vertical="center" wrapText="1"/>
    </xf>
    <xf numFmtId="164" fontId="21" fillId="27"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1" fontId="21" fillId="27"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 fontId="41" fillId="3" borderId="1" xfId="0" applyNumberFormat="1" applyFont="1" applyFill="1" applyBorder="1" applyAlignment="1">
      <alignment horizontal="left" vertical="center" wrapText="1"/>
    </xf>
    <xf numFmtId="1" fontId="41" fillId="3" borderId="1" xfId="0" applyNumberFormat="1" applyFont="1" applyFill="1" applyBorder="1" applyAlignment="1">
      <alignment horizontal="center" vertical="center" wrapText="1"/>
    </xf>
    <xf numFmtId="0" fontId="42" fillId="3" borderId="1" xfId="0" applyFont="1" applyFill="1" applyBorder="1" applyAlignment="1">
      <alignment horizontal="left" vertical="center"/>
    </xf>
    <xf numFmtId="0" fontId="41" fillId="3" borderId="1" xfId="0" applyFont="1" applyFill="1" applyBorder="1" applyAlignment="1">
      <alignment horizontal="left" vertical="center" wrapText="1"/>
    </xf>
    <xf numFmtId="164" fontId="43" fillId="27"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2" fontId="32" fillId="0" borderId="8" xfId="0" applyNumberFormat="1" applyFont="1" applyBorder="1" applyAlignment="1">
      <alignment horizontal="center" vertical="center" wrapText="1"/>
    </xf>
    <xf numFmtId="2" fontId="32" fillId="0" borderId="10"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7" fontId="45" fillId="34" borderId="1" xfId="0" applyNumberFormat="1" applyFont="1" applyFill="1" applyBorder="1" applyAlignment="1">
      <alignment horizontal="center" vertical="center" wrapText="1"/>
    </xf>
    <xf numFmtId="17" fontId="45" fillId="2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 fontId="0"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0" fillId="0" borderId="0" xfId="0" applyNumberFormat="1" applyAlignment="1"/>
    <xf numFmtId="0" fontId="0" fillId="0" borderId="0" xfId="0" applyAlignment="1"/>
    <xf numFmtId="1" fontId="26" fillId="5" borderId="1" xfId="0" applyNumberFormat="1" applyFont="1" applyFill="1" applyBorder="1" applyAlignment="1">
      <alignment horizontal="center" vertical="center"/>
    </xf>
    <xf numFmtId="0" fontId="2" fillId="0" borderId="0" xfId="0" applyFont="1"/>
    <xf numFmtId="10" fontId="2" fillId="0" borderId="0" xfId="0" applyNumberFormat="1" applyFont="1"/>
    <xf numFmtId="0" fontId="1" fillId="28" borderId="1" xfId="0" applyFont="1" applyFill="1" applyBorder="1" applyAlignment="1">
      <alignment horizontal="center"/>
    </xf>
    <xf numFmtId="9" fontId="2" fillId="0" borderId="1" xfId="0" applyNumberFormat="1" applyFont="1" applyBorder="1" applyAlignment="1">
      <alignment horizontal="center"/>
    </xf>
    <xf numFmtId="9" fontId="2" fillId="27" borderId="1" xfId="0" applyNumberFormat="1" applyFont="1" applyFill="1" applyBorder="1" applyAlignment="1">
      <alignment horizontal="center"/>
    </xf>
    <xf numFmtId="2" fontId="0" fillId="5" borderId="30" xfId="0" applyNumberFormat="1" applyFill="1" applyBorder="1" applyAlignment="1">
      <alignment horizontal="center" vertical="center"/>
    </xf>
    <xf numFmtId="9" fontId="0" fillId="35" borderId="30" xfId="0" applyNumberFormat="1" applyFill="1" applyBorder="1" applyAlignment="1">
      <alignment horizontal="center"/>
    </xf>
    <xf numFmtId="0" fontId="0" fillId="35" borderId="29"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34" fillId="33" borderId="1"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0" borderId="0" xfId="0" applyFont="1" applyFill="1"/>
    <xf numFmtId="1" fontId="47" fillId="27" borderId="1" xfId="0" applyNumberFormat="1" applyFont="1" applyFill="1" applyBorder="1" applyAlignment="1">
      <alignment horizontal="center" vertical="center" wrapText="1"/>
    </xf>
    <xf numFmtId="0" fontId="0" fillId="5" borderId="29" xfId="0" applyFill="1" applyBorder="1" applyAlignment="1">
      <alignment horizontal="center" vertical="center" wrapText="1"/>
    </xf>
    <xf numFmtId="17" fontId="48" fillId="0" borderId="0" xfId="0" applyNumberFormat="1" applyFont="1" applyAlignment="1">
      <alignment horizontal="center" wrapText="1"/>
    </xf>
    <xf numFmtId="0" fontId="48" fillId="0" borderId="0" xfId="0" applyFont="1"/>
    <xf numFmtId="17" fontId="48" fillId="0" borderId="0" xfId="0" applyNumberFormat="1" applyFont="1" applyAlignment="1">
      <alignment horizontal="center"/>
    </xf>
    <xf numFmtId="3" fontId="48" fillId="0" borderId="0" xfId="0" applyNumberFormat="1" applyFont="1"/>
    <xf numFmtId="3" fontId="48" fillId="0" borderId="0" xfId="0" applyNumberFormat="1" applyFont="1" applyFill="1"/>
    <xf numFmtId="3" fontId="48" fillId="36" borderId="0" xfId="0" applyNumberFormat="1" applyFont="1" applyFill="1"/>
    <xf numFmtId="0" fontId="22" fillId="0" borderId="1" xfId="0" applyFont="1" applyBorder="1" applyAlignment="1">
      <alignment horizontal="right" vertical="center" wrapText="1"/>
    </xf>
    <xf numFmtId="0" fontId="22" fillId="0" borderId="1" xfId="0" applyFont="1" applyBorder="1" applyAlignment="1">
      <alignment horizontal="left" vertical="center" wrapText="1"/>
    </xf>
    <xf numFmtId="3" fontId="0" fillId="0" borderId="0" xfId="0" applyNumberFormat="1" applyAlignment="1">
      <alignment horizontal="center" vertical="center"/>
    </xf>
    <xf numFmtId="1" fontId="0" fillId="0" borderId="10" xfId="0" applyNumberFormat="1" applyBorder="1" applyAlignment="1">
      <alignment horizontal="center" vertical="center" wrapText="1"/>
    </xf>
    <xf numFmtId="1" fontId="0" fillId="27" borderId="10" xfId="0" applyNumberFormat="1" applyFill="1" applyBorder="1" applyAlignment="1">
      <alignment horizontal="center" vertical="center" wrapText="1"/>
    </xf>
    <xf numFmtId="1" fontId="0" fillId="27" borderId="1" xfId="0" applyNumberFormat="1" applyFill="1" applyBorder="1" applyAlignment="1">
      <alignment horizontal="center" vertical="center" wrapText="1"/>
    </xf>
    <xf numFmtId="1" fontId="22" fillId="0" borderId="10" xfId="0" applyNumberFormat="1" applyFont="1" applyBorder="1" applyAlignment="1">
      <alignment horizontal="center" vertical="center" wrapText="1"/>
    </xf>
    <xf numFmtId="1" fontId="22" fillId="27" borderId="1" xfId="0" applyNumberFormat="1" applyFont="1" applyFill="1" applyBorder="1" applyAlignment="1">
      <alignment horizontal="center" vertical="center" wrapText="1"/>
    </xf>
    <xf numFmtId="1" fontId="22" fillId="0" borderId="1" xfId="0" applyNumberFormat="1" applyFont="1" applyBorder="1" applyAlignment="1">
      <alignment horizontal="center" vertical="center" wrapText="1"/>
    </xf>
    <xf numFmtId="3" fontId="0" fillId="0" borderId="0" xfId="0" applyNumberFormat="1"/>
    <xf numFmtId="0" fontId="21" fillId="27"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 fontId="21" fillId="27" borderId="8" xfId="0" applyNumberFormat="1" applyFont="1" applyFill="1" applyBorder="1" applyAlignment="1">
      <alignment horizontal="center" vertical="center" wrapText="1"/>
    </xf>
    <xf numFmtId="1" fontId="21" fillId="27" borderId="9" xfId="0" applyNumberFormat="1" applyFont="1" applyFill="1" applyBorder="1" applyAlignment="1">
      <alignment horizontal="center" vertical="center" wrapText="1"/>
    </xf>
    <xf numFmtId="1" fontId="21" fillId="27" borderId="10"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3" fontId="21" fillId="27" borderId="1" xfId="0" applyNumberFormat="1" applyFont="1" applyFill="1" applyBorder="1" applyAlignment="1">
      <alignment horizontal="center" vertical="center" wrapText="1"/>
    </xf>
    <xf numFmtId="171" fontId="37" fillId="0" borderId="9" xfId="0" applyNumberFormat="1" applyFont="1" applyFill="1" applyBorder="1" applyAlignment="1">
      <alignment horizontal="center" vertical="center"/>
    </xf>
    <xf numFmtId="171" fontId="0" fillId="0" borderId="0" xfId="0" applyNumberFormat="1"/>
    <xf numFmtId="0" fontId="25"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8" fontId="24" fillId="21" borderId="19" xfId="2" applyNumberFormat="1" applyFont="1" applyFill="1" applyBorder="1" applyAlignment="1">
      <alignment horizontal="center" vertical="center" wrapText="1"/>
    </xf>
    <xf numFmtId="0" fontId="2" fillId="0" borderId="6" xfId="0" applyFont="1" applyBorder="1" applyAlignment="1">
      <alignment horizontal="left" vertical="center" wrapText="1"/>
    </xf>
    <xf numFmtId="168" fontId="3" fillId="9" borderId="1" xfId="2" applyNumberFormat="1" applyFont="1" applyFill="1" applyBorder="1" applyAlignment="1">
      <alignment vertical="center" wrapText="1"/>
    </xf>
    <xf numFmtId="170" fontId="0" fillId="0" borderId="0" xfId="3" applyNumberFormat="1" applyFont="1"/>
    <xf numFmtId="2" fontId="1" fillId="0" borderId="0" xfId="0" applyNumberFormat="1" applyFont="1" applyBorder="1" applyAlignment="1">
      <alignment vertical="center" wrapText="1"/>
    </xf>
    <xf numFmtId="3" fontId="2" fillId="3" borderId="4" xfId="0" applyNumberFormat="1" applyFont="1" applyFill="1" applyBorder="1" applyAlignment="1">
      <alignment horizontal="center" vertical="center" wrapText="1"/>
    </xf>
    <xf numFmtId="165" fontId="0" fillId="0" borderId="0" xfId="0" applyNumberFormat="1"/>
    <xf numFmtId="9" fontId="35" fillId="27" borderId="1" xfId="3" applyFont="1" applyFill="1" applyBorder="1" applyAlignment="1">
      <alignment horizontal="center" vertical="center" wrapText="1"/>
    </xf>
    <xf numFmtId="0" fontId="2" fillId="0" borderId="1" xfId="0" applyFont="1" applyFill="1" applyBorder="1" applyAlignment="1">
      <alignment horizontal="center" vertical="center" wrapText="1"/>
    </xf>
    <xf numFmtId="1" fontId="0" fillId="0" borderId="1" xfId="0" applyNumberFormat="1" applyBorder="1"/>
    <xf numFmtId="1" fontId="26" fillId="5" borderId="1" xfId="0" applyNumberFormat="1" applyFont="1" applyFill="1" applyBorder="1"/>
    <xf numFmtId="168" fontId="1" fillId="31" borderId="1" xfId="2" applyNumberFormat="1" applyFont="1" applyFill="1" applyBorder="1" applyAlignment="1">
      <alignment horizontal="center" vertical="center" wrapText="1"/>
    </xf>
    <xf numFmtId="0" fontId="53" fillId="0" borderId="0" xfId="0" applyFont="1"/>
    <xf numFmtId="165" fontId="28" fillId="7" borderId="3" xfId="1" applyNumberFormat="1" applyFont="1" applyFill="1" applyBorder="1" applyAlignment="1">
      <alignment horizontal="center" vertical="center" wrapText="1"/>
    </xf>
    <xf numFmtId="165" fontId="28" fillId="7" borderId="4" xfId="1" applyNumberFormat="1" applyFont="1" applyFill="1" applyBorder="1" applyAlignment="1">
      <alignment horizontal="center" vertical="center" wrapText="1"/>
    </xf>
    <xf numFmtId="44" fontId="1" fillId="31" borderId="1" xfId="2" applyFont="1" applyFill="1" applyBorder="1" applyAlignment="1">
      <alignment horizontal="center" vertical="center" wrapText="1"/>
    </xf>
    <xf numFmtId="3" fontId="31" fillId="0" borderId="1" xfId="0" applyNumberFormat="1" applyFont="1" applyBorder="1" applyAlignment="1">
      <alignment horizontal="center"/>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2" fontId="31" fillId="0" borderId="8" xfId="0" applyNumberFormat="1" applyFont="1" applyBorder="1" applyAlignment="1">
      <alignment horizontal="center" vertical="center" wrapText="1"/>
    </xf>
    <xf numFmtId="2" fontId="31" fillId="0" borderId="10" xfId="0" applyNumberFormat="1" applyFont="1" applyBorder="1" applyAlignment="1">
      <alignment horizontal="center" vertical="center" wrapText="1"/>
    </xf>
    <xf numFmtId="6" fontId="30" fillId="0" borderId="8" xfId="0" applyNumberFormat="1" applyFont="1" applyBorder="1" applyAlignment="1">
      <alignment horizontal="center" vertical="center" wrapText="1"/>
    </xf>
    <xf numFmtId="6" fontId="30" fillId="0" borderId="10" xfId="0" applyNumberFormat="1" applyFont="1" applyBorder="1" applyAlignment="1">
      <alignment horizontal="center" vertical="center" wrapText="1"/>
    </xf>
    <xf numFmtId="2" fontId="32" fillId="0" borderId="8" xfId="0" applyNumberFormat="1" applyFont="1" applyBorder="1" applyAlignment="1">
      <alignment horizontal="center" vertical="center" wrapText="1"/>
    </xf>
    <xf numFmtId="2" fontId="32" fillId="0" borderId="10" xfId="0" applyNumberFormat="1" applyFont="1" applyBorder="1" applyAlignment="1">
      <alignment horizontal="center" vertical="center" wrapText="1"/>
    </xf>
    <xf numFmtId="0" fontId="2" fillId="0" borderId="1" xfId="0" applyFont="1" applyBorder="1" applyAlignment="1">
      <alignment horizontal="left"/>
    </xf>
    <xf numFmtId="0" fontId="1" fillId="28" borderId="1" xfId="0" applyFont="1" applyFill="1" applyBorder="1" applyAlignment="1">
      <alignment horizontal="center"/>
    </xf>
    <xf numFmtId="1" fontId="3" fillId="4" borderId="8" xfId="0" applyNumberFormat="1" applyFont="1" applyFill="1" applyBorder="1" applyAlignment="1">
      <alignment horizontal="center" vertical="center" wrapText="1"/>
    </xf>
    <xf numFmtId="1" fontId="3" fillId="4" borderId="9" xfId="0" applyNumberFormat="1"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20" fillId="4" borderId="8" xfId="0" applyNumberFormat="1" applyFont="1" applyFill="1" applyBorder="1" applyAlignment="1">
      <alignment horizontal="center" vertical="center" wrapText="1"/>
    </xf>
    <xf numFmtId="1" fontId="20" fillId="4" borderId="9" xfId="0" applyNumberFormat="1" applyFont="1" applyFill="1" applyBorder="1" applyAlignment="1">
      <alignment horizontal="center" vertical="center" wrapText="1"/>
    </xf>
    <xf numFmtId="1" fontId="20" fillId="4" borderId="10" xfId="0" applyNumberFormat="1" applyFont="1" applyFill="1" applyBorder="1" applyAlignment="1">
      <alignment horizontal="center" vertical="center" wrapText="1"/>
    </xf>
    <xf numFmtId="0" fontId="0" fillId="4" borderId="8" xfId="0" applyFill="1" applyBorder="1" applyAlignment="1">
      <alignment horizontal="left" vertical="center"/>
    </xf>
    <xf numFmtId="0" fontId="0" fillId="4" borderId="9" xfId="0" applyFont="1" applyFill="1" applyBorder="1" applyAlignment="1">
      <alignment horizontal="left" vertical="center"/>
    </xf>
    <xf numFmtId="0" fontId="0" fillId="4" borderId="10"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164" fontId="2" fillId="4" borderId="8" xfId="0" applyNumberFormat="1" applyFont="1" applyFill="1" applyBorder="1" applyAlignment="1">
      <alignment horizontal="center" vertical="center" wrapText="1"/>
    </xf>
    <xf numFmtId="164" fontId="2" fillId="4" borderId="9" xfId="0" applyNumberFormat="1" applyFont="1" applyFill="1" applyBorder="1" applyAlignment="1">
      <alignment horizontal="center" vertical="center" wrapText="1"/>
    </xf>
    <xf numFmtId="164" fontId="2" fillId="4" borderId="10" xfId="0" applyNumberFormat="1" applyFont="1" applyFill="1" applyBorder="1" applyAlignment="1">
      <alignment horizontal="center" vertical="center" wrapText="1"/>
    </xf>
    <xf numFmtId="1" fontId="3" fillId="4" borderId="8" xfId="0" applyNumberFormat="1" applyFont="1" applyFill="1" applyBorder="1" applyAlignment="1">
      <alignment horizontal="left" vertical="center" wrapText="1"/>
    </xf>
    <xf numFmtId="1" fontId="3" fillId="4" borderId="9" xfId="0" applyNumberFormat="1" applyFont="1" applyFill="1" applyBorder="1" applyAlignment="1">
      <alignment horizontal="left" vertical="center" wrapText="1"/>
    </xf>
    <xf numFmtId="1" fontId="3" fillId="4" borderId="10" xfId="0" applyNumberFormat="1" applyFont="1" applyFill="1" applyBorder="1" applyAlignment="1">
      <alignment horizontal="left" vertical="center" wrapText="1"/>
    </xf>
    <xf numFmtId="1" fontId="21" fillId="27" borderId="8" xfId="0" applyNumberFormat="1" applyFont="1" applyFill="1" applyBorder="1" applyAlignment="1">
      <alignment horizontal="center" vertical="center" wrapText="1"/>
    </xf>
    <xf numFmtId="1" fontId="21" fillId="27" borderId="9" xfId="0" applyNumberFormat="1" applyFont="1" applyFill="1" applyBorder="1" applyAlignment="1">
      <alignment horizontal="center" vertical="center" wrapText="1"/>
    </xf>
    <xf numFmtId="1" fontId="21" fillId="27" borderId="10" xfId="0" applyNumberFormat="1" applyFont="1" applyFill="1" applyBorder="1" applyAlignment="1">
      <alignment horizontal="center" vertical="center" wrapText="1"/>
    </xf>
    <xf numFmtId="0" fontId="0" fillId="4" borderId="8"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1" fontId="3" fillId="3" borderId="9" xfId="0" applyNumberFormat="1"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3" borderId="8"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10" xfId="0" applyNumberFormat="1" applyFont="1" applyFill="1" applyBorder="1" applyAlignment="1">
      <alignment horizontal="left" vertical="center" wrapText="1"/>
    </xf>
    <xf numFmtId="1" fontId="3" fillId="27" borderId="8" xfId="0" applyNumberFormat="1" applyFont="1" applyFill="1" applyBorder="1" applyAlignment="1">
      <alignment horizontal="center" vertical="center" wrapText="1"/>
    </xf>
    <xf numFmtId="1" fontId="3" fillId="27" borderId="9" xfId="0" applyNumberFormat="1" applyFont="1" applyFill="1" applyBorder="1" applyAlignment="1">
      <alignment horizontal="center" vertical="center" wrapText="1"/>
    </xf>
    <xf numFmtId="1" fontId="3" fillId="27" borderId="1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0" fillId="3" borderId="8" xfId="0" applyNumberFormat="1" applyFont="1" applyFill="1" applyBorder="1" applyAlignment="1">
      <alignment horizontal="center" vertical="center" wrapText="1"/>
    </xf>
    <xf numFmtId="1" fontId="20" fillId="3" borderId="9" xfId="0" applyNumberFormat="1" applyFont="1" applyFill="1" applyBorder="1" applyAlignment="1">
      <alignment horizontal="center" vertical="center" wrapText="1"/>
    </xf>
    <xf numFmtId="1" fontId="20" fillId="3" borderId="10" xfId="0" applyNumberFormat="1" applyFont="1" applyFill="1" applyBorder="1" applyAlignment="1">
      <alignment horizontal="center" vertical="center" wrapText="1"/>
    </xf>
    <xf numFmtId="1" fontId="2" fillId="2" borderId="8" xfId="0" applyNumberFormat="1" applyFont="1" applyFill="1" applyBorder="1" applyAlignment="1">
      <alignment horizontal="center" vertical="center" wrapText="1"/>
    </xf>
    <xf numFmtId="1" fontId="2" fillId="2" borderId="10" xfId="0" applyNumberFormat="1" applyFont="1" applyFill="1" applyBorder="1" applyAlignment="1">
      <alignment horizontal="center" vertical="center" wrapText="1"/>
    </xf>
    <xf numFmtId="1" fontId="2" fillId="5" borderId="8" xfId="0" applyNumberFormat="1" applyFont="1" applyFill="1" applyBorder="1" applyAlignment="1">
      <alignment horizontal="center" vertical="center" wrapText="1"/>
    </xf>
    <xf numFmtId="1" fontId="2" fillId="5" borderId="10" xfId="0" applyNumberFormat="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10"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0" fillId="5" borderId="9" xfId="0" applyFont="1" applyFill="1" applyBorder="1" applyAlignment="1">
      <alignment horizontal="center" vertical="center"/>
    </xf>
    <xf numFmtId="0" fontId="2" fillId="5" borderId="9" xfId="0" applyFont="1" applyFill="1" applyBorder="1" applyAlignment="1">
      <alignment horizontal="center" vertical="center" wrapText="1"/>
    </xf>
    <xf numFmtId="1" fontId="2" fillId="5" borderId="9" xfId="0" applyNumberFormat="1" applyFont="1" applyFill="1" applyBorder="1" applyAlignment="1">
      <alignment horizontal="center" vertical="center" wrapText="1"/>
    </xf>
    <xf numFmtId="1" fontId="25" fillId="2" borderId="8" xfId="0" applyNumberFormat="1" applyFont="1" applyFill="1" applyBorder="1" applyAlignment="1">
      <alignment horizontal="center" vertical="center" wrapText="1"/>
    </xf>
    <xf numFmtId="1" fontId="25" fillId="2" borderId="1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applyAlignment="1">
      <alignment horizontal="center" vertical="center"/>
    </xf>
    <xf numFmtId="0" fontId="22" fillId="0" borderId="1" xfId="0" applyFont="1" applyFill="1" applyBorder="1" applyAlignment="1">
      <alignment horizontal="center" vertical="center"/>
    </xf>
    <xf numFmtId="0" fontId="9" fillId="10" borderId="0" xfId="0" applyFont="1" applyFill="1" applyAlignment="1">
      <alignment horizontal="center" vertical="center"/>
    </xf>
    <xf numFmtId="0" fontId="9" fillId="10" borderId="0" xfId="0" applyFont="1" applyFill="1" applyAlignment="1">
      <alignment horizontal="center"/>
    </xf>
    <xf numFmtId="0" fontId="11" fillId="11" borderId="0" xfId="0" applyFont="1" applyFill="1" applyAlignment="1">
      <alignment horizontal="center"/>
    </xf>
    <xf numFmtId="0" fontId="11" fillId="11" borderId="0" xfId="0" applyFont="1" applyFill="1" applyAlignment="1">
      <alignment horizontal="center" vertical="center" wrapText="1"/>
    </xf>
    <xf numFmtId="0" fontId="11" fillId="11" borderId="0" xfId="0" applyFont="1" applyFill="1" applyAlignment="1">
      <alignment horizontal="center" vertical="top"/>
    </xf>
    <xf numFmtId="0" fontId="11" fillId="11" borderId="0" xfId="0" applyFont="1" applyFill="1" applyAlignment="1">
      <alignment horizontal="center" vertical="center"/>
    </xf>
    <xf numFmtId="0" fontId="37" fillId="0" borderId="3" xfId="0" applyFont="1" applyFill="1" applyBorder="1" applyAlignment="1">
      <alignment horizontal="center"/>
    </xf>
    <xf numFmtId="0" fontId="37" fillId="0" borderId="4" xfId="0" applyFont="1" applyFill="1" applyBorder="1" applyAlignment="1">
      <alignment horizontal="center"/>
    </xf>
    <xf numFmtId="0" fontId="37" fillId="0" borderId="2" xfId="0" applyFont="1" applyFill="1" applyBorder="1" applyAlignment="1">
      <alignment horizontal="center"/>
    </xf>
    <xf numFmtId="0" fontId="0" fillId="0" borderId="1" xfId="0" applyBorder="1" applyAlignment="1">
      <alignment horizontal="center" vertical="center" wrapText="1"/>
    </xf>
    <xf numFmtId="49" fontId="34" fillId="33" borderId="1" xfId="0" applyNumberFormat="1" applyFont="1" applyFill="1" applyBorder="1" applyAlignment="1">
      <alignment horizontal="center" vertical="center" wrapText="1"/>
    </xf>
    <xf numFmtId="0" fontId="26" fillId="0" borderId="3" xfId="0" applyFont="1" applyBorder="1" applyAlignment="1">
      <alignment horizontal="left"/>
    </xf>
    <xf numFmtId="0" fontId="26" fillId="0" borderId="4" xfId="0" applyFont="1" applyBorder="1" applyAlignment="1">
      <alignment horizontal="left"/>
    </xf>
    <xf numFmtId="0" fontId="26" fillId="0" borderId="2" xfId="0" applyFont="1" applyBorder="1" applyAlignment="1">
      <alignment horizontal="left"/>
    </xf>
    <xf numFmtId="0" fontId="26" fillId="22" borderId="1" xfId="0" applyFont="1" applyFill="1" applyBorder="1" applyAlignment="1">
      <alignment vertical="center"/>
    </xf>
    <xf numFmtId="0" fontId="0" fillId="0" borderId="40"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26" fillId="5" borderId="3" xfId="0" applyFont="1" applyFill="1" applyBorder="1" applyAlignment="1">
      <alignment horizontal="right" vertical="center"/>
    </xf>
    <xf numFmtId="0" fontId="26" fillId="5" borderId="4" xfId="0" applyFont="1" applyFill="1" applyBorder="1" applyAlignment="1">
      <alignment horizontal="right" vertical="center"/>
    </xf>
    <xf numFmtId="0" fontId="26" fillId="5" borderId="2" xfId="0" applyFont="1" applyFill="1" applyBorder="1" applyAlignment="1">
      <alignment horizontal="right" vertical="center"/>
    </xf>
    <xf numFmtId="1" fontId="25" fillId="2" borderId="9" xfId="0" applyNumberFormat="1" applyFont="1" applyFill="1" applyBorder="1" applyAlignment="1">
      <alignment horizontal="center" vertical="center" wrapText="1"/>
    </xf>
    <xf numFmtId="0" fontId="0" fillId="0" borderId="1" xfId="0" applyBorder="1" applyAlignment="1">
      <alignment horizontal="right"/>
    </xf>
    <xf numFmtId="3" fontId="0" fillId="0" borderId="0" xfId="0" applyNumberFormat="1" applyAlignment="1">
      <alignment horizontal="center" vertical="center"/>
    </xf>
    <xf numFmtId="0" fontId="0" fillId="0" borderId="0" xfId="0" applyAlignment="1">
      <alignment horizontal="center" vertical="center"/>
    </xf>
    <xf numFmtId="9" fontId="0" fillId="0" borderId="0" xfId="3" applyFont="1" applyAlignment="1">
      <alignment horizontal="center" vertical="center"/>
    </xf>
    <xf numFmtId="3" fontId="32" fillId="37" borderId="1" xfId="0" applyNumberFormat="1" applyFont="1" applyFill="1" applyBorder="1" applyAlignment="1">
      <alignment horizontal="center"/>
    </xf>
    <xf numFmtId="0" fontId="1" fillId="37" borderId="3" xfId="0" applyFont="1" applyFill="1" applyBorder="1" applyAlignment="1">
      <alignment horizontal="left"/>
    </xf>
    <xf numFmtId="0" fontId="1" fillId="37" borderId="4" xfId="0" applyFont="1" applyFill="1" applyBorder="1" applyAlignment="1">
      <alignment horizontal="left"/>
    </xf>
    <xf numFmtId="0" fontId="1" fillId="37" borderId="2" xfId="0" applyFont="1" applyFill="1" applyBorder="1" applyAlignment="1">
      <alignment horizontal="left"/>
    </xf>
    <xf numFmtId="0" fontId="26" fillId="38" borderId="3" xfId="0" applyFont="1" applyFill="1" applyBorder="1" applyAlignment="1">
      <alignment horizontal="center" vertical="center" wrapText="1"/>
    </xf>
    <xf numFmtId="0" fontId="26" fillId="38" borderId="4" xfId="0" applyFont="1" applyFill="1" applyBorder="1" applyAlignment="1">
      <alignment horizontal="center" vertical="center" wrapText="1"/>
    </xf>
    <xf numFmtId="0" fontId="26" fillId="38" borderId="2" xfId="0" applyFont="1" applyFill="1" applyBorder="1" applyAlignment="1">
      <alignment horizontal="center" vertical="center" wrapText="1"/>
    </xf>
    <xf numFmtId="0" fontId="26" fillId="38" borderId="1" xfId="0" applyFont="1" applyFill="1" applyBorder="1" applyAlignment="1">
      <alignment horizontal="center" vertical="center" wrapText="1"/>
    </xf>
    <xf numFmtId="0" fontId="26" fillId="38" borderId="1" xfId="0" applyFont="1" applyFill="1" applyBorder="1" applyAlignment="1">
      <alignment horizontal="left" vertical="center" wrapText="1"/>
    </xf>
    <xf numFmtId="0" fontId="0" fillId="38" borderId="1" xfId="0" applyFill="1" applyBorder="1" applyAlignment="1">
      <alignment horizontal="center" vertical="center"/>
    </xf>
    <xf numFmtId="0" fontId="0" fillId="38" borderId="1" xfId="0" applyFont="1" applyFill="1" applyBorder="1" applyAlignment="1">
      <alignment horizontal="center" vertical="center" wrapText="1"/>
    </xf>
    <xf numFmtId="0" fontId="51" fillId="38" borderId="1" xfId="0" applyFont="1" applyFill="1" applyBorder="1" applyAlignment="1">
      <alignment vertical="center" wrapText="1"/>
    </xf>
    <xf numFmtId="8" fontId="0" fillId="38" borderId="1" xfId="0" applyNumberFormat="1" applyFill="1" applyBorder="1" applyAlignment="1">
      <alignment horizontal="center" vertical="center"/>
    </xf>
    <xf numFmtId="0" fontId="52" fillId="38" borderId="1" xfId="0" applyFont="1" applyFill="1" applyBorder="1" applyAlignment="1">
      <alignment vertical="center" wrapText="1"/>
    </xf>
    <xf numFmtId="0" fontId="13" fillId="38" borderId="0" xfId="0" applyFont="1" applyFill="1" applyBorder="1" applyAlignment="1">
      <alignment vertical="center" wrapText="1"/>
    </xf>
    <xf numFmtId="0" fontId="13" fillId="38" borderId="13" xfId="0" applyFont="1" applyFill="1" applyBorder="1" applyAlignment="1"/>
    <xf numFmtId="171" fontId="13" fillId="38" borderId="9" xfId="1" applyNumberFormat="1" applyFont="1" applyFill="1" applyBorder="1" applyAlignment="1">
      <alignment vertical="center"/>
    </xf>
    <xf numFmtId="0" fontId="40" fillId="38" borderId="0" xfId="0" applyFont="1" applyFill="1"/>
    <xf numFmtId="3" fontId="48" fillId="38" borderId="0" xfId="0" applyNumberFormat="1" applyFont="1" applyFill="1"/>
  </cellXfs>
  <cellStyles count="9">
    <cellStyle name="Bad" xfId="4" builtinId="27"/>
    <cellStyle name="Comma" xfId="1" builtinId="3"/>
    <cellStyle name="Currency" xfId="2" builtinId="4"/>
    <cellStyle name="Normal" xfId="0" builtinId="0"/>
    <cellStyle name="Normal 10" xfId="6"/>
    <cellStyle name="Normal 114" xfId="7"/>
    <cellStyle name="Normal 2 2" xfId="5"/>
    <cellStyle name="Normal 9" xfId="8"/>
    <cellStyle name="Percent" xfId="3" builtinId="5"/>
  </cellStyles>
  <dxfs count="0"/>
  <tableStyles count="0" defaultTableStyle="TableStyleMedium9" defaultPivotStyle="PivotStyleLight16"/>
  <colors>
    <mruColors>
      <color rgb="FFFF6600"/>
      <color rgb="FFFFFF99"/>
      <color rgb="FFFFFF85"/>
      <color rgb="FFFF7C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a:pPr>
            <a:r>
              <a:rPr lang="en-AU"/>
              <a:t>Graph</a:t>
            </a:r>
            <a:r>
              <a:rPr lang="en-AU" baseline="0"/>
              <a:t> Change of Customers</a:t>
            </a:r>
          </a:p>
          <a:p>
            <a:pPr>
              <a:defRPr/>
            </a:pPr>
            <a:r>
              <a:rPr lang="en-AU" sz="1200" baseline="0"/>
              <a:t>(Second half of year, less new customer)</a:t>
            </a:r>
            <a:endParaRPr lang="en-AU"/>
          </a:p>
        </c:rich>
      </c:tx>
      <c:layout/>
    </c:title>
    <c:plotArea>
      <c:layout/>
      <c:scatterChart>
        <c:scatterStyle val="lineMarker"/>
        <c:ser>
          <c:idx val="0"/>
          <c:order val="0"/>
          <c:xVal>
            <c:numRef>
              <c:f>'Historical Customer Numbers'!$A$64:$A$81</c:f>
              <c:numCache>
                <c:formatCode>mmm\-yy</c:formatCode>
                <c:ptCount val="18"/>
                <c:pt idx="0">
                  <c:v>41091</c:v>
                </c:pt>
                <c:pt idx="1">
                  <c:v>41122</c:v>
                </c:pt>
                <c:pt idx="2">
                  <c:v>41153</c:v>
                </c:pt>
                <c:pt idx="3">
                  <c:v>41183</c:v>
                </c:pt>
                <c:pt idx="4">
                  <c:v>41214</c:v>
                </c:pt>
                <c:pt idx="5">
                  <c:v>41244</c:v>
                </c:pt>
                <c:pt idx="6">
                  <c:v>41275</c:v>
                </c:pt>
                <c:pt idx="7">
                  <c:v>41306</c:v>
                </c:pt>
                <c:pt idx="8">
                  <c:v>41334</c:v>
                </c:pt>
                <c:pt idx="9">
                  <c:v>41365</c:v>
                </c:pt>
                <c:pt idx="10">
                  <c:v>41395</c:v>
                </c:pt>
                <c:pt idx="11">
                  <c:v>41426</c:v>
                </c:pt>
                <c:pt idx="12">
                  <c:v>41456</c:v>
                </c:pt>
                <c:pt idx="13">
                  <c:v>41487</c:v>
                </c:pt>
                <c:pt idx="14">
                  <c:v>41518</c:v>
                </c:pt>
                <c:pt idx="15">
                  <c:v>41548</c:v>
                </c:pt>
                <c:pt idx="16">
                  <c:v>41579</c:v>
                </c:pt>
                <c:pt idx="17">
                  <c:v>41609</c:v>
                </c:pt>
              </c:numCache>
            </c:numRef>
          </c:xVal>
          <c:yVal>
            <c:numRef>
              <c:f>'Historical Customer Numbers'!$R$64:$R$81</c:f>
              <c:numCache>
                <c:formatCode>#,##0</c:formatCode>
                <c:ptCount val="18"/>
                <c:pt idx="0">
                  <c:v>1215</c:v>
                </c:pt>
                <c:pt idx="1">
                  <c:v>1459</c:v>
                </c:pt>
                <c:pt idx="2">
                  <c:v>1003</c:v>
                </c:pt>
                <c:pt idx="3">
                  <c:v>1070</c:v>
                </c:pt>
                <c:pt idx="4">
                  <c:v>610</c:v>
                </c:pt>
                <c:pt idx="5">
                  <c:v>3182</c:v>
                </c:pt>
                <c:pt idx="6">
                  <c:v>914</c:v>
                </c:pt>
                <c:pt idx="7">
                  <c:v>2193</c:v>
                </c:pt>
                <c:pt idx="8">
                  <c:v>1001</c:v>
                </c:pt>
                <c:pt idx="9">
                  <c:v>1826</c:v>
                </c:pt>
                <c:pt idx="10">
                  <c:v>-789</c:v>
                </c:pt>
                <c:pt idx="11">
                  <c:v>721</c:v>
                </c:pt>
                <c:pt idx="12">
                  <c:v>1026</c:v>
                </c:pt>
                <c:pt idx="13">
                  <c:v>1688</c:v>
                </c:pt>
                <c:pt idx="14">
                  <c:v>1489</c:v>
                </c:pt>
                <c:pt idx="15">
                  <c:v>1714</c:v>
                </c:pt>
                <c:pt idx="16">
                  <c:v>1354</c:v>
                </c:pt>
                <c:pt idx="17">
                  <c:v>1860</c:v>
                </c:pt>
              </c:numCache>
            </c:numRef>
          </c:yVal>
        </c:ser>
        <c:axId val="147950208"/>
        <c:axId val="147976576"/>
      </c:scatterChart>
      <c:valAx>
        <c:axId val="147950208"/>
        <c:scaling>
          <c:orientation val="minMax"/>
        </c:scaling>
        <c:axPos val="b"/>
        <c:numFmt formatCode="mmm\-yy" sourceLinked="1"/>
        <c:tickLblPos val="nextTo"/>
        <c:crossAx val="147976576"/>
        <c:crosses val="autoZero"/>
        <c:crossBetween val="midCat"/>
      </c:valAx>
      <c:valAx>
        <c:axId val="147976576"/>
        <c:scaling>
          <c:orientation val="minMax"/>
        </c:scaling>
        <c:axPos val="l"/>
        <c:majorGridlines/>
        <c:numFmt formatCode="#,##0" sourceLinked="1"/>
        <c:tickLblPos val="nextTo"/>
        <c:crossAx val="147950208"/>
        <c:crosses val="autoZero"/>
        <c:crossBetween val="midCat"/>
      </c:valAx>
    </c:plotArea>
    <c:plotVisOnly val="1"/>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188935</xdr:colOff>
      <xdr:row>46</xdr:row>
      <xdr:rowOff>123825</xdr:rowOff>
    </xdr:to>
    <xdr:pic>
      <xdr:nvPicPr>
        <xdr:cNvPr id="921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6894534" cy="8886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23113</xdr:colOff>
      <xdr:row>53</xdr:row>
      <xdr:rowOff>23814</xdr:rowOff>
    </xdr:from>
    <xdr:to>
      <xdr:col>22</xdr:col>
      <xdr:colOff>67937</xdr:colOff>
      <xdr:row>55</xdr:row>
      <xdr:rowOff>135871</xdr:rowOff>
    </xdr:to>
    <xdr:sp macro="" textlink="">
      <xdr:nvSpPr>
        <xdr:cNvPr id="2" name="Oval 1"/>
        <xdr:cNvSpPr/>
      </xdr:nvSpPr>
      <xdr:spPr>
        <a:xfrm>
          <a:off x="9095676" y="8905877"/>
          <a:ext cx="675855" cy="445432"/>
        </a:xfrm>
        <a:prstGeom prst="ellipse">
          <a:avLst/>
        </a:prstGeom>
        <a:noFill/>
        <a:ln w="3492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19049</xdr:rowOff>
    </xdr:from>
    <xdr:to>
      <xdr:col>12</xdr:col>
      <xdr:colOff>568816</xdr:colOff>
      <xdr:row>33</xdr:row>
      <xdr:rowOff>19049</xdr:rowOff>
    </xdr:to>
    <xdr:pic>
      <xdr:nvPicPr>
        <xdr:cNvPr id="71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400049"/>
          <a:ext cx="7274416" cy="6505575"/>
        </a:xfrm>
        <a:prstGeom prst="rect">
          <a:avLst/>
        </a:prstGeom>
        <a:noFill/>
        <a:ln>
          <a:solidFill>
            <a:schemeClr val="accent1"/>
          </a:solidFill>
        </a:ln>
      </xdr:spPr>
    </xdr:pic>
    <xdr:clientData/>
  </xdr:twoCellAnchor>
  <xdr:twoCellAnchor editAs="oneCell">
    <xdr:from>
      <xdr:col>13</xdr:col>
      <xdr:colOff>142875</xdr:colOff>
      <xdr:row>8</xdr:row>
      <xdr:rowOff>0</xdr:rowOff>
    </xdr:from>
    <xdr:to>
      <xdr:col>15</xdr:col>
      <xdr:colOff>542925</xdr:colOff>
      <xdr:row>31</xdr:row>
      <xdr:rowOff>9525</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7667625" y="2124075"/>
          <a:ext cx="1600200" cy="439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266700</xdr:colOff>
      <xdr:row>60</xdr:row>
      <xdr:rowOff>123825</xdr:rowOff>
    </xdr:from>
    <xdr:to>
      <xdr:col>27</xdr:col>
      <xdr:colOff>571500</xdr:colOff>
      <xdr:row>75</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S25" sqref="S25"/>
    </sheetView>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pageSetUpPr fitToPage="1"/>
  </sheetPr>
  <dimension ref="B1:AB31"/>
  <sheetViews>
    <sheetView zoomScaleNormal="100" workbookViewId="0">
      <selection activeCell="P19" sqref="P19"/>
    </sheetView>
  </sheetViews>
  <sheetFormatPr defaultRowHeight="15"/>
  <cols>
    <col min="1" max="1" width="2.140625" customWidth="1"/>
    <col min="2" max="2" width="36.28515625" bestFit="1" customWidth="1"/>
    <col min="3" max="3" width="15.140625" bestFit="1" customWidth="1"/>
    <col min="4" max="4" width="33.85546875" bestFit="1" customWidth="1"/>
    <col min="5" max="5" width="50.5703125" bestFit="1" customWidth="1"/>
    <col min="6" max="9" width="8" bestFit="1" customWidth="1"/>
    <col min="10" max="10" width="5.5703125" bestFit="1" customWidth="1"/>
    <col min="11" max="11" width="5.42578125" bestFit="1" customWidth="1"/>
    <col min="12" max="12" width="6" bestFit="1" customWidth="1"/>
    <col min="13" max="13" width="5.7109375" bestFit="1" customWidth="1"/>
    <col min="14" max="14" width="6.140625" bestFit="1" customWidth="1"/>
    <col min="15" max="15" width="5.42578125" bestFit="1" customWidth="1"/>
    <col min="16" max="16" width="13.7109375" bestFit="1" customWidth="1"/>
    <col min="17" max="17" width="5.28515625" bestFit="1" customWidth="1"/>
    <col min="18" max="18" width="6" bestFit="1" customWidth="1"/>
    <col min="19" max="19" width="5.42578125" bestFit="1" customWidth="1"/>
    <col min="20" max="20" width="5.7109375" bestFit="1" customWidth="1"/>
    <col min="21" max="21" width="6" bestFit="1" customWidth="1"/>
    <col min="22" max="22" width="8" bestFit="1" customWidth="1"/>
    <col min="23" max="23" width="7" bestFit="1" customWidth="1"/>
    <col min="24" max="26" width="13.5703125" bestFit="1" customWidth="1"/>
    <col min="27" max="27" width="11.5703125" bestFit="1" customWidth="1"/>
    <col min="28" max="28" width="12" bestFit="1" customWidth="1"/>
  </cols>
  <sheetData>
    <row r="1" spans="2:28" ht="8.25" customHeight="1">
      <c r="E1" t="s">
        <v>467</v>
      </c>
    </row>
    <row r="2" spans="2:28" ht="22.5">
      <c r="B2" s="214"/>
      <c r="C2" s="214"/>
      <c r="D2" s="214"/>
      <c r="E2" s="214"/>
      <c r="F2" s="295" t="s">
        <v>541</v>
      </c>
      <c r="G2" s="258" t="s">
        <v>477</v>
      </c>
      <c r="H2" s="258" t="s">
        <v>478</v>
      </c>
      <c r="I2" s="258" t="s">
        <v>479</v>
      </c>
      <c r="J2" s="258" t="s">
        <v>480</v>
      </c>
      <c r="K2" s="258" t="s">
        <v>481</v>
      </c>
      <c r="L2" s="258" t="s">
        <v>482</v>
      </c>
      <c r="M2" s="258" t="s">
        <v>483</v>
      </c>
      <c r="N2" s="258" t="s">
        <v>484</v>
      </c>
      <c r="O2" s="258" t="s">
        <v>485</v>
      </c>
      <c r="P2" s="258" t="s">
        <v>310</v>
      </c>
      <c r="Q2" s="258" t="s">
        <v>486</v>
      </c>
      <c r="R2" s="258" t="s">
        <v>487</v>
      </c>
      <c r="S2" s="258" t="s">
        <v>488</v>
      </c>
      <c r="T2" s="258" t="s">
        <v>489</v>
      </c>
      <c r="U2" s="258" t="s">
        <v>490</v>
      </c>
      <c r="V2" s="258" t="s">
        <v>491</v>
      </c>
      <c r="W2" s="258" t="s">
        <v>492</v>
      </c>
    </row>
    <row r="3" spans="2:28">
      <c r="B3" s="257" t="s">
        <v>13</v>
      </c>
      <c r="C3" s="257" t="s">
        <v>468</v>
      </c>
      <c r="D3" s="257" t="s">
        <v>469</v>
      </c>
      <c r="E3" s="257" t="s">
        <v>459</v>
      </c>
      <c r="F3" s="295" t="s">
        <v>311</v>
      </c>
      <c r="G3" s="258" t="s">
        <v>311</v>
      </c>
      <c r="H3" s="258" t="s">
        <v>311</v>
      </c>
      <c r="I3" s="258" t="s">
        <v>311</v>
      </c>
      <c r="J3" s="258" t="s">
        <v>311</v>
      </c>
      <c r="K3" s="258" t="s">
        <v>311</v>
      </c>
      <c r="L3" s="258" t="s">
        <v>311</v>
      </c>
      <c r="M3" s="258" t="s">
        <v>311</v>
      </c>
      <c r="N3" s="258" t="s">
        <v>311</v>
      </c>
      <c r="O3" s="258" t="s">
        <v>311</v>
      </c>
      <c r="P3" s="258" t="s">
        <v>311</v>
      </c>
      <c r="Q3" s="258"/>
      <c r="R3" s="258"/>
      <c r="S3" s="258"/>
      <c r="T3" s="258"/>
      <c r="U3" s="258"/>
      <c r="V3" s="258" t="s">
        <v>311</v>
      </c>
      <c r="W3" s="258" t="s">
        <v>223</v>
      </c>
    </row>
    <row r="4" spans="2:28">
      <c r="B4" s="255" t="s">
        <v>312</v>
      </c>
      <c r="C4" s="255" t="s">
        <v>462</v>
      </c>
      <c r="D4" s="255" t="s">
        <v>470</v>
      </c>
      <c r="E4" s="256" t="s">
        <v>457</v>
      </c>
      <c r="F4" s="309"/>
      <c r="G4" s="309">
        <v>29177</v>
      </c>
      <c r="H4" s="309">
        <v>39101</v>
      </c>
      <c r="I4" s="309">
        <v>31121</v>
      </c>
      <c r="J4" s="310"/>
      <c r="K4" s="310"/>
      <c r="L4" s="310"/>
      <c r="M4" s="310"/>
      <c r="N4" s="310"/>
      <c r="O4" s="310"/>
      <c r="P4" s="309">
        <v>33225</v>
      </c>
      <c r="Q4" s="310"/>
      <c r="R4" s="310"/>
      <c r="S4" s="310"/>
      <c r="T4" s="310"/>
      <c r="U4" s="310"/>
      <c r="V4" s="309">
        <v>18340</v>
      </c>
      <c r="W4" s="310"/>
    </row>
    <row r="5" spans="2:28">
      <c r="B5" s="256" t="s">
        <v>313</v>
      </c>
      <c r="C5" s="256" t="s">
        <v>462</v>
      </c>
      <c r="D5" s="256" t="s">
        <v>470</v>
      </c>
      <c r="E5" s="256" t="s">
        <v>457</v>
      </c>
      <c r="F5" s="309"/>
      <c r="G5" s="309">
        <v>6795</v>
      </c>
      <c r="H5" s="309">
        <v>31741</v>
      </c>
      <c r="I5" s="309">
        <v>12765</v>
      </c>
      <c r="J5" s="311"/>
      <c r="K5" s="311"/>
      <c r="L5" s="311"/>
      <c r="M5" s="311"/>
      <c r="N5" s="311"/>
      <c r="O5" s="311"/>
      <c r="P5" s="259">
        <v>12800</v>
      </c>
      <c r="Q5" s="311"/>
      <c r="R5" s="311"/>
      <c r="S5" s="311"/>
      <c r="T5" s="311"/>
      <c r="U5" s="311"/>
      <c r="V5" s="309">
        <v>3274</v>
      </c>
      <c r="W5" s="311"/>
    </row>
    <row r="6" spans="2:28">
      <c r="B6" s="256" t="s">
        <v>314</v>
      </c>
      <c r="C6" s="256" t="s">
        <v>463</v>
      </c>
      <c r="D6" s="256" t="s">
        <v>471</v>
      </c>
      <c r="E6" s="256" t="s">
        <v>458</v>
      </c>
      <c r="F6" s="309"/>
      <c r="G6" s="309">
        <v>707</v>
      </c>
      <c r="H6" s="309">
        <v>831</v>
      </c>
      <c r="I6" s="309">
        <v>645</v>
      </c>
      <c r="J6" s="311"/>
      <c r="K6" s="311"/>
      <c r="L6" s="311"/>
      <c r="M6" s="311"/>
      <c r="N6" s="311"/>
      <c r="O6" s="311"/>
      <c r="P6" s="259">
        <v>786</v>
      </c>
      <c r="Q6" s="311"/>
      <c r="R6" s="311"/>
      <c r="S6" s="311"/>
      <c r="T6" s="311"/>
      <c r="U6" s="311"/>
      <c r="V6" s="309">
        <f>280</f>
        <v>280</v>
      </c>
      <c r="W6" s="311"/>
    </row>
    <row r="7" spans="2:28">
      <c r="B7" s="256" t="s">
        <v>473</v>
      </c>
      <c r="C7" s="256" t="s">
        <v>464</v>
      </c>
      <c r="D7" s="256" t="s">
        <v>460</v>
      </c>
      <c r="E7" s="256" t="s">
        <v>473</v>
      </c>
      <c r="F7" s="309"/>
      <c r="G7" s="309">
        <f>G10-F10</f>
        <v>10202</v>
      </c>
      <c r="H7" s="309">
        <f>H10-G10</f>
        <v>13471</v>
      </c>
      <c r="I7" s="309">
        <f>I10-H10</f>
        <v>12371</v>
      </c>
      <c r="J7" s="311"/>
      <c r="K7" s="311"/>
      <c r="L7" s="311"/>
      <c r="M7" s="311"/>
      <c r="N7" s="311"/>
      <c r="O7" s="311"/>
      <c r="P7" s="259">
        <f>P10-I10</f>
        <v>14405</v>
      </c>
      <c r="Q7" s="311"/>
      <c r="R7" s="311"/>
      <c r="S7" s="311"/>
      <c r="T7" s="311"/>
      <c r="U7" s="311"/>
      <c r="V7" s="309">
        <v>9131</v>
      </c>
      <c r="W7" s="311"/>
    </row>
    <row r="8" spans="2:28">
      <c r="B8" s="256" t="s">
        <v>474</v>
      </c>
      <c r="C8" s="256" t="s">
        <v>465</v>
      </c>
      <c r="D8" s="256" t="s">
        <v>471</v>
      </c>
      <c r="E8" s="256" t="s">
        <v>461</v>
      </c>
      <c r="F8" s="309"/>
      <c r="G8" s="309">
        <v>12078</v>
      </c>
      <c r="H8" s="309">
        <v>10478</v>
      </c>
      <c r="I8" s="309">
        <v>13474</v>
      </c>
      <c r="J8" s="311"/>
      <c r="K8" s="311"/>
      <c r="L8" s="311"/>
      <c r="M8" s="311"/>
      <c r="N8" s="311"/>
      <c r="O8" s="311"/>
      <c r="P8" s="259">
        <v>12648</v>
      </c>
      <c r="Q8" s="311"/>
      <c r="R8" s="311"/>
      <c r="S8" s="311"/>
      <c r="T8" s="311"/>
      <c r="U8" s="311"/>
      <c r="V8" s="309">
        <v>7770</v>
      </c>
      <c r="W8" s="311"/>
    </row>
    <row r="9" spans="2:28">
      <c r="B9" s="256" t="s">
        <v>476</v>
      </c>
      <c r="C9" s="256" t="s">
        <v>466</v>
      </c>
      <c r="D9" s="256" t="s">
        <v>472</v>
      </c>
      <c r="E9" s="256" t="s">
        <v>475</v>
      </c>
      <c r="F9" s="311"/>
      <c r="G9" s="311"/>
      <c r="H9" s="311"/>
      <c r="I9" s="311"/>
      <c r="J9" s="259">
        <v>754</v>
      </c>
      <c r="K9" s="259">
        <v>808</v>
      </c>
      <c r="L9" s="259">
        <v>651</v>
      </c>
      <c r="M9" s="259">
        <v>546</v>
      </c>
      <c r="N9" s="259">
        <v>554</v>
      </c>
      <c r="O9" s="259">
        <v>508</v>
      </c>
      <c r="P9" s="311"/>
      <c r="Q9" s="259">
        <v>365</v>
      </c>
      <c r="R9" s="259">
        <v>346</v>
      </c>
      <c r="S9" s="259">
        <v>559</v>
      </c>
      <c r="T9" s="259">
        <v>651</v>
      </c>
      <c r="U9" s="259">
        <v>708</v>
      </c>
      <c r="V9" s="311"/>
      <c r="W9" s="259">
        <f>AVERAGE(J9:O9,Q9:U9)*12</f>
        <v>7036.363636363636</v>
      </c>
      <c r="X9" s="215"/>
      <c r="Y9" s="215"/>
      <c r="Z9" s="215"/>
      <c r="AA9" s="215"/>
      <c r="AB9" s="215"/>
    </row>
    <row r="10" spans="2:28">
      <c r="B10" s="306" t="s">
        <v>525</v>
      </c>
      <c r="C10" s="307"/>
      <c r="D10" s="307"/>
      <c r="E10" s="306" t="s">
        <v>552</v>
      </c>
      <c r="F10" s="312">
        <f>'Historical Customer Numbers'!I27</f>
        <v>1591904</v>
      </c>
      <c r="G10" s="312">
        <f>'Historical Customer Numbers'!I39</f>
        <v>1602106</v>
      </c>
      <c r="H10" s="312">
        <f>'Historical Customer Numbers'!I51</f>
        <v>1615577</v>
      </c>
      <c r="I10" s="312">
        <f>'Historical Customer Numbers'!I63</f>
        <v>1627948</v>
      </c>
      <c r="J10" s="313"/>
      <c r="K10" s="313"/>
      <c r="L10" s="313"/>
      <c r="M10" s="313"/>
      <c r="N10" s="313"/>
      <c r="O10" s="313"/>
      <c r="P10" s="314">
        <f>'Historical Customer Numbers'!I75</f>
        <v>1642353</v>
      </c>
      <c r="Q10" s="313"/>
      <c r="R10" s="313"/>
      <c r="S10" s="313"/>
      <c r="T10" s="313"/>
      <c r="U10" s="313"/>
      <c r="V10" s="312">
        <f>'Historical Customer Numbers'!I81</f>
        <v>1651484</v>
      </c>
      <c r="W10" s="313"/>
      <c r="X10" s="215"/>
      <c r="Y10" s="215"/>
      <c r="Z10" s="215"/>
      <c r="AA10" s="215"/>
      <c r="AB10" s="215"/>
    </row>
    <row r="11" spans="2:28">
      <c r="B11" s="215"/>
      <c r="C11" s="215"/>
      <c r="D11" s="215"/>
      <c r="E11" s="215"/>
      <c r="F11" s="215"/>
      <c r="G11" s="308"/>
      <c r="H11" s="215"/>
      <c r="I11" s="215"/>
      <c r="J11" s="215"/>
      <c r="K11" s="215"/>
      <c r="L11" s="215"/>
      <c r="M11" s="215"/>
      <c r="N11" s="215"/>
      <c r="O11" s="215"/>
      <c r="P11" s="215"/>
      <c r="Q11" s="215"/>
      <c r="R11" s="215"/>
      <c r="S11" s="215"/>
      <c r="T11" s="215"/>
      <c r="U11" s="215"/>
      <c r="V11" s="215"/>
      <c r="W11" s="215"/>
      <c r="X11" s="215"/>
      <c r="Y11" s="215"/>
      <c r="Z11" s="215"/>
      <c r="AA11" s="215"/>
      <c r="AB11" s="215"/>
    </row>
    <row r="12" spans="2:28">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row>
    <row r="13" spans="2:28">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row>
    <row r="14" spans="2:28">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row>
    <row r="15" spans="2:28">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row>
    <row r="31" spans="16:23">
      <c r="P31" s="220"/>
      <c r="Q31" s="220"/>
      <c r="R31" s="220"/>
      <c r="S31" s="220"/>
      <c r="T31" s="220"/>
      <c r="U31" s="220"/>
      <c r="V31" s="220"/>
      <c r="W31" s="220"/>
    </row>
  </sheetData>
  <pageMargins left="0.70866141732283472" right="0.70866141732283472" top="0.74803149606299213" bottom="0.74803149606299213" header="0.31496062992125984" footer="0.31496062992125984"/>
  <pageSetup paperSize="9" scale="64" orientation="landscape" verticalDpi="0" r:id="rId1"/>
</worksheet>
</file>

<file path=xl/worksheets/sheet11.xml><?xml version="1.0" encoding="utf-8"?>
<worksheet xmlns="http://schemas.openxmlformats.org/spreadsheetml/2006/main" xmlns:r="http://schemas.openxmlformats.org/officeDocument/2006/relationships">
  <dimension ref="A2:J101"/>
  <sheetViews>
    <sheetView workbookViewId="0">
      <selection activeCell="J19" sqref="J19"/>
    </sheetView>
  </sheetViews>
  <sheetFormatPr defaultRowHeight="15"/>
  <cols>
    <col min="3" max="3" width="67.140625" bestFit="1" customWidth="1"/>
    <col min="4" max="9" width="9.7109375" bestFit="1" customWidth="1"/>
    <col min="10" max="10" width="76" bestFit="1" customWidth="1"/>
  </cols>
  <sheetData>
    <row r="2" spans="1:10" ht="22.5">
      <c r="C2" s="257" t="s">
        <v>13</v>
      </c>
      <c r="D2" s="257" t="s">
        <v>468</v>
      </c>
      <c r="E2" s="257" t="s">
        <v>469</v>
      </c>
      <c r="F2" s="434" t="s">
        <v>459</v>
      </c>
      <c r="G2" s="434"/>
      <c r="H2" s="434"/>
      <c r="I2" s="434"/>
    </row>
    <row r="3" spans="1:10" ht="30">
      <c r="C3" s="255" t="s">
        <v>493</v>
      </c>
      <c r="D3" s="255" t="s">
        <v>464</v>
      </c>
      <c r="E3" s="255" t="s">
        <v>460</v>
      </c>
      <c r="F3" s="433" t="s">
        <v>494</v>
      </c>
      <c r="G3" s="433"/>
      <c r="H3" s="433"/>
      <c r="I3" s="433"/>
    </row>
    <row r="5" spans="1:10">
      <c r="D5" s="324"/>
    </row>
    <row r="6" spans="1:10">
      <c r="A6" s="221"/>
      <c r="B6" s="222"/>
      <c r="C6" s="223" t="s">
        <v>330</v>
      </c>
      <c r="D6" s="430" t="s">
        <v>331</v>
      </c>
      <c r="E6" s="431"/>
      <c r="F6" s="431"/>
      <c r="G6" s="431"/>
      <c r="H6" s="431"/>
      <c r="I6" s="432"/>
    </row>
    <row r="7" spans="1:10">
      <c r="A7" s="221"/>
      <c r="B7" s="222"/>
      <c r="C7" s="224" t="s">
        <v>45</v>
      </c>
      <c r="D7" s="225" t="s">
        <v>332</v>
      </c>
      <c r="E7" s="225" t="s">
        <v>333</v>
      </c>
      <c r="F7" s="225" t="s">
        <v>334</v>
      </c>
      <c r="G7" s="225" t="s">
        <v>335</v>
      </c>
      <c r="H7" s="225" t="s">
        <v>336</v>
      </c>
      <c r="I7" s="225" t="s">
        <v>337</v>
      </c>
    </row>
    <row r="8" spans="1:10" ht="15.75" thickBot="1">
      <c r="A8" s="221"/>
      <c r="B8" s="222"/>
      <c r="C8" s="230"/>
      <c r="D8" s="323"/>
      <c r="E8" s="231"/>
      <c r="F8" s="231"/>
      <c r="G8" s="231"/>
      <c r="H8" s="231"/>
      <c r="I8" s="231"/>
    </row>
    <row r="9" spans="1:10" ht="15.75" thickTop="1">
      <c r="A9" s="221"/>
      <c r="B9" s="222"/>
      <c r="C9" s="237" t="s">
        <v>451</v>
      </c>
      <c r="D9" s="238"/>
      <c r="E9" s="239">
        <f>E10/E13</f>
        <v>0.46736043029751373</v>
      </c>
      <c r="F9" s="239">
        <f>F10/F13</f>
        <v>0.35680352594063786</v>
      </c>
      <c r="G9" s="239">
        <f>G10/G13</f>
        <v>0.32783283553381748</v>
      </c>
      <c r="H9" s="239">
        <f>H10/H13</f>
        <v>0.31876897983369901</v>
      </c>
      <c r="I9" s="240">
        <f>I10/I13</f>
        <v>0.33598293230632748</v>
      </c>
      <c r="J9" s="260" t="s">
        <v>495</v>
      </c>
    </row>
    <row r="10" spans="1:10">
      <c r="A10" s="221"/>
      <c r="B10" s="222"/>
      <c r="C10" s="245" t="s">
        <v>450</v>
      </c>
      <c r="D10" s="242"/>
      <c r="E10" s="246">
        <f>E11-D11</f>
        <v>7301.0871301072766</v>
      </c>
      <c r="F10" s="246">
        <f>F11-E11</f>
        <v>6243.7354960594676</v>
      </c>
      <c r="G10" s="246">
        <f>G11-F11</f>
        <v>6363.3338140497217</v>
      </c>
      <c r="H10" s="246">
        <f>H11-G11</f>
        <v>6324.4556437506108</v>
      </c>
      <c r="I10" s="247">
        <f>I11-H11</f>
        <v>6250.4414030081825</v>
      </c>
      <c r="J10" s="260" t="s">
        <v>495</v>
      </c>
    </row>
    <row r="11" spans="1:10">
      <c r="A11" s="221"/>
      <c r="B11" s="222"/>
      <c r="C11" s="241" t="s">
        <v>524</v>
      </c>
      <c r="D11" s="236">
        <f>D15+D23+D84</f>
        <v>422488.41127150913</v>
      </c>
      <c r="E11" s="236">
        <f t="shared" ref="E11:I11" si="0">E15+E23+E84</f>
        <v>429789.49840161641</v>
      </c>
      <c r="F11" s="236">
        <f t="shared" si="0"/>
        <v>436033.23389767588</v>
      </c>
      <c r="G11" s="236">
        <f t="shared" si="0"/>
        <v>442396.5677117256</v>
      </c>
      <c r="H11" s="236">
        <f t="shared" si="0"/>
        <v>448721.02335547621</v>
      </c>
      <c r="I11" s="236">
        <f t="shared" si="0"/>
        <v>454971.46475848439</v>
      </c>
    </row>
    <row r="12" spans="1:10">
      <c r="A12" s="221"/>
      <c r="B12" s="222"/>
      <c r="C12" s="241" t="s">
        <v>523</v>
      </c>
      <c r="D12" s="236">
        <f>D14+D15+D22+D23+D84</f>
        <v>1618370.9874921672</v>
      </c>
      <c r="E12" s="236">
        <f t="shared" ref="E12:I12" si="1">E14+E15+E22+E23+E84</f>
        <v>1633992.9500221561</v>
      </c>
      <c r="F12" s="236">
        <f t="shared" si="1"/>
        <v>1651492.0357713767</v>
      </c>
      <c r="G12" s="236">
        <f t="shared" si="1"/>
        <v>1670902.3361572064</v>
      </c>
      <c r="H12" s="236">
        <f t="shared" si="1"/>
        <v>1690742.5842486301</v>
      </c>
      <c r="I12" s="236">
        <f t="shared" si="1"/>
        <v>1709346.033418213</v>
      </c>
      <c r="J12" t="s">
        <v>553</v>
      </c>
    </row>
    <row r="13" spans="1:10" ht="15.75" thickBot="1">
      <c r="A13" s="221"/>
      <c r="B13" s="222"/>
      <c r="C13" s="248" t="s">
        <v>309</v>
      </c>
      <c r="D13" s="243"/>
      <c r="E13" s="249">
        <f>E12-D12</f>
        <v>15621.962529988959</v>
      </c>
      <c r="F13" s="249">
        <f>F12-E12</f>
        <v>17499.085749220569</v>
      </c>
      <c r="G13" s="249">
        <f>G12-F12</f>
        <v>19410.30038582976</v>
      </c>
      <c r="H13" s="249">
        <f>H12-G12</f>
        <v>19840.248091423651</v>
      </c>
      <c r="I13" s="250">
        <f>I12-H12</f>
        <v>18603.44916958292</v>
      </c>
      <c r="J13" s="467" t="s">
        <v>545</v>
      </c>
    </row>
    <row r="14" spans="1:10" ht="15.75" thickTop="1">
      <c r="A14" s="222">
        <v>1</v>
      </c>
      <c r="B14" s="464" t="s">
        <v>338</v>
      </c>
      <c r="C14" s="465" t="s">
        <v>339</v>
      </c>
      <c r="D14" s="466">
        <v>1120061.9354067566</v>
      </c>
      <c r="E14" s="466">
        <v>1135369.2241461724</v>
      </c>
      <c r="F14" s="466">
        <v>1150953.4678723975</v>
      </c>
      <c r="G14" s="466">
        <v>1168229.5106016421</v>
      </c>
      <c r="H14" s="466">
        <v>1186006.827109559</v>
      </c>
      <c r="I14" s="466">
        <v>1202683.1315678919</v>
      </c>
    </row>
    <row r="15" spans="1:10">
      <c r="A15" s="222">
        <v>2</v>
      </c>
      <c r="B15" s="244" t="s">
        <v>340</v>
      </c>
      <c r="C15" s="232" t="s">
        <v>341</v>
      </c>
      <c r="D15" s="235">
        <v>331642.23838176392</v>
      </c>
      <c r="E15" s="235">
        <v>330168.50871232874</v>
      </c>
      <c r="F15" s="235">
        <v>330168.50871232874</v>
      </c>
      <c r="G15" s="235">
        <v>330168.50871232874</v>
      </c>
      <c r="H15" s="235">
        <v>330168.50871232874</v>
      </c>
      <c r="I15" s="235">
        <v>330168.50871232874</v>
      </c>
    </row>
    <row r="16" spans="1:10">
      <c r="A16" s="222">
        <v>3</v>
      </c>
      <c r="B16" s="296" t="s">
        <v>342</v>
      </c>
      <c r="C16" s="233" t="s">
        <v>343</v>
      </c>
      <c r="D16" s="234">
        <v>0</v>
      </c>
      <c r="E16" s="234">
        <v>0</v>
      </c>
      <c r="F16" s="234">
        <v>0</v>
      </c>
      <c r="G16" s="234">
        <v>0</v>
      </c>
      <c r="H16" s="234">
        <v>0</v>
      </c>
      <c r="I16" s="234">
        <v>0</v>
      </c>
    </row>
    <row r="17" spans="1:9">
      <c r="A17" s="222">
        <v>4</v>
      </c>
      <c r="B17" s="296" t="s">
        <v>344</v>
      </c>
      <c r="C17" s="233" t="s">
        <v>345</v>
      </c>
      <c r="D17" s="234">
        <v>352263.32597804378</v>
      </c>
      <c r="E17" s="234">
        <v>347568.39415052551</v>
      </c>
      <c r="F17" s="234">
        <v>342935.78179272747</v>
      </c>
      <c r="G17" s="234">
        <v>338362.35727300553</v>
      </c>
      <c r="H17" s="234">
        <v>333806.46989049116</v>
      </c>
      <c r="I17" s="234">
        <v>329212.06343875278</v>
      </c>
    </row>
    <row r="18" spans="1:9">
      <c r="A18" s="222">
        <v>5</v>
      </c>
      <c r="B18" s="296" t="s">
        <v>346</v>
      </c>
      <c r="C18" s="233" t="s">
        <v>347</v>
      </c>
      <c r="D18" s="234">
        <v>155024.69676009769</v>
      </c>
      <c r="E18" s="234">
        <v>152958.54246813568</v>
      </c>
      <c r="F18" s="234">
        <v>150919.81384380115</v>
      </c>
      <c r="G18" s="234">
        <v>148907.13271284153</v>
      </c>
      <c r="H18" s="234">
        <v>146902.16935769664</v>
      </c>
      <c r="I18" s="234">
        <v>144880.25445924429</v>
      </c>
    </row>
    <row r="19" spans="1:9">
      <c r="A19" s="222">
        <v>6</v>
      </c>
      <c r="B19" s="296" t="s">
        <v>348</v>
      </c>
      <c r="C19" s="233" t="s">
        <v>349</v>
      </c>
      <c r="D19" s="234">
        <v>0</v>
      </c>
      <c r="E19" s="234">
        <v>0</v>
      </c>
      <c r="F19" s="234">
        <v>0</v>
      </c>
      <c r="G19" s="234">
        <v>0</v>
      </c>
      <c r="H19" s="234">
        <v>0</v>
      </c>
      <c r="I19" s="234">
        <v>0</v>
      </c>
    </row>
    <row r="20" spans="1:9">
      <c r="A20" s="222">
        <v>7</v>
      </c>
      <c r="B20" s="296" t="s">
        <v>350</v>
      </c>
      <c r="C20" s="233" t="s">
        <v>351</v>
      </c>
      <c r="D20" s="234">
        <v>0</v>
      </c>
      <c r="E20" s="234">
        <v>0</v>
      </c>
      <c r="F20" s="234">
        <v>0</v>
      </c>
      <c r="G20" s="234">
        <v>0</v>
      </c>
      <c r="H20" s="234">
        <v>0</v>
      </c>
      <c r="I20" s="234">
        <v>0</v>
      </c>
    </row>
    <row r="21" spans="1:9">
      <c r="A21" s="222">
        <v>8</v>
      </c>
      <c r="B21" s="296" t="s">
        <v>352</v>
      </c>
      <c r="C21" s="233" t="s">
        <v>353</v>
      </c>
      <c r="D21" s="234">
        <v>0</v>
      </c>
      <c r="E21" s="234">
        <v>0</v>
      </c>
      <c r="F21" s="234">
        <v>0</v>
      </c>
      <c r="G21" s="234">
        <v>0</v>
      </c>
      <c r="H21" s="234">
        <v>0</v>
      </c>
      <c r="I21" s="234">
        <v>0</v>
      </c>
    </row>
    <row r="22" spans="1:9">
      <c r="A22" s="222">
        <v>9</v>
      </c>
      <c r="B22" s="464" t="s">
        <v>354</v>
      </c>
      <c r="C22" s="465" t="s">
        <v>355</v>
      </c>
      <c r="D22" s="466">
        <v>75820.640813901409</v>
      </c>
      <c r="E22" s="466">
        <v>68834.227474367202</v>
      </c>
      <c r="F22" s="466">
        <v>64505.334001303505</v>
      </c>
      <c r="G22" s="466">
        <v>60276.257843838757</v>
      </c>
      <c r="H22" s="466">
        <v>56014.733783595133</v>
      </c>
      <c r="I22" s="466">
        <v>51691.437091836822</v>
      </c>
    </row>
    <row r="23" spans="1:9">
      <c r="A23" s="222">
        <v>10</v>
      </c>
      <c r="B23" s="244" t="s">
        <v>356</v>
      </c>
      <c r="C23" s="232" t="s">
        <v>357</v>
      </c>
      <c r="D23" s="235">
        <v>24582.245516109007</v>
      </c>
      <c r="E23" s="235">
        <v>24846.023121013324</v>
      </c>
      <c r="F23" s="235">
        <v>25128.449572253594</v>
      </c>
      <c r="G23" s="235">
        <v>25443.238368792881</v>
      </c>
      <c r="H23" s="235">
        <v>25747.507044372611</v>
      </c>
      <c r="I23" s="235">
        <v>26031.748060231064</v>
      </c>
    </row>
    <row r="24" spans="1:9">
      <c r="A24" s="222">
        <v>11</v>
      </c>
      <c r="B24" s="296" t="s">
        <v>358</v>
      </c>
      <c r="C24" s="233" t="s">
        <v>359</v>
      </c>
      <c r="D24" s="234">
        <v>0</v>
      </c>
      <c r="E24" s="234">
        <v>0</v>
      </c>
      <c r="F24" s="234">
        <v>0</v>
      </c>
      <c r="G24" s="234">
        <v>0</v>
      </c>
      <c r="H24" s="234">
        <v>0</v>
      </c>
      <c r="I24" s="234">
        <v>0</v>
      </c>
    </row>
    <row r="25" spans="1:9">
      <c r="A25" s="222">
        <v>12</v>
      </c>
      <c r="B25" s="296" t="s">
        <v>360</v>
      </c>
      <c r="C25" s="233" t="s">
        <v>361</v>
      </c>
      <c r="D25" s="234">
        <v>9665.1780429814535</v>
      </c>
      <c r="E25" s="234">
        <v>9768.8893786070275</v>
      </c>
      <c r="F25" s="234">
        <v>9879.9330151005215</v>
      </c>
      <c r="G25" s="234">
        <v>10003.700787352829</v>
      </c>
      <c r="H25" s="234">
        <v>10123.332288081805</v>
      </c>
      <c r="I25" s="234">
        <v>10235.089369980185</v>
      </c>
    </row>
    <row r="26" spans="1:9">
      <c r="A26" s="222">
        <v>13</v>
      </c>
      <c r="B26" s="296" t="s">
        <v>362</v>
      </c>
      <c r="C26" s="233" t="s">
        <v>363</v>
      </c>
      <c r="D26" s="234">
        <v>0</v>
      </c>
      <c r="E26" s="234">
        <v>0</v>
      </c>
      <c r="F26" s="234">
        <v>0</v>
      </c>
      <c r="G26" s="234">
        <v>0</v>
      </c>
      <c r="H26" s="234">
        <v>0</v>
      </c>
      <c r="I26" s="234">
        <v>0</v>
      </c>
    </row>
    <row r="27" spans="1:9">
      <c r="A27" s="222">
        <v>14</v>
      </c>
      <c r="B27" s="296" t="s">
        <v>364</v>
      </c>
      <c r="C27" s="233" t="s">
        <v>365</v>
      </c>
      <c r="D27" s="234">
        <v>3862.0750035941178</v>
      </c>
      <c r="E27" s="234">
        <v>3903.5166568288191</v>
      </c>
      <c r="F27" s="234">
        <v>3947.8881987603345</v>
      </c>
      <c r="G27" s="234">
        <v>3997.3441340095846</v>
      </c>
      <c r="H27" s="234">
        <v>4045.1472708533324</v>
      </c>
      <c r="I27" s="234">
        <v>4089.8038959620417</v>
      </c>
    </row>
    <row r="28" spans="1:9">
      <c r="A28" s="222">
        <v>15</v>
      </c>
      <c r="B28" s="296" t="s">
        <v>366</v>
      </c>
      <c r="C28" s="233" t="s">
        <v>367</v>
      </c>
      <c r="D28" s="234">
        <v>0</v>
      </c>
      <c r="E28" s="234">
        <v>0</v>
      </c>
      <c r="F28" s="234">
        <v>0</v>
      </c>
      <c r="G28" s="234">
        <v>0</v>
      </c>
      <c r="H28" s="234">
        <v>0</v>
      </c>
      <c r="I28" s="234">
        <v>0</v>
      </c>
    </row>
    <row r="29" spans="1:9">
      <c r="A29" s="222">
        <v>16</v>
      </c>
      <c r="B29" s="296" t="s">
        <v>368</v>
      </c>
      <c r="C29" s="233" t="s">
        <v>369</v>
      </c>
      <c r="D29" s="234">
        <v>0</v>
      </c>
      <c r="E29" s="234">
        <v>0</v>
      </c>
      <c r="F29" s="234">
        <v>0</v>
      </c>
      <c r="G29" s="234">
        <v>0</v>
      </c>
      <c r="H29" s="234">
        <v>0</v>
      </c>
      <c r="I29" s="234">
        <v>0</v>
      </c>
    </row>
    <row r="30" spans="1:9">
      <c r="A30" s="222">
        <v>17</v>
      </c>
      <c r="B30" s="296" t="s">
        <v>370</v>
      </c>
      <c r="C30" s="233" t="s">
        <v>371</v>
      </c>
      <c r="D30" s="234">
        <v>0</v>
      </c>
      <c r="E30" s="234">
        <v>0</v>
      </c>
      <c r="F30" s="234">
        <v>0</v>
      </c>
      <c r="G30" s="234">
        <v>0</v>
      </c>
      <c r="H30" s="234">
        <v>0</v>
      </c>
      <c r="I30" s="234">
        <v>0</v>
      </c>
    </row>
    <row r="31" spans="1:9">
      <c r="A31" s="222">
        <v>18</v>
      </c>
      <c r="B31" s="296" t="s">
        <v>372</v>
      </c>
      <c r="C31" s="233" t="s">
        <v>373</v>
      </c>
      <c r="D31" s="234">
        <v>250.27202828104285</v>
      </c>
      <c r="E31" s="234">
        <v>252.95755007974336</v>
      </c>
      <c r="F31" s="234">
        <v>255.83293592461254</v>
      </c>
      <c r="G31" s="234">
        <v>259.03780305273591</v>
      </c>
      <c r="H31" s="234">
        <v>262.13556474947853</v>
      </c>
      <c r="I31" s="234">
        <v>265.02942469050555</v>
      </c>
    </row>
    <row r="32" spans="1:9">
      <c r="A32" s="222">
        <v>19</v>
      </c>
      <c r="B32" s="296" t="s">
        <v>374</v>
      </c>
      <c r="C32" s="233" t="s">
        <v>375</v>
      </c>
      <c r="D32" s="234">
        <v>10</v>
      </c>
      <c r="E32" s="234">
        <v>10.107304112934459</v>
      </c>
      <c r="F32" s="234">
        <v>10.22219453295536</v>
      </c>
      <c r="G32" s="234">
        <v>10.350249879377232</v>
      </c>
      <c r="H32" s="234">
        <v>10.47402566518994</v>
      </c>
      <c r="I32" s="234">
        <v>10.58965424585487</v>
      </c>
    </row>
    <row r="33" spans="1:9">
      <c r="A33" s="222">
        <v>20</v>
      </c>
      <c r="B33" s="296" t="s">
        <v>376</v>
      </c>
      <c r="C33" s="233" t="s">
        <v>377</v>
      </c>
      <c r="D33" s="234">
        <v>11.217145382235971</v>
      </c>
      <c r="E33" s="234">
        <v>11.33750996572574</v>
      </c>
      <c r="F33" s="234">
        <v>11.4663842201658</v>
      </c>
      <c r="G33" s="234">
        <v>11.610025763944474</v>
      </c>
      <c r="H33" s="234">
        <v>11.748866862370638</v>
      </c>
      <c r="I33" s="234">
        <v>11.878569122336652</v>
      </c>
    </row>
    <row r="34" spans="1:9">
      <c r="A34" s="222">
        <v>21</v>
      </c>
      <c r="B34" s="296" t="s">
        <v>378</v>
      </c>
      <c r="C34" s="233" t="s">
        <v>379</v>
      </c>
      <c r="D34" s="234">
        <v>58.04825452938578</v>
      </c>
      <c r="E34" s="234">
        <v>58.671136175352721</v>
      </c>
      <c r="F34" s="234">
        <v>59.338055009788853</v>
      </c>
      <c r="G34" s="234">
        <v>60.081393944083409</v>
      </c>
      <c r="H34" s="234">
        <v>60.799890776026487</v>
      </c>
      <c r="I34" s="234">
        <v>61.471094504157435</v>
      </c>
    </row>
    <row r="35" spans="1:9">
      <c r="A35" s="222">
        <v>22</v>
      </c>
      <c r="B35" s="222"/>
      <c r="C35" s="233" t="s">
        <v>380</v>
      </c>
      <c r="D35" s="234">
        <v>2</v>
      </c>
      <c r="E35" s="234">
        <v>2</v>
      </c>
      <c r="F35" s="234">
        <v>2</v>
      </c>
      <c r="G35" s="234">
        <v>2</v>
      </c>
      <c r="H35" s="234">
        <v>2</v>
      </c>
      <c r="I35" s="234">
        <v>2</v>
      </c>
    </row>
    <row r="36" spans="1:9">
      <c r="A36" s="222">
        <v>23</v>
      </c>
      <c r="B36" s="222"/>
      <c r="C36" s="233" t="s">
        <v>381</v>
      </c>
      <c r="D36" s="234">
        <v>0</v>
      </c>
      <c r="E36" s="234">
        <v>0</v>
      </c>
      <c r="F36" s="234">
        <v>0</v>
      </c>
      <c r="G36" s="234">
        <v>0</v>
      </c>
      <c r="H36" s="234">
        <v>0</v>
      </c>
      <c r="I36" s="234">
        <v>0</v>
      </c>
    </row>
    <row r="37" spans="1:9">
      <c r="A37" s="222">
        <v>24</v>
      </c>
      <c r="B37" s="222"/>
      <c r="C37" s="233" t="s">
        <v>382</v>
      </c>
      <c r="D37" s="234">
        <v>3</v>
      </c>
      <c r="E37" s="234">
        <v>0</v>
      </c>
      <c r="F37" s="234">
        <v>0</v>
      </c>
      <c r="G37" s="234">
        <v>0</v>
      </c>
      <c r="H37" s="234">
        <v>0</v>
      </c>
      <c r="I37" s="234">
        <v>0</v>
      </c>
    </row>
    <row r="38" spans="1:9">
      <c r="A38" s="222">
        <v>25</v>
      </c>
      <c r="B38" s="222"/>
      <c r="C38" s="233" t="s">
        <v>383</v>
      </c>
      <c r="D38" s="234">
        <v>1</v>
      </c>
      <c r="E38" s="234">
        <v>1</v>
      </c>
      <c r="F38" s="234">
        <v>1</v>
      </c>
      <c r="G38" s="234">
        <v>1</v>
      </c>
      <c r="H38" s="234">
        <v>1</v>
      </c>
      <c r="I38" s="234">
        <v>1</v>
      </c>
    </row>
    <row r="39" spans="1:9">
      <c r="A39" s="222">
        <v>26</v>
      </c>
      <c r="B39" s="222"/>
      <c r="C39" s="233" t="s">
        <v>384</v>
      </c>
      <c r="D39" s="234">
        <v>0</v>
      </c>
      <c r="E39" s="234">
        <v>0</v>
      </c>
      <c r="F39" s="234">
        <v>0</v>
      </c>
      <c r="G39" s="234">
        <v>0</v>
      </c>
      <c r="H39" s="234">
        <v>0</v>
      </c>
      <c r="I39" s="234">
        <v>0</v>
      </c>
    </row>
    <row r="40" spans="1:9">
      <c r="A40" s="222">
        <v>27</v>
      </c>
      <c r="B40" s="222"/>
      <c r="C40" s="233" t="s">
        <v>385</v>
      </c>
      <c r="D40" s="234">
        <v>1</v>
      </c>
      <c r="E40" s="234">
        <v>1</v>
      </c>
      <c r="F40" s="234">
        <v>1</v>
      </c>
      <c r="G40" s="234">
        <v>1</v>
      </c>
      <c r="H40" s="234">
        <v>1</v>
      </c>
      <c r="I40" s="234">
        <v>1</v>
      </c>
    </row>
    <row r="41" spans="1:9">
      <c r="A41" s="222">
        <v>28</v>
      </c>
      <c r="B41" s="222"/>
      <c r="C41" s="233" t="s">
        <v>386</v>
      </c>
      <c r="D41" s="234">
        <v>1</v>
      </c>
      <c r="E41" s="234">
        <v>1</v>
      </c>
      <c r="F41" s="234">
        <v>1</v>
      </c>
      <c r="G41" s="234">
        <v>1</v>
      </c>
      <c r="H41" s="234">
        <v>1</v>
      </c>
      <c r="I41" s="234">
        <v>1</v>
      </c>
    </row>
    <row r="42" spans="1:9">
      <c r="A42" s="222">
        <v>29</v>
      </c>
      <c r="B42" s="222"/>
      <c r="C42" s="233" t="s">
        <v>387</v>
      </c>
      <c r="D42" s="234">
        <v>0</v>
      </c>
      <c r="E42" s="234">
        <v>0</v>
      </c>
      <c r="F42" s="234">
        <v>0</v>
      </c>
      <c r="G42" s="234">
        <v>0</v>
      </c>
      <c r="H42" s="234">
        <v>0</v>
      </c>
      <c r="I42" s="234">
        <v>0</v>
      </c>
    </row>
    <row r="43" spans="1:9">
      <c r="A43" s="222">
        <v>30</v>
      </c>
      <c r="B43" s="222"/>
      <c r="C43" s="233" t="s">
        <v>388</v>
      </c>
      <c r="D43" s="234">
        <v>1</v>
      </c>
      <c r="E43" s="234">
        <v>1</v>
      </c>
      <c r="F43" s="234">
        <v>1</v>
      </c>
      <c r="G43" s="234">
        <v>1</v>
      </c>
      <c r="H43" s="234">
        <v>1</v>
      </c>
      <c r="I43" s="234">
        <v>1</v>
      </c>
    </row>
    <row r="44" spans="1:9">
      <c r="A44" s="222">
        <v>31</v>
      </c>
      <c r="B44" s="222"/>
      <c r="C44" s="233" t="s">
        <v>389</v>
      </c>
      <c r="D44" s="234">
        <v>0</v>
      </c>
      <c r="E44" s="234">
        <v>0</v>
      </c>
      <c r="F44" s="234">
        <v>0</v>
      </c>
      <c r="G44" s="234">
        <v>0</v>
      </c>
      <c r="H44" s="234">
        <v>0</v>
      </c>
      <c r="I44" s="234">
        <v>0</v>
      </c>
    </row>
    <row r="45" spans="1:9">
      <c r="A45" s="222">
        <v>32</v>
      </c>
      <c r="B45" s="222"/>
      <c r="C45" s="233" t="s">
        <v>390</v>
      </c>
      <c r="D45" s="234">
        <v>1</v>
      </c>
      <c r="E45" s="234">
        <v>1</v>
      </c>
      <c r="F45" s="234">
        <v>1</v>
      </c>
      <c r="G45" s="234">
        <v>1</v>
      </c>
      <c r="H45" s="234">
        <v>1</v>
      </c>
      <c r="I45" s="234">
        <v>1</v>
      </c>
    </row>
    <row r="46" spans="1:9">
      <c r="A46" s="222">
        <v>33</v>
      </c>
      <c r="B46" s="222"/>
      <c r="C46" s="233" t="s">
        <v>391</v>
      </c>
      <c r="D46" s="234">
        <v>1</v>
      </c>
      <c r="E46" s="234">
        <v>1</v>
      </c>
      <c r="F46" s="234">
        <v>1</v>
      </c>
      <c r="G46" s="234">
        <v>1</v>
      </c>
      <c r="H46" s="234">
        <v>1</v>
      </c>
      <c r="I46" s="234">
        <v>1</v>
      </c>
    </row>
    <row r="47" spans="1:9">
      <c r="A47" s="222">
        <v>34</v>
      </c>
      <c r="B47" s="222"/>
      <c r="C47" s="233" t="s">
        <v>392</v>
      </c>
      <c r="D47" s="234">
        <v>1</v>
      </c>
      <c r="E47" s="234">
        <v>1</v>
      </c>
      <c r="F47" s="234">
        <v>1</v>
      </c>
      <c r="G47" s="234">
        <v>1</v>
      </c>
      <c r="H47" s="234">
        <v>1</v>
      </c>
      <c r="I47" s="234">
        <v>1</v>
      </c>
    </row>
    <row r="48" spans="1:9">
      <c r="A48" s="222">
        <v>35</v>
      </c>
      <c r="B48" s="222"/>
      <c r="C48" s="233" t="s">
        <v>393</v>
      </c>
      <c r="D48" s="234">
        <v>1</v>
      </c>
      <c r="E48" s="234">
        <v>1</v>
      </c>
      <c r="F48" s="234">
        <v>1</v>
      </c>
      <c r="G48" s="234">
        <v>1</v>
      </c>
      <c r="H48" s="234">
        <v>1</v>
      </c>
      <c r="I48" s="234">
        <v>1</v>
      </c>
    </row>
    <row r="49" spans="1:9">
      <c r="A49" s="222">
        <v>36</v>
      </c>
      <c r="B49" s="222"/>
      <c r="C49" s="233" t="s">
        <v>394</v>
      </c>
      <c r="D49" s="234">
        <v>2</v>
      </c>
      <c r="E49" s="234">
        <v>2</v>
      </c>
      <c r="F49" s="234">
        <v>2</v>
      </c>
      <c r="G49" s="234">
        <v>2</v>
      </c>
      <c r="H49" s="234">
        <v>2</v>
      </c>
      <c r="I49" s="234">
        <v>2</v>
      </c>
    </row>
    <row r="50" spans="1:9">
      <c r="A50" s="222">
        <v>37</v>
      </c>
      <c r="B50" s="222"/>
      <c r="C50" s="233" t="s">
        <v>395</v>
      </c>
      <c r="D50" s="234">
        <v>2</v>
      </c>
      <c r="E50" s="234">
        <v>2</v>
      </c>
      <c r="F50" s="234">
        <v>2</v>
      </c>
      <c r="G50" s="234">
        <v>2</v>
      </c>
      <c r="H50" s="234">
        <v>2</v>
      </c>
      <c r="I50" s="234">
        <v>2</v>
      </c>
    </row>
    <row r="51" spans="1:9">
      <c r="A51" s="222">
        <v>38</v>
      </c>
      <c r="B51" s="222"/>
      <c r="C51" s="233" t="s">
        <v>396</v>
      </c>
      <c r="D51" s="234">
        <v>2</v>
      </c>
      <c r="E51" s="234">
        <v>2</v>
      </c>
      <c r="F51" s="234">
        <v>2</v>
      </c>
      <c r="G51" s="234">
        <v>2</v>
      </c>
      <c r="H51" s="234">
        <v>2</v>
      </c>
      <c r="I51" s="234">
        <v>2</v>
      </c>
    </row>
    <row r="52" spans="1:9">
      <c r="A52" s="222">
        <v>39</v>
      </c>
      <c r="B52" s="222"/>
      <c r="C52" s="233" t="s">
        <v>397</v>
      </c>
      <c r="D52" s="234">
        <v>1</v>
      </c>
      <c r="E52" s="234">
        <v>1</v>
      </c>
      <c r="F52" s="234">
        <v>1</v>
      </c>
      <c r="G52" s="234">
        <v>1</v>
      </c>
      <c r="H52" s="234">
        <v>1</v>
      </c>
      <c r="I52" s="234">
        <v>1</v>
      </c>
    </row>
    <row r="53" spans="1:9">
      <c r="A53" s="222">
        <v>40</v>
      </c>
      <c r="B53" s="222"/>
      <c r="C53" s="233" t="s">
        <v>398</v>
      </c>
      <c r="D53" s="234">
        <v>2</v>
      </c>
      <c r="E53" s="234">
        <v>2</v>
      </c>
      <c r="F53" s="234">
        <v>2</v>
      </c>
      <c r="G53" s="234">
        <v>2</v>
      </c>
      <c r="H53" s="234">
        <v>2</v>
      </c>
      <c r="I53" s="234">
        <v>2</v>
      </c>
    </row>
    <row r="54" spans="1:9">
      <c r="A54" s="222">
        <v>41</v>
      </c>
      <c r="B54" s="222"/>
      <c r="C54" s="233" t="s">
        <v>399</v>
      </c>
      <c r="D54" s="234">
        <v>1</v>
      </c>
      <c r="E54" s="234">
        <v>1</v>
      </c>
      <c r="F54" s="234">
        <v>1</v>
      </c>
      <c r="G54" s="234">
        <v>1</v>
      </c>
      <c r="H54" s="234">
        <v>1</v>
      </c>
      <c r="I54" s="234">
        <v>1</v>
      </c>
    </row>
    <row r="55" spans="1:9">
      <c r="A55" s="222">
        <v>42</v>
      </c>
      <c r="B55" s="222"/>
      <c r="C55" s="233" t="s">
        <v>400</v>
      </c>
      <c r="D55" s="234">
        <v>1</v>
      </c>
      <c r="E55" s="234">
        <v>1</v>
      </c>
      <c r="F55" s="234">
        <v>1</v>
      </c>
      <c r="G55" s="234">
        <v>1</v>
      </c>
      <c r="H55" s="234">
        <v>1</v>
      </c>
      <c r="I55" s="234">
        <v>1</v>
      </c>
    </row>
    <row r="56" spans="1:9">
      <c r="A56" s="222">
        <v>43</v>
      </c>
      <c r="B56" s="222"/>
      <c r="C56" s="233" t="s">
        <v>401</v>
      </c>
      <c r="D56" s="234">
        <v>1</v>
      </c>
      <c r="E56" s="234">
        <v>1</v>
      </c>
      <c r="F56" s="234">
        <v>1</v>
      </c>
      <c r="G56" s="234">
        <v>1</v>
      </c>
      <c r="H56" s="234">
        <v>1</v>
      </c>
      <c r="I56" s="234">
        <v>1</v>
      </c>
    </row>
    <row r="57" spans="1:9">
      <c r="A57" s="222">
        <v>44</v>
      </c>
      <c r="B57" s="222"/>
      <c r="C57" s="233" t="s">
        <v>402</v>
      </c>
      <c r="D57" s="234">
        <v>4</v>
      </c>
      <c r="E57" s="234">
        <v>4</v>
      </c>
      <c r="F57" s="234">
        <v>4</v>
      </c>
      <c r="G57" s="234">
        <v>4</v>
      </c>
      <c r="H57" s="234">
        <v>4</v>
      </c>
      <c r="I57" s="234">
        <v>4</v>
      </c>
    </row>
    <row r="58" spans="1:9">
      <c r="A58" s="222">
        <v>45</v>
      </c>
      <c r="B58" s="222"/>
      <c r="C58" s="233" t="s">
        <v>403</v>
      </c>
      <c r="D58" s="234">
        <v>2</v>
      </c>
      <c r="E58" s="234">
        <v>2</v>
      </c>
      <c r="F58" s="234">
        <v>2</v>
      </c>
      <c r="G58" s="234">
        <v>2</v>
      </c>
      <c r="H58" s="234">
        <v>2</v>
      </c>
      <c r="I58" s="234">
        <v>2</v>
      </c>
    </row>
    <row r="59" spans="1:9">
      <c r="A59" s="222">
        <v>46</v>
      </c>
      <c r="B59" s="222"/>
      <c r="C59" s="233" t="s">
        <v>404</v>
      </c>
      <c r="D59" s="234">
        <v>3</v>
      </c>
      <c r="E59" s="234">
        <v>3</v>
      </c>
      <c r="F59" s="234">
        <v>3</v>
      </c>
      <c r="G59" s="234">
        <v>3</v>
      </c>
      <c r="H59" s="234">
        <v>3</v>
      </c>
      <c r="I59" s="234">
        <v>3</v>
      </c>
    </row>
    <row r="60" spans="1:9">
      <c r="A60" s="222">
        <v>47</v>
      </c>
      <c r="B60" s="222"/>
      <c r="C60" s="233" t="s">
        <v>405</v>
      </c>
      <c r="D60" s="234">
        <v>1</v>
      </c>
      <c r="E60" s="234">
        <v>1</v>
      </c>
      <c r="F60" s="234">
        <v>1</v>
      </c>
      <c r="G60" s="234">
        <v>1</v>
      </c>
      <c r="H60" s="234">
        <v>1</v>
      </c>
      <c r="I60" s="234">
        <v>1</v>
      </c>
    </row>
    <row r="61" spans="1:9">
      <c r="A61" s="222">
        <v>48</v>
      </c>
      <c r="B61" s="222"/>
      <c r="C61" s="233" t="s">
        <v>406</v>
      </c>
      <c r="D61" s="234">
        <v>1</v>
      </c>
      <c r="E61" s="234">
        <v>1</v>
      </c>
      <c r="F61" s="234">
        <v>1</v>
      </c>
      <c r="G61" s="234">
        <v>1</v>
      </c>
      <c r="H61" s="234">
        <v>1</v>
      </c>
      <c r="I61" s="234">
        <v>1</v>
      </c>
    </row>
    <row r="62" spans="1:9">
      <c r="A62" s="222">
        <v>49</v>
      </c>
      <c r="B62" s="222"/>
      <c r="C62" s="233" t="s">
        <v>407</v>
      </c>
      <c r="D62" s="234">
        <v>1</v>
      </c>
      <c r="E62" s="234">
        <v>1</v>
      </c>
      <c r="F62" s="234">
        <v>1</v>
      </c>
      <c r="G62" s="234">
        <v>1</v>
      </c>
      <c r="H62" s="234">
        <v>1</v>
      </c>
      <c r="I62" s="234">
        <v>1</v>
      </c>
    </row>
    <row r="63" spans="1:9">
      <c r="A63" s="222">
        <v>50</v>
      </c>
      <c r="B63" s="222"/>
      <c r="C63" s="233" t="s">
        <v>408</v>
      </c>
      <c r="D63" s="234">
        <v>2</v>
      </c>
      <c r="E63" s="234">
        <v>2</v>
      </c>
      <c r="F63" s="234">
        <v>2</v>
      </c>
      <c r="G63" s="234">
        <v>2</v>
      </c>
      <c r="H63" s="234">
        <v>2</v>
      </c>
      <c r="I63" s="234">
        <v>2</v>
      </c>
    </row>
    <row r="64" spans="1:9">
      <c r="A64" s="222">
        <v>51</v>
      </c>
      <c r="B64" s="222"/>
      <c r="C64" s="233" t="s">
        <v>409</v>
      </c>
      <c r="D64" s="234">
        <v>2</v>
      </c>
      <c r="E64" s="234">
        <v>2</v>
      </c>
      <c r="F64" s="234">
        <v>2</v>
      </c>
      <c r="G64" s="234">
        <v>2</v>
      </c>
      <c r="H64" s="234">
        <v>2</v>
      </c>
      <c r="I64" s="234">
        <v>2</v>
      </c>
    </row>
    <row r="65" spans="1:9">
      <c r="A65" s="222">
        <v>52</v>
      </c>
      <c r="B65" s="222"/>
      <c r="C65" s="233" t="s">
        <v>410</v>
      </c>
      <c r="D65" s="234">
        <v>1</v>
      </c>
      <c r="E65" s="234">
        <v>1</v>
      </c>
      <c r="F65" s="234">
        <v>1</v>
      </c>
      <c r="G65" s="234">
        <v>1</v>
      </c>
      <c r="H65" s="234">
        <v>1</v>
      </c>
      <c r="I65" s="234">
        <v>1</v>
      </c>
    </row>
    <row r="66" spans="1:9">
      <c r="A66" s="222">
        <v>53</v>
      </c>
      <c r="B66" s="222"/>
      <c r="C66" s="233" t="s">
        <v>411</v>
      </c>
      <c r="D66" s="234">
        <v>1</v>
      </c>
      <c r="E66" s="234">
        <v>1</v>
      </c>
      <c r="F66" s="234">
        <v>1</v>
      </c>
      <c r="G66" s="234">
        <v>1</v>
      </c>
      <c r="H66" s="234">
        <v>1</v>
      </c>
      <c r="I66" s="234">
        <v>1</v>
      </c>
    </row>
    <row r="67" spans="1:9">
      <c r="A67" s="222">
        <v>54</v>
      </c>
      <c r="B67" s="222"/>
      <c r="C67" s="233" t="s">
        <v>412</v>
      </c>
      <c r="D67" s="234">
        <v>0</v>
      </c>
      <c r="E67" s="234">
        <v>0</v>
      </c>
      <c r="F67" s="234">
        <v>0</v>
      </c>
      <c r="G67" s="234">
        <v>0</v>
      </c>
      <c r="H67" s="234">
        <v>0</v>
      </c>
      <c r="I67" s="234">
        <v>0</v>
      </c>
    </row>
    <row r="68" spans="1:9">
      <c r="A68" s="222">
        <v>55</v>
      </c>
      <c r="B68" s="222"/>
      <c r="C68" s="233" t="s">
        <v>413</v>
      </c>
      <c r="D68" s="234">
        <v>2</v>
      </c>
      <c r="E68" s="234">
        <v>2</v>
      </c>
      <c r="F68" s="234">
        <v>2</v>
      </c>
      <c r="G68" s="234">
        <v>2</v>
      </c>
      <c r="H68" s="234">
        <v>2</v>
      </c>
      <c r="I68" s="234">
        <v>2</v>
      </c>
    </row>
    <row r="69" spans="1:9">
      <c r="A69" s="222"/>
      <c r="B69" s="222"/>
      <c r="C69" s="226"/>
      <c r="D69" s="227"/>
      <c r="E69" s="227">
        <f>E70-D70</f>
        <v>4220.2372566147242</v>
      </c>
      <c r="F69" s="227">
        <f>F70-E70</f>
        <v>4220.2372566147315</v>
      </c>
      <c r="G69" s="227">
        <f>G70-F70</f>
        <v>4220.2372566147242</v>
      </c>
      <c r="H69" s="227">
        <f>H70-G70</f>
        <v>4220.2372566147387</v>
      </c>
      <c r="I69" s="227">
        <f>I70-H70</f>
        <v>4220.2372566147242</v>
      </c>
    </row>
    <row r="70" spans="1:9">
      <c r="A70" s="222">
        <v>56</v>
      </c>
      <c r="B70" s="222"/>
      <c r="C70" s="228" t="s">
        <v>414</v>
      </c>
      <c r="D70" s="227">
        <v>54873.237256614731</v>
      </c>
      <c r="E70" s="227">
        <v>59093.474513229456</v>
      </c>
      <c r="F70" s="227">
        <v>63313.711769844187</v>
      </c>
      <c r="G70" s="227">
        <v>67533.949026458911</v>
      </c>
      <c r="H70" s="227">
        <v>71754.18628307365</v>
      </c>
      <c r="I70" s="227">
        <v>75974.423539688374</v>
      </c>
    </row>
    <row r="71" spans="1:9">
      <c r="A71" s="222">
        <v>57</v>
      </c>
      <c r="B71" s="222"/>
      <c r="C71" s="233" t="s">
        <v>415</v>
      </c>
      <c r="D71" s="234">
        <v>0</v>
      </c>
      <c r="E71" s="234">
        <v>0</v>
      </c>
      <c r="F71" s="234">
        <v>0</v>
      </c>
      <c r="G71" s="234">
        <v>0</v>
      </c>
      <c r="H71" s="234">
        <v>0</v>
      </c>
      <c r="I71" s="234">
        <v>0</v>
      </c>
    </row>
    <row r="72" spans="1:9">
      <c r="A72" s="222">
        <v>58</v>
      </c>
      <c r="B72" s="222"/>
      <c r="C72" s="233" t="s">
        <v>416</v>
      </c>
      <c r="D72" s="234">
        <v>0</v>
      </c>
      <c r="E72" s="234">
        <v>0</v>
      </c>
      <c r="F72" s="234">
        <v>0</v>
      </c>
      <c r="G72" s="234">
        <v>0</v>
      </c>
      <c r="H72" s="234">
        <v>0</v>
      </c>
      <c r="I72" s="234">
        <v>0</v>
      </c>
    </row>
    <row r="73" spans="1:9">
      <c r="A73" s="222">
        <v>59</v>
      </c>
      <c r="B73" s="222"/>
      <c r="C73" s="233" t="s">
        <v>417</v>
      </c>
      <c r="D73" s="234">
        <v>0</v>
      </c>
      <c r="E73" s="234">
        <v>0</v>
      </c>
      <c r="F73" s="234">
        <v>0</v>
      </c>
      <c r="G73" s="234">
        <v>0</v>
      </c>
      <c r="H73" s="234">
        <v>0</v>
      </c>
      <c r="I73" s="234">
        <v>0</v>
      </c>
    </row>
    <row r="74" spans="1:9">
      <c r="A74" s="222">
        <v>60</v>
      </c>
      <c r="B74" s="222"/>
      <c r="C74" s="233" t="s">
        <v>418</v>
      </c>
      <c r="D74" s="234">
        <v>0</v>
      </c>
      <c r="E74" s="234">
        <v>0</v>
      </c>
      <c r="F74" s="234">
        <v>0</v>
      </c>
      <c r="G74" s="234">
        <v>0</v>
      </c>
      <c r="H74" s="234">
        <v>0</v>
      </c>
      <c r="I74" s="234">
        <v>0</v>
      </c>
    </row>
    <row r="75" spans="1:9">
      <c r="A75" s="222">
        <v>61</v>
      </c>
      <c r="B75" s="222"/>
      <c r="C75" s="233" t="s">
        <v>419</v>
      </c>
      <c r="D75" s="234">
        <v>0</v>
      </c>
      <c r="E75" s="234">
        <v>0</v>
      </c>
      <c r="F75" s="234">
        <v>0</v>
      </c>
      <c r="G75" s="234">
        <v>0</v>
      </c>
      <c r="H75" s="234">
        <v>0</v>
      </c>
      <c r="I75" s="234">
        <v>0</v>
      </c>
    </row>
    <row r="76" spans="1:9">
      <c r="A76" s="222">
        <v>62</v>
      </c>
      <c r="B76" s="222"/>
      <c r="C76" s="233" t="s">
        <v>420</v>
      </c>
      <c r="D76" s="234">
        <v>0</v>
      </c>
      <c r="E76" s="234">
        <v>0</v>
      </c>
      <c r="F76" s="234">
        <v>0</v>
      </c>
      <c r="G76" s="234">
        <v>0</v>
      </c>
      <c r="H76" s="234">
        <v>0</v>
      </c>
      <c r="I76" s="234">
        <v>0</v>
      </c>
    </row>
    <row r="77" spans="1:9">
      <c r="A77" s="222">
        <v>63</v>
      </c>
      <c r="B77" s="222"/>
      <c r="C77" s="233" t="s">
        <v>421</v>
      </c>
      <c r="D77" s="234">
        <v>0</v>
      </c>
      <c r="E77" s="234">
        <v>0</v>
      </c>
      <c r="F77" s="234">
        <v>0</v>
      </c>
      <c r="G77" s="234">
        <v>0</v>
      </c>
      <c r="H77" s="234">
        <v>0</v>
      </c>
      <c r="I77" s="234">
        <v>0</v>
      </c>
    </row>
    <row r="78" spans="1:9">
      <c r="A78" s="222">
        <v>64</v>
      </c>
      <c r="B78" s="222"/>
      <c r="C78" s="233" t="s">
        <v>422</v>
      </c>
      <c r="D78" s="234">
        <v>1</v>
      </c>
      <c r="E78" s="234">
        <v>0.5</v>
      </c>
      <c r="F78" s="234">
        <v>0</v>
      </c>
      <c r="G78" s="234">
        <v>0</v>
      </c>
      <c r="H78" s="234">
        <v>0</v>
      </c>
      <c r="I78" s="234">
        <v>0</v>
      </c>
    </row>
    <row r="79" spans="1:9">
      <c r="A79" s="222">
        <v>65</v>
      </c>
      <c r="B79" s="222"/>
      <c r="C79" s="233" t="s">
        <v>423</v>
      </c>
      <c r="D79" s="234">
        <v>1</v>
      </c>
      <c r="E79" s="234">
        <v>0.5</v>
      </c>
      <c r="F79" s="234">
        <v>0</v>
      </c>
      <c r="G79" s="234">
        <v>0</v>
      </c>
      <c r="H79" s="234">
        <v>0</v>
      </c>
      <c r="I79" s="234">
        <v>0</v>
      </c>
    </row>
    <row r="80" spans="1:9">
      <c r="A80" s="222">
        <v>66</v>
      </c>
      <c r="B80" s="222"/>
      <c r="C80" s="233" t="s">
        <v>424</v>
      </c>
      <c r="D80" s="234">
        <v>0</v>
      </c>
      <c r="E80" s="234">
        <v>0</v>
      </c>
      <c r="F80" s="234">
        <v>0</v>
      </c>
      <c r="G80" s="234">
        <v>0</v>
      </c>
      <c r="H80" s="234">
        <v>0</v>
      </c>
      <c r="I80" s="234">
        <v>0</v>
      </c>
    </row>
    <row r="81" spans="1:9">
      <c r="A81" s="222">
        <v>67</v>
      </c>
      <c r="B81" s="222"/>
      <c r="C81" s="233" t="s">
        <v>425</v>
      </c>
      <c r="D81" s="234">
        <v>0</v>
      </c>
      <c r="E81" s="234">
        <v>0</v>
      </c>
      <c r="F81" s="234">
        <v>0</v>
      </c>
      <c r="G81" s="234">
        <v>0</v>
      </c>
      <c r="H81" s="234">
        <v>0</v>
      </c>
      <c r="I81" s="234">
        <v>0</v>
      </c>
    </row>
    <row r="82" spans="1:9">
      <c r="A82" s="222">
        <v>68</v>
      </c>
      <c r="B82" s="222"/>
      <c r="C82" s="233" t="s">
        <v>426</v>
      </c>
      <c r="D82" s="234">
        <v>1</v>
      </c>
      <c r="E82" s="234">
        <v>1</v>
      </c>
      <c r="F82" s="234">
        <v>1</v>
      </c>
      <c r="G82" s="234">
        <v>1</v>
      </c>
      <c r="H82" s="234">
        <v>1</v>
      </c>
      <c r="I82" s="234">
        <v>1</v>
      </c>
    </row>
    <row r="83" spans="1:9">
      <c r="A83" s="222">
        <v>69</v>
      </c>
      <c r="B83" s="222"/>
      <c r="C83" s="233" t="s">
        <v>427</v>
      </c>
      <c r="D83" s="234">
        <v>1</v>
      </c>
      <c r="E83" s="234">
        <v>1</v>
      </c>
      <c r="F83" s="234">
        <v>1</v>
      </c>
      <c r="G83" s="234">
        <v>1</v>
      </c>
      <c r="H83" s="234">
        <v>1</v>
      </c>
      <c r="I83" s="234">
        <v>1</v>
      </c>
    </row>
    <row r="84" spans="1:9">
      <c r="A84" s="222">
        <v>70</v>
      </c>
      <c r="B84" s="244" t="s">
        <v>428</v>
      </c>
      <c r="C84" s="232" t="s">
        <v>429</v>
      </c>
      <c r="D84" s="235">
        <v>66263.927373636237</v>
      </c>
      <c r="E84" s="235">
        <v>74774.96656827438</v>
      </c>
      <c r="F84" s="235">
        <v>80736.275613093545</v>
      </c>
      <c r="G84" s="235">
        <v>86784.820630604023</v>
      </c>
      <c r="H84" s="235">
        <v>92805.007598774828</v>
      </c>
      <c r="I84" s="235">
        <v>98771.207985924586</v>
      </c>
    </row>
    <row r="85" spans="1:9">
      <c r="A85" s="222">
        <v>71</v>
      </c>
      <c r="B85" s="222"/>
      <c r="C85" s="233" t="s">
        <v>430</v>
      </c>
      <c r="D85" s="234">
        <v>1</v>
      </c>
      <c r="E85" s="234">
        <v>1</v>
      </c>
      <c r="F85" s="234">
        <v>1</v>
      </c>
      <c r="G85" s="234">
        <v>1</v>
      </c>
      <c r="H85" s="234">
        <v>1</v>
      </c>
      <c r="I85" s="234">
        <v>1</v>
      </c>
    </row>
    <row r="86" spans="1:9">
      <c r="A86" s="222">
        <v>72</v>
      </c>
      <c r="B86" s="222"/>
      <c r="C86" s="233" t="s">
        <v>431</v>
      </c>
      <c r="D86" s="234">
        <v>1</v>
      </c>
      <c r="E86" s="234">
        <v>1</v>
      </c>
      <c r="F86" s="234">
        <v>1</v>
      </c>
      <c r="G86" s="234">
        <v>1</v>
      </c>
      <c r="H86" s="234">
        <v>1</v>
      </c>
      <c r="I86" s="234">
        <v>1</v>
      </c>
    </row>
    <row r="87" spans="1:9">
      <c r="A87" s="222">
        <v>73</v>
      </c>
      <c r="B87" s="229"/>
      <c r="C87" s="233" t="s">
        <v>432</v>
      </c>
      <c r="D87" s="234">
        <v>1</v>
      </c>
      <c r="E87" s="234">
        <v>1</v>
      </c>
      <c r="F87" s="234">
        <v>1</v>
      </c>
      <c r="G87" s="234">
        <v>1</v>
      </c>
      <c r="H87" s="234">
        <v>1</v>
      </c>
      <c r="I87" s="234">
        <v>1</v>
      </c>
    </row>
    <row r="88" spans="1:9">
      <c r="A88" s="222">
        <v>74</v>
      </c>
      <c r="B88" s="229"/>
      <c r="C88" s="233" t="s">
        <v>433</v>
      </c>
      <c r="D88" s="234">
        <v>1</v>
      </c>
      <c r="E88" s="234">
        <v>1</v>
      </c>
      <c r="F88" s="234">
        <v>1</v>
      </c>
      <c r="G88" s="234">
        <v>1</v>
      </c>
      <c r="H88" s="234">
        <v>1</v>
      </c>
      <c r="I88" s="234">
        <v>1</v>
      </c>
    </row>
    <row r="89" spans="1:9">
      <c r="A89" s="222">
        <v>75</v>
      </c>
      <c r="B89" s="229"/>
      <c r="C89" s="233" t="s">
        <v>434</v>
      </c>
      <c r="D89" s="234">
        <v>1</v>
      </c>
      <c r="E89" s="234">
        <v>1</v>
      </c>
      <c r="F89" s="234">
        <v>1</v>
      </c>
      <c r="G89" s="234">
        <v>1</v>
      </c>
      <c r="H89" s="234">
        <v>1</v>
      </c>
      <c r="I89" s="234">
        <v>1</v>
      </c>
    </row>
    <row r="90" spans="1:9">
      <c r="A90" s="222">
        <v>76</v>
      </c>
      <c r="B90" s="229"/>
      <c r="C90" s="233" t="s">
        <v>435</v>
      </c>
      <c r="D90" s="234">
        <v>1</v>
      </c>
      <c r="E90" s="234">
        <v>1</v>
      </c>
      <c r="F90" s="234">
        <v>1</v>
      </c>
      <c r="G90" s="234">
        <v>1</v>
      </c>
      <c r="H90" s="234">
        <v>1</v>
      </c>
      <c r="I90" s="234">
        <v>1</v>
      </c>
    </row>
    <row r="91" spans="1:9">
      <c r="A91" s="222">
        <v>77</v>
      </c>
      <c r="B91" s="229"/>
      <c r="C91" s="233" t="s">
        <v>436</v>
      </c>
      <c r="D91" s="234">
        <v>1</v>
      </c>
      <c r="E91" s="234">
        <v>1</v>
      </c>
      <c r="F91" s="234">
        <v>1</v>
      </c>
      <c r="G91" s="234">
        <v>1</v>
      </c>
      <c r="H91" s="234">
        <v>1</v>
      </c>
      <c r="I91" s="234">
        <v>1</v>
      </c>
    </row>
    <row r="92" spans="1:9">
      <c r="A92" s="222">
        <v>78</v>
      </c>
      <c r="B92" s="229"/>
      <c r="C92" s="233" t="s">
        <v>437</v>
      </c>
      <c r="D92" s="234">
        <v>1</v>
      </c>
      <c r="E92" s="234">
        <v>1</v>
      </c>
      <c r="F92" s="234">
        <v>1</v>
      </c>
      <c r="G92" s="234">
        <v>1</v>
      </c>
      <c r="H92" s="234">
        <v>1</v>
      </c>
      <c r="I92" s="234">
        <v>1</v>
      </c>
    </row>
    <row r="93" spans="1:9">
      <c r="A93" s="222">
        <v>79</v>
      </c>
      <c r="B93" s="229"/>
      <c r="C93" s="233" t="s">
        <v>438</v>
      </c>
      <c r="D93" s="234">
        <v>1</v>
      </c>
      <c r="E93" s="234">
        <v>1</v>
      </c>
      <c r="F93" s="234">
        <v>1</v>
      </c>
      <c r="G93" s="234">
        <v>1</v>
      </c>
      <c r="H93" s="234">
        <v>1</v>
      </c>
      <c r="I93" s="234">
        <v>1</v>
      </c>
    </row>
    <row r="94" spans="1:9">
      <c r="A94" s="222">
        <v>80</v>
      </c>
      <c r="B94" s="229"/>
      <c r="C94" s="233" t="s">
        <v>439</v>
      </c>
      <c r="D94" s="234">
        <v>1</v>
      </c>
      <c r="E94" s="234">
        <v>1</v>
      </c>
      <c r="F94" s="234">
        <v>1</v>
      </c>
      <c r="G94" s="234">
        <v>1</v>
      </c>
      <c r="H94" s="234">
        <v>1</v>
      </c>
      <c r="I94" s="234">
        <v>1</v>
      </c>
    </row>
    <row r="95" spans="1:9">
      <c r="A95" s="222">
        <v>81</v>
      </c>
      <c r="B95" s="229"/>
      <c r="C95" s="233" t="s">
        <v>440</v>
      </c>
      <c r="D95" s="234">
        <v>1</v>
      </c>
      <c r="E95" s="234">
        <v>1</v>
      </c>
      <c r="F95" s="234">
        <v>1</v>
      </c>
      <c r="G95" s="234">
        <v>1</v>
      </c>
      <c r="H95" s="234">
        <v>1</v>
      </c>
      <c r="I95" s="234">
        <v>1</v>
      </c>
    </row>
    <row r="96" spans="1:9">
      <c r="A96" s="222">
        <v>82</v>
      </c>
      <c r="B96" s="297" t="s">
        <v>441</v>
      </c>
      <c r="C96" s="233" t="s">
        <v>442</v>
      </c>
      <c r="D96" s="234">
        <v>0</v>
      </c>
      <c r="E96" s="234">
        <v>0</v>
      </c>
      <c r="F96" s="234">
        <v>0</v>
      </c>
      <c r="G96" s="234">
        <v>0</v>
      </c>
      <c r="H96" s="234">
        <v>0</v>
      </c>
      <c r="I96" s="234">
        <v>0</v>
      </c>
    </row>
    <row r="97" spans="1:9">
      <c r="A97" s="222">
        <v>83</v>
      </c>
      <c r="B97" s="297" t="s">
        <v>443</v>
      </c>
      <c r="C97" s="233" t="s">
        <v>444</v>
      </c>
      <c r="D97" s="234">
        <v>3.0241181399252919</v>
      </c>
      <c r="E97" s="234">
        <v>3.0565681713666608</v>
      </c>
      <c r="F97" s="234">
        <v>3.0913123916955452</v>
      </c>
      <c r="G97" s="234">
        <v>3.1300378412984258</v>
      </c>
      <c r="H97" s="234">
        <v>3.1674691012143974</v>
      </c>
      <c r="I97" s="234">
        <v>3.2024365500426604</v>
      </c>
    </row>
    <row r="98" spans="1:9">
      <c r="A98" s="222">
        <v>84</v>
      </c>
      <c r="B98" s="297" t="s">
        <v>445</v>
      </c>
      <c r="C98" s="233" t="s">
        <v>446</v>
      </c>
      <c r="D98" s="234">
        <v>0</v>
      </c>
      <c r="E98" s="234">
        <v>0</v>
      </c>
      <c r="F98" s="234">
        <v>0</v>
      </c>
      <c r="G98" s="234">
        <v>0</v>
      </c>
      <c r="H98" s="234">
        <v>0</v>
      </c>
      <c r="I98" s="234">
        <v>0</v>
      </c>
    </row>
    <row r="99" spans="1:9">
      <c r="A99" s="222">
        <v>85</v>
      </c>
      <c r="B99" s="297" t="s">
        <v>447</v>
      </c>
      <c r="C99" s="233"/>
      <c r="D99" s="234">
        <v>1527.7369863013698</v>
      </c>
      <c r="E99" s="234">
        <v>0</v>
      </c>
      <c r="F99" s="234">
        <v>0</v>
      </c>
      <c r="G99" s="234">
        <v>0</v>
      </c>
      <c r="H99" s="234">
        <v>0</v>
      </c>
      <c r="I99" s="234">
        <v>0</v>
      </c>
    </row>
    <row r="100" spans="1:9">
      <c r="A100" s="222">
        <v>86</v>
      </c>
      <c r="B100" s="297" t="s">
        <v>448</v>
      </c>
      <c r="C100" s="233"/>
      <c r="D100" s="234">
        <v>437.34794520547945</v>
      </c>
      <c r="E100" s="234">
        <v>0</v>
      </c>
      <c r="F100" s="234">
        <v>0</v>
      </c>
      <c r="G100" s="234">
        <v>0</v>
      </c>
      <c r="H100" s="234">
        <v>0</v>
      </c>
      <c r="I100" s="234">
        <v>0</v>
      </c>
    </row>
    <row r="101" spans="1:9">
      <c r="A101" s="222">
        <v>87</v>
      </c>
      <c r="B101" s="229"/>
      <c r="C101" s="226" t="s">
        <v>449</v>
      </c>
      <c r="D101" s="227">
        <v>2141543.9097547238</v>
      </c>
      <c r="E101" s="227">
        <v>2148584.4227447584</v>
      </c>
      <c r="F101" s="227">
        <v>2159570.4035038454</v>
      </c>
      <c r="G101" s="227">
        <v>2172572.0805748976</v>
      </c>
      <c r="H101" s="227">
        <v>2186023.0288729072</v>
      </c>
      <c r="I101" s="227">
        <v>2198170.415761265</v>
      </c>
    </row>
  </sheetData>
  <mergeCells count="3">
    <mergeCell ref="D6:I6"/>
    <mergeCell ref="F3:I3"/>
    <mergeCell ref="F2:I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sheetPr>
    <pageSetUpPr fitToPage="1"/>
  </sheetPr>
  <dimension ref="B2:AC40"/>
  <sheetViews>
    <sheetView zoomScaleNormal="100" workbookViewId="0">
      <selection activeCell="AA25" sqref="AA25"/>
    </sheetView>
  </sheetViews>
  <sheetFormatPr defaultRowHeight="15"/>
  <cols>
    <col min="1" max="1" width="3.140625" customWidth="1"/>
    <col min="15" max="16" width="8.85546875" bestFit="1" customWidth="1"/>
    <col min="17" max="20" width="9.28515625" customWidth="1"/>
    <col min="21" max="22" width="7.85546875" customWidth="1"/>
    <col min="23" max="23" width="12.42578125" customWidth="1"/>
    <col min="24" max="28" width="9.5703125" bestFit="1" customWidth="1"/>
  </cols>
  <sheetData>
    <row r="2" spans="2:29">
      <c r="B2" s="438" t="s">
        <v>520</v>
      </c>
      <c r="C2" s="438"/>
      <c r="D2" s="438"/>
      <c r="E2" s="438"/>
      <c r="F2" s="438"/>
      <c r="G2" s="438"/>
      <c r="H2" s="438"/>
      <c r="I2" s="438"/>
      <c r="J2" s="438"/>
      <c r="K2" s="438"/>
      <c r="L2" s="438"/>
      <c r="M2" s="438"/>
      <c r="Q2" s="439" t="s">
        <v>501</v>
      </c>
      <c r="R2" s="440"/>
      <c r="S2" s="440"/>
      <c r="T2" s="440"/>
      <c r="U2" s="440"/>
      <c r="V2" s="440"/>
      <c r="W2" s="441"/>
    </row>
    <row r="3" spans="2:29" ht="60">
      <c r="Q3" s="277" t="s">
        <v>502</v>
      </c>
      <c r="R3" s="277" t="s">
        <v>503</v>
      </c>
      <c r="S3" s="277" t="s">
        <v>504</v>
      </c>
      <c r="T3" s="277" t="s">
        <v>505</v>
      </c>
      <c r="U3" s="277" t="s">
        <v>506</v>
      </c>
      <c r="V3" s="277" t="s">
        <v>507</v>
      </c>
      <c r="W3" s="277" t="s">
        <v>508</v>
      </c>
      <c r="X3" s="278" t="s">
        <v>509</v>
      </c>
      <c r="Y3" s="278" t="s">
        <v>510</v>
      </c>
      <c r="Z3" s="278" t="s">
        <v>511</v>
      </c>
      <c r="AA3" s="278" t="s">
        <v>512</v>
      </c>
      <c r="AB3" s="278" t="s">
        <v>513</v>
      </c>
    </row>
    <row r="4" spans="2:29">
      <c r="Q4" s="279">
        <v>465</v>
      </c>
      <c r="R4" s="279">
        <v>1131</v>
      </c>
      <c r="S4" s="279">
        <v>1314</v>
      </c>
      <c r="T4" s="279">
        <v>1716</v>
      </c>
      <c r="U4" s="279">
        <v>1376</v>
      </c>
      <c r="V4" s="279">
        <v>783</v>
      </c>
      <c r="W4" s="279">
        <v>566</v>
      </c>
      <c r="X4" s="280">
        <f>AVERAGE($Q$4:$W$4)</f>
        <v>1050.1428571428571</v>
      </c>
      <c r="Y4" s="280">
        <f>AVERAGE($Q$4:$W$4)</f>
        <v>1050.1428571428571</v>
      </c>
      <c r="Z4" s="280">
        <f>AVERAGE($Q$4:$W$4)</f>
        <v>1050.1428571428571</v>
      </c>
      <c r="AA4" s="280">
        <f>AVERAGE($Q$4:$W$4)</f>
        <v>1050.1428571428571</v>
      </c>
      <c r="AB4" s="280">
        <f>AVERAGE($Q$4:$W$4)</f>
        <v>1050.1428571428571</v>
      </c>
    </row>
    <row r="5" spans="2:29" ht="15.75" customHeight="1">
      <c r="Q5" s="442" t="s">
        <v>515</v>
      </c>
      <c r="R5" s="443"/>
      <c r="S5" s="443"/>
      <c r="T5" s="444"/>
      <c r="U5" s="281">
        <f>B38</f>
        <v>199557</v>
      </c>
      <c r="V5" s="280">
        <f t="shared" ref="V5:AB5" si="0">U5-U4</f>
        <v>198181</v>
      </c>
      <c r="W5" s="280">
        <f t="shared" si="0"/>
        <v>197398</v>
      </c>
      <c r="X5" s="280">
        <f t="shared" si="0"/>
        <v>196832</v>
      </c>
      <c r="Y5" s="280">
        <f t="shared" si="0"/>
        <v>195781.85714285713</v>
      </c>
      <c r="Z5" s="280">
        <f t="shared" si="0"/>
        <v>194731.71428571426</v>
      </c>
      <c r="AA5" s="280">
        <f t="shared" si="0"/>
        <v>193681.57142857139</v>
      </c>
      <c r="AB5" s="284">
        <f t="shared" si="0"/>
        <v>192631.42857142852</v>
      </c>
    </row>
    <row r="6" spans="2:29" ht="15.75" customHeight="1">
      <c r="U6">
        <f>U5/5</f>
        <v>39911.4</v>
      </c>
    </row>
    <row r="7" spans="2:29">
      <c r="W7" s="433" t="s">
        <v>514</v>
      </c>
      <c r="X7" s="276" t="s">
        <v>210</v>
      </c>
      <c r="Y7" s="446" t="s">
        <v>557</v>
      </c>
      <c r="Z7" s="446"/>
      <c r="AA7" s="446"/>
      <c r="AB7" s="275">
        <v>15000</v>
      </c>
    </row>
    <row r="8" spans="2:29">
      <c r="W8" s="433"/>
      <c r="X8" s="276" t="s">
        <v>211</v>
      </c>
      <c r="Y8" s="446" t="s">
        <v>557</v>
      </c>
      <c r="Z8" s="446"/>
      <c r="AA8" s="446"/>
      <c r="AB8" s="337">
        <f>AB5-AB7-AB9-AB10-AB11</f>
        <v>27631.428571428522</v>
      </c>
      <c r="AC8" s="282"/>
    </row>
    <row r="9" spans="2:29">
      <c r="W9" s="433"/>
      <c r="X9" s="276" t="s">
        <v>212</v>
      </c>
      <c r="Y9" s="446" t="s">
        <v>557</v>
      </c>
      <c r="Z9" s="446"/>
      <c r="AA9" s="446"/>
      <c r="AB9" s="275">
        <v>50000</v>
      </c>
      <c r="AC9" s="283"/>
    </row>
    <row r="10" spans="2:29">
      <c r="W10" s="433"/>
      <c r="X10" s="276" t="s">
        <v>213</v>
      </c>
      <c r="Y10" s="446" t="s">
        <v>557</v>
      </c>
      <c r="Z10" s="446"/>
      <c r="AA10" s="446"/>
      <c r="AB10" s="275">
        <v>50000</v>
      </c>
      <c r="AC10" s="283"/>
    </row>
    <row r="11" spans="2:29">
      <c r="W11" s="433"/>
      <c r="X11" s="276" t="s">
        <v>214</v>
      </c>
      <c r="Y11" s="446" t="s">
        <v>557</v>
      </c>
      <c r="Z11" s="446"/>
      <c r="AA11" s="446"/>
      <c r="AB11" s="275">
        <v>50000</v>
      </c>
      <c r="AC11" s="283"/>
    </row>
    <row r="12" spans="2:29">
      <c r="AB12" s="338">
        <f>SUM(AB7:AB11)</f>
        <v>192631.42857142852</v>
      </c>
      <c r="AC12" s="220"/>
    </row>
    <row r="36" spans="2:6">
      <c r="B36" s="435" t="s">
        <v>497</v>
      </c>
      <c r="C36" s="436"/>
      <c r="D36" s="436"/>
      <c r="E36" s="436"/>
      <c r="F36" s="437"/>
    </row>
    <row r="37" spans="2:6" ht="38.25">
      <c r="B37" s="251" t="s">
        <v>230</v>
      </c>
      <c r="C37" s="251" t="s">
        <v>498</v>
      </c>
      <c r="D37" s="251" t="s">
        <v>499</v>
      </c>
      <c r="E37" s="395" t="s">
        <v>500</v>
      </c>
      <c r="F37" s="395"/>
    </row>
    <row r="38" spans="2:6">
      <c r="B38" s="414">
        <v>199557</v>
      </c>
      <c r="C38" s="414">
        <v>347014</v>
      </c>
      <c r="D38" s="414">
        <f>F38+F39+F40</f>
        <v>264672</v>
      </c>
      <c r="E38" s="11" t="s">
        <v>252</v>
      </c>
      <c r="F38" s="11">
        <v>231183</v>
      </c>
    </row>
    <row r="39" spans="2:6">
      <c r="B39" s="445"/>
      <c r="C39" s="445"/>
      <c r="D39" s="445"/>
      <c r="E39" s="11" t="s">
        <v>253</v>
      </c>
      <c r="F39" s="11">
        <v>3069</v>
      </c>
    </row>
    <row r="40" spans="2:6">
      <c r="B40" s="415"/>
      <c r="C40" s="415"/>
      <c r="D40" s="415"/>
      <c r="E40" s="11" t="s">
        <v>254</v>
      </c>
      <c r="F40" s="11">
        <v>30420</v>
      </c>
    </row>
  </sheetData>
  <mergeCells count="14">
    <mergeCell ref="Y7:AA7"/>
    <mergeCell ref="Y8:AA8"/>
    <mergeCell ref="Y9:AA9"/>
    <mergeCell ref="Y10:AA10"/>
    <mergeCell ref="Y11:AA11"/>
    <mergeCell ref="B36:F36"/>
    <mergeCell ref="B2:M2"/>
    <mergeCell ref="Q2:W2"/>
    <mergeCell ref="Q5:T5"/>
    <mergeCell ref="B38:B40"/>
    <mergeCell ref="C38:C40"/>
    <mergeCell ref="D38:D40"/>
    <mergeCell ref="E37:F37"/>
    <mergeCell ref="W7:W11"/>
  </mergeCells>
  <pageMargins left="0.70866141732283472" right="0.70866141732283472" top="0.74803149606299213" bottom="0.74803149606299213" header="0.31496062992125984" footer="0.31496062992125984"/>
  <pageSetup paperSize="9" scale="51" orientation="landscape" verticalDpi="0" r:id="rId1"/>
  <headerFooter>
    <oddHeader>&amp;A</oddHeader>
    <oddFooter>&amp;F</oddFooter>
  </headerFooter>
  <drawing r:id="rId2"/>
</worksheet>
</file>

<file path=xl/worksheets/sheet13.xml><?xml version="1.0" encoding="utf-8"?>
<worksheet xmlns="http://schemas.openxmlformats.org/spreadsheetml/2006/main" xmlns:r="http://schemas.openxmlformats.org/officeDocument/2006/relationships">
  <dimension ref="A1:T81"/>
  <sheetViews>
    <sheetView workbookViewId="0">
      <pane ySplit="2" topLeftCell="A90" activePane="bottomLeft" state="frozen"/>
      <selection pane="bottomLeft" activeCell="L54" sqref="L54"/>
    </sheetView>
  </sheetViews>
  <sheetFormatPr defaultRowHeight="15"/>
  <cols>
    <col min="9" max="9" width="11.7109375" bestFit="1" customWidth="1"/>
  </cols>
  <sheetData>
    <row r="1" spans="1:16">
      <c r="A1" s="300" t="s">
        <v>526</v>
      </c>
      <c r="B1" s="301" t="s">
        <v>527</v>
      </c>
      <c r="C1" s="301" t="s">
        <v>528</v>
      </c>
      <c r="D1" s="301" t="s">
        <v>529</v>
      </c>
      <c r="E1" s="301" t="s">
        <v>530</v>
      </c>
      <c r="F1" s="301" t="s">
        <v>531</v>
      </c>
      <c r="G1" s="301" t="s">
        <v>532</v>
      </c>
      <c r="H1" s="301" t="s">
        <v>533</v>
      </c>
      <c r="I1" s="301" t="s">
        <v>534</v>
      </c>
      <c r="J1" s="301" t="s">
        <v>535</v>
      </c>
      <c r="K1" s="301" t="s">
        <v>536</v>
      </c>
      <c r="M1" s="301" t="s">
        <v>537</v>
      </c>
      <c r="N1" s="301" t="s">
        <v>538</v>
      </c>
      <c r="O1" s="301" t="s">
        <v>539</v>
      </c>
      <c r="P1" s="301" t="s">
        <v>221</v>
      </c>
    </row>
    <row r="2" spans="1:16">
      <c r="A2" s="302"/>
      <c r="B2" s="301" t="s">
        <v>27</v>
      </c>
      <c r="C2" s="301" t="s">
        <v>27</v>
      </c>
      <c r="D2" s="301" t="s">
        <v>27</v>
      </c>
      <c r="E2" s="301" t="s">
        <v>27</v>
      </c>
      <c r="F2" s="301" t="s">
        <v>27</v>
      </c>
      <c r="G2" s="301" t="s">
        <v>540</v>
      </c>
      <c r="H2" s="301" t="s">
        <v>27</v>
      </c>
      <c r="I2" s="301" t="s">
        <v>27</v>
      </c>
      <c r="J2" s="301" t="s">
        <v>27</v>
      </c>
      <c r="K2" s="301" t="s">
        <v>27</v>
      </c>
      <c r="M2" s="301" t="s">
        <v>27</v>
      </c>
      <c r="N2" s="301" t="s">
        <v>27</v>
      </c>
      <c r="O2" s="301" t="s">
        <v>27</v>
      </c>
      <c r="P2" s="301" t="s">
        <v>27</v>
      </c>
    </row>
    <row r="3" spans="1:16">
      <c r="A3" s="302">
        <v>39234</v>
      </c>
      <c r="B3" s="303">
        <v>99067</v>
      </c>
      <c r="C3" s="303">
        <v>1297207.0831738559</v>
      </c>
      <c r="D3" s="303">
        <v>1396274.0831738559</v>
      </c>
      <c r="E3" s="303">
        <v>55466</v>
      </c>
      <c r="F3" s="303">
        <v>116462.91682614409</v>
      </c>
      <c r="G3" s="301"/>
      <c r="H3" s="303">
        <v>171928.91682614409</v>
      </c>
      <c r="I3" s="303">
        <v>1568203</v>
      </c>
      <c r="J3" s="303">
        <v>531367</v>
      </c>
      <c r="K3" s="303">
        <v>2099570</v>
      </c>
      <c r="M3" s="303">
        <v>167321</v>
      </c>
      <c r="N3" s="304">
        <v>4607.9168261440936</v>
      </c>
      <c r="O3" s="303"/>
      <c r="P3" s="303">
        <v>1568203</v>
      </c>
    </row>
    <row r="4" spans="1:16">
      <c r="A4" s="302">
        <v>39264</v>
      </c>
      <c r="B4" s="301"/>
      <c r="C4" s="301"/>
      <c r="D4" s="301"/>
      <c r="E4" s="301"/>
      <c r="F4" s="301"/>
      <c r="G4" s="301"/>
      <c r="H4" s="301"/>
      <c r="I4" s="301"/>
      <c r="J4" s="301"/>
      <c r="K4" s="301"/>
    </row>
    <row r="5" spans="1:16">
      <c r="A5" s="302">
        <v>39295</v>
      </c>
      <c r="B5" s="301"/>
      <c r="C5" s="301"/>
      <c r="D5" s="301"/>
      <c r="E5" s="301"/>
      <c r="F5" s="301"/>
      <c r="G5" s="301"/>
      <c r="H5" s="301"/>
      <c r="I5" s="301"/>
      <c r="J5" s="301"/>
      <c r="K5" s="301"/>
    </row>
    <row r="6" spans="1:16">
      <c r="A6" s="302">
        <v>39326</v>
      </c>
      <c r="B6" s="301"/>
      <c r="C6" s="301"/>
      <c r="D6" s="301"/>
      <c r="E6" s="301"/>
      <c r="F6" s="301"/>
      <c r="G6" s="301"/>
      <c r="H6" s="301"/>
      <c r="I6" s="301"/>
      <c r="J6" s="301"/>
      <c r="K6" s="301"/>
    </row>
    <row r="7" spans="1:16">
      <c r="A7" s="302">
        <v>39356</v>
      </c>
      <c r="B7" s="301"/>
      <c r="C7" s="301"/>
      <c r="D7" s="301"/>
      <c r="E7" s="301"/>
      <c r="F7" s="301"/>
      <c r="G7" s="301"/>
      <c r="H7" s="301"/>
      <c r="I7" s="301"/>
      <c r="J7" s="301"/>
      <c r="K7" s="301"/>
    </row>
    <row r="8" spans="1:16">
      <c r="A8" s="302">
        <v>39387</v>
      </c>
      <c r="B8" s="301"/>
      <c r="C8" s="301"/>
      <c r="D8" s="301"/>
      <c r="E8" s="301"/>
      <c r="F8" s="301"/>
      <c r="G8" s="301"/>
      <c r="H8" s="301"/>
      <c r="I8" s="301"/>
      <c r="J8" s="301"/>
      <c r="K8" s="301"/>
    </row>
    <row r="9" spans="1:16">
      <c r="A9" s="302">
        <v>39417</v>
      </c>
      <c r="B9" s="301"/>
      <c r="C9" s="301"/>
      <c r="D9" s="301"/>
      <c r="E9" s="301"/>
      <c r="F9" s="301"/>
      <c r="G9" s="301"/>
      <c r="H9" s="301"/>
      <c r="I9" s="301"/>
      <c r="J9" s="301"/>
      <c r="K9" s="301"/>
    </row>
    <row r="10" spans="1:16">
      <c r="A10" s="302">
        <v>39448</v>
      </c>
      <c r="B10" s="301"/>
      <c r="C10" s="301"/>
      <c r="D10" s="301"/>
      <c r="E10" s="301"/>
      <c r="F10" s="301"/>
      <c r="G10" s="301"/>
      <c r="H10" s="301"/>
      <c r="I10" s="301"/>
      <c r="J10" s="301"/>
      <c r="K10" s="301"/>
    </row>
    <row r="11" spans="1:16">
      <c r="A11" s="302">
        <v>39479</v>
      </c>
      <c r="B11" s="301"/>
      <c r="C11" s="301"/>
      <c r="D11" s="301"/>
      <c r="E11" s="301"/>
      <c r="F11" s="301"/>
      <c r="G11" s="301"/>
      <c r="H11" s="301"/>
      <c r="I11" s="301"/>
      <c r="J11" s="301"/>
      <c r="K11" s="301"/>
    </row>
    <row r="12" spans="1:16">
      <c r="A12" s="302">
        <v>39508</v>
      </c>
      <c r="B12" s="301"/>
      <c r="C12" s="301"/>
      <c r="D12" s="301"/>
      <c r="E12" s="301"/>
      <c r="F12" s="301"/>
      <c r="G12" s="301"/>
      <c r="H12" s="301"/>
      <c r="I12" s="301"/>
      <c r="J12" s="301"/>
      <c r="K12" s="301"/>
    </row>
    <row r="13" spans="1:16">
      <c r="A13" s="302">
        <v>39539</v>
      </c>
      <c r="B13" s="301"/>
      <c r="C13" s="301"/>
      <c r="D13" s="301"/>
      <c r="E13" s="301"/>
      <c r="F13" s="301"/>
      <c r="G13" s="301"/>
      <c r="H13" s="301"/>
      <c r="I13" s="301"/>
      <c r="J13" s="301"/>
      <c r="K13" s="301"/>
    </row>
    <row r="14" spans="1:16">
      <c r="A14" s="302">
        <v>39569</v>
      </c>
      <c r="B14" s="301"/>
      <c r="C14" s="301"/>
      <c r="D14" s="301"/>
      <c r="E14" s="301"/>
      <c r="F14" s="301"/>
      <c r="G14" s="301"/>
      <c r="H14" s="301"/>
      <c r="I14" s="301"/>
      <c r="J14" s="301"/>
      <c r="K14" s="301"/>
    </row>
    <row r="15" spans="1:16">
      <c r="A15" s="302">
        <v>39600</v>
      </c>
      <c r="B15" s="303">
        <v>137002</v>
      </c>
      <c r="C15" s="303">
        <v>1266594.7686365123</v>
      </c>
      <c r="D15" s="303">
        <v>1403596.7686365123</v>
      </c>
      <c r="E15" s="303">
        <v>67756</v>
      </c>
      <c r="F15" s="303">
        <v>109171.23136348769</v>
      </c>
      <c r="G15" s="301"/>
      <c r="H15" s="303">
        <v>176927.23136348769</v>
      </c>
      <c r="I15" s="303">
        <v>1580524</v>
      </c>
      <c r="J15" s="303">
        <v>528736</v>
      </c>
      <c r="K15" s="303">
        <v>2109260</v>
      </c>
      <c r="M15" s="303">
        <v>164212</v>
      </c>
      <c r="N15" s="304">
        <v>12715.231363487692</v>
      </c>
      <c r="O15" s="303"/>
      <c r="P15" s="303">
        <v>1580524</v>
      </c>
    </row>
    <row r="16" spans="1:16">
      <c r="A16" s="302">
        <v>39630</v>
      </c>
      <c r="B16" s="303"/>
      <c r="C16" s="303"/>
      <c r="D16" s="303"/>
      <c r="E16" s="303"/>
      <c r="F16" s="303"/>
      <c r="G16" s="305"/>
      <c r="H16" s="303"/>
      <c r="I16" s="303"/>
      <c r="J16" s="303"/>
      <c r="K16" s="303"/>
      <c r="M16" s="303"/>
      <c r="N16" s="303"/>
      <c r="O16" s="303"/>
      <c r="P16" s="303"/>
    </row>
    <row r="17" spans="1:16">
      <c r="A17" s="302">
        <v>39661</v>
      </c>
      <c r="B17" s="303"/>
      <c r="C17" s="303"/>
      <c r="D17" s="303"/>
      <c r="E17" s="303"/>
      <c r="F17" s="303"/>
      <c r="G17" s="305"/>
      <c r="H17" s="303"/>
      <c r="I17" s="303"/>
      <c r="J17" s="303"/>
      <c r="K17" s="303"/>
      <c r="M17" s="303"/>
      <c r="N17" s="303"/>
      <c r="O17" s="303"/>
      <c r="P17" s="303"/>
    </row>
    <row r="18" spans="1:16">
      <c r="A18" s="302">
        <v>39692</v>
      </c>
      <c r="B18" s="303"/>
      <c r="C18" s="303"/>
      <c r="D18" s="303"/>
      <c r="E18" s="303"/>
      <c r="F18" s="303"/>
      <c r="G18" s="305"/>
      <c r="H18" s="303"/>
      <c r="I18" s="303"/>
      <c r="J18" s="303"/>
      <c r="K18" s="303"/>
      <c r="M18" s="303"/>
      <c r="N18" s="303"/>
      <c r="O18" s="303"/>
      <c r="P18" s="303"/>
    </row>
    <row r="19" spans="1:16">
      <c r="A19" s="302">
        <v>39722</v>
      </c>
      <c r="B19" s="303"/>
      <c r="C19" s="303"/>
      <c r="D19" s="303"/>
      <c r="E19" s="303"/>
      <c r="F19" s="303"/>
      <c r="G19" s="305"/>
      <c r="H19" s="303"/>
      <c r="I19" s="303"/>
      <c r="J19" s="303"/>
      <c r="K19" s="303"/>
      <c r="M19" s="303"/>
      <c r="N19" s="303"/>
      <c r="O19" s="303"/>
      <c r="P19" s="303"/>
    </row>
    <row r="20" spans="1:16">
      <c r="A20" s="302">
        <v>39753</v>
      </c>
      <c r="B20" s="303"/>
      <c r="C20" s="303"/>
      <c r="D20" s="303"/>
      <c r="E20" s="303"/>
      <c r="F20" s="303"/>
      <c r="G20" s="305"/>
      <c r="H20" s="303"/>
      <c r="I20" s="303"/>
      <c r="J20" s="303"/>
      <c r="K20" s="303"/>
      <c r="M20" s="303"/>
      <c r="N20" s="303"/>
      <c r="O20" s="303"/>
      <c r="P20" s="303"/>
    </row>
    <row r="21" spans="1:16">
      <c r="A21" s="302">
        <v>39783</v>
      </c>
      <c r="B21" s="303"/>
      <c r="C21" s="303"/>
      <c r="D21" s="303"/>
      <c r="E21" s="303"/>
      <c r="F21" s="303"/>
      <c r="G21" s="305"/>
      <c r="H21" s="303"/>
      <c r="I21" s="303"/>
      <c r="J21" s="303"/>
      <c r="K21" s="303"/>
      <c r="M21" s="303"/>
      <c r="N21" s="303"/>
      <c r="O21" s="303"/>
      <c r="P21" s="303"/>
    </row>
    <row r="22" spans="1:16">
      <c r="A22" s="302">
        <v>39814</v>
      </c>
      <c r="B22" s="303"/>
      <c r="C22" s="303"/>
      <c r="D22" s="303"/>
      <c r="E22" s="303"/>
      <c r="F22" s="303"/>
      <c r="G22" s="305"/>
      <c r="H22" s="303"/>
      <c r="I22" s="303"/>
      <c r="J22" s="303"/>
      <c r="K22" s="303"/>
      <c r="M22" s="303"/>
      <c r="N22" s="303"/>
      <c r="O22" s="303"/>
      <c r="P22" s="303"/>
    </row>
    <row r="23" spans="1:16">
      <c r="A23" s="302">
        <v>39845</v>
      </c>
      <c r="B23" s="303"/>
      <c r="C23" s="303"/>
      <c r="D23" s="303"/>
      <c r="E23" s="303"/>
      <c r="F23" s="303"/>
      <c r="G23" s="305"/>
      <c r="H23" s="303"/>
      <c r="I23" s="303"/>
      <c r="J23" s="303"/>
      <c r="K23" s="303"/>
      <c r="M23" s="303"/>
      <c r="N23" s="303"/>
      <c r="O23" s="303"/>
      <c r="P23" s="303"/>
    </row>
    <row r="24" spans="1:16">
      <c r="A24" s="302">
        <v>39873</v>
      </c>
      <c r="B24" s="303"/>
      <c r="C24" s="303"/>
      <c r="D24" s="303"/>
      <c r="E24" s="303"/>
      <c r="F24" s="303"/>
      <c r="G24" s="305"/>
      <c r="H24" s="303"/>
      <c r="I24" s="303"/>
      <c r="J24" s="303"/>
      <c r="K24" s="303"/>
      <c r="M24" s="303"/>
      <c r="N24" s="303"/>
      <c r="O24" s="303"/>
      <c r="P24" s="303"/>
    </row>
    <row r="25" spans="1:16">
      <c r="A25" s="302">
        <v>39904</v>
      </c>
      <c r="B25" s="303"/>
      <c r="C25" s="303"/>
      <c r="D25" s="303"/>
      <c r="E25" s="303"/>
      <c r="F25" s="303"/>
      <c r="G25" s="305"/>
      <c r="H25" s="303"/>
      <c r="I25" s="303"/>
      <c r="J25" s="303"/>
      <c r="K25" s="303"/>
      <c r="M25" s="303"/>
      <c r="N25" s="303"/>
      <c r="O25" s="303"/>
      <c r="P25" s="303"/>
    </row>
    <row r="26" spans="1:16">
      <c r="A26" s="302">
        <v>39934</v>
      </c>
      <c r="B26" s="303"/>
      <c r="C26" s="303"/>
      <c r="D26" s="303"/>
      <c r="E26" s="303"/>
      <c r="F26" s="303"/>
      <c r="G26" s="305"/>
      <c r="H26" s="303"/>
      <c r="I26" s="303"/>
      <c r="J26" s="303"/>
      <c r="K26" s="303"/>
      <c r="M26" s="303"/>
      <c r="N26" s="303"/>
      <c r="O26" s="303"/>
      <c r="P26" s="303"/>
    </row>
    <row r="27" spans="1:16">
      <c r="A27" s="302">
        <v>39965</v>
      </c>
      <c r="B27" s="303">
        <v>180534</v>
      </c>
      <c r="C27" s="303">
        <v>1232985.0196684028</v>
      </c>
      <c r="D27" s="303">
        <v>1413519.0196684028</v>
      </c>
      <c r="E27" s="303">
        <v>76264</v>
      </c>
      <c r="F27" s="303">
        <v>102120.98033159724</v>
      </c>
      <c r="G27" s="301"/>
      <c r="H27" s="303">
        <v>178384.98033159724</v>
      </c>
      <c r="I27" s="303">
        <v>1591904</v>
      </c>
      <c r="J27" s="303">
        <v>525764</v>
      </c>
      <c r="K27" s="303">
        <v>2117668</v>
      </c>
      <c r="M27" s="303">
        <v>164865</v>
      </c>
      <c r="N27" s="304">
        <v>13519.980331597239</v>
      </c>
      <c r="O27" s="303"/>
      <c r="P27" s="303">
        <v>1591904</v>
      </c>
    </row>
    <row r="28" spans="1:16">
      <c r="A28" s="302">
        <v>39995</v>
      </c>
      <c r="B28" s="303"/>
      <c r="C28" s="303"/>
      <c r="D28" s="303"/>
      <c r="E28" s="303"/>
      <c r="F28" s="303"/>
      <c r="G28" s="305"/>
      <c r="H28" s="303"/>
      <c r="I28" s="303"/>
      <c r="J28" s="303"/>
      <c r="K28" s="303"/>
      <c r="M28" s="303"/>
      <c r="N28" s="303"/>
      <c r="O28" s="303"/>
      <c r="P28" s="303"/>
    </row>
    <row r="29" spans="1:16">
      <c r="A29" s="302">
        <v>40026</v>
      </c>
      <c r="B29" s="303"/>
      <c r="C29" s="303"/>
      <c r="D29" s="303"/>
      <c r="E29" s="303"/>
      <c r="F29" s="303"/>
      <c r="G29" s="305"/>
      <c r="H29" s="303"/>
      <c r="I29" s="303"/>
      <c r="J29" s="303"/>
      <c r="K29" s="303"/>
      <c r="M29" s="303"/>
      <c r="N29" s="303"/>
      <c r="O29" s="303"/>
      <c r="P29" s="303"/>
    </row>
    <row r="30" spans="1:16">
      <c r="A30" s="302">
        <v>40057</v>
      </c>
      <c r="B30" s="303"/>
      <c r="C30" s="303"/>
      <c r="D30" s="303"/>
      <c r="E30" s="303"/>
      <c r="F30" s="303"/>
      <c r="G30" s="305"/>
      <c r="H30" s="303"/>
      <c r="I30" s="303"/>
      <c r="J30" s="303"/>
      <c r="K30" s="303"/>
      <c r="M30" s="303"/>
      <c r="N30" s="303"/>
      <c r="O30" s="303"/>
      <c r="P30" s="303"/>
    </row>
    <row r="31" spans="1:16">
      <c r="A31" s="302">
        <v>40087</v>
      </c>
      <c r="B31" s="303"/>
      <c r="C31" s="303"/>
      <c r="D31" s="303"/>
      <c r="E31" s="303"/>
      <c r="F31" s="303"/>
      <c r="G31" s="305"/>
      <c r="H31" s="303"/>
      <c r="I31" s="303"/>
      <c r="J31" s="303"/>
      <c r="K31" s="303"/>
      <c r="M31" s="303"/>
      <c r="N31" s="303"/>
      <c r="O31" s="303"/>
      <c r="P31" s="303"/>
    </row>
    <row r="32" spans="1:16">
      <c r="A32" s="302">
        <v>40118</v>
      </c>
      <c r="B32" s="303"/>
      <c r="C32" s="303"/>
      <c r="D32" s="303"/>
      <c r="E32" s="303"/>
      <c r="F32" s="303"/>
      <c r="G32" s="305"/>
      <c r="H32" s="303"/>
      <c r="I32" s="303"/>
      <c r="J32" s="303"/>
      <c r="K32" s="303"/>
      <c r="M32" s="303"/>
      <c r="N32" s="303"/>
      <c r="O32" s="303"/>
      <c r="P32" s="303"/>
    </row>
    <row r="33" spans="1:16">
      <c r="A33" s="302">
        <v>40148</v>
      </c>
      <c r="B33" s="303"/>
      <c r="C33" s="303"/>
      <c r="D33" s="303"/>
      <c r="E33" s="303"/>
      <c r="F33" s="303"/>
      <c r="G33" s="305"/>
      <c r="H33" s="303"/>
      <c r="I33" s="303"/>
      <c r="J33" s="303"/>
      <c r="K33" s="303"/>
      <c r="M33" s="303"/>
      <c r="N33" s="303"/>
      <c r="O33" s="303"/>
      <c r="P33" s="303"/>
    </row>
    <row r="34" spans="1:16">
      <c r="A34" s="302">
        <v>40179</v>
      </c>
      <c r="B34" s="303"/>
      <c r="C34" s="303"/>
      <c r="D34" s="303"/>
      <c r="E34" s="303"/>
      <c r="F34" s="303"/>
      <c r="G34" s="305"/>
      <c r="H34" s="303"/>
      <c r="I34" s="303"/>
      <c r="J34" s="303"/>
      <c r="K34" s="303"/>
      <c r="M34" s="303"/>
      <c r="N34" s="303"/>
      <c r="O34" s="303"/>
      <c r="P34" s="303"/>
    </row>
    <row r="35" spans="1:16">
      <c r="A35" s="302">
        <v>40210</v>
      </c>
      <c r="B35" s="303"/>
      <c r="C35" s="303"/>
      <c r="D35" s="303"/>
      <c r="E35" s="303"/>
      <c r="F35" s="303"/>
      <c r="G35" s="305"/>
      <c r="H35" s="303"/>
      <c r="I35" s="303"/>
      <c r="J35" s="303"/>
      <c r="K35" s="303"/>
      <c r="M35" s="303"/>
      <c r="N35" s="303"/>
      <c r="O35" s="303"/>
      <c r="P35" s="303"/>
    </row>
    <row r="36" spans="1:16">
      <c r="A36" s="302">
        <v>40238</v>
      </c>
      <c r="B36" s="303"/>
      <c r="C36" s="303"/>
      <c r="D36" s="303"/>
      <c r="E36" s="303"/>
      <c r="F36" s="303"/>
      <c r="G36" s="305"/>
      <c r="H36" s="303"/>
      <c r="I36" s="303"/>
      <c r="J36" s="303"/>
      <c r="K36" s="303"/>
      <c r="M36" s="303"/>
      <c r="N36" s="303"/>
      <c r="O36" s="303"/>
      <c r="P36" s="303"/>
    </row>
    <row r="37" spans="1:16">
      <c r="A37" s="302">
        <v>40269</v>
      </c>
      <c r="B37" s="303"/>
      <c r="C37" s="303"/>
      <c r="D37" s="303"/>
      <c r="E37" s="303"/>
      <c r="F37" s="303"/>
      <c r="G37" s="305"/>
      <c r="H37" s="303"/>
      <c r="I37" s="303"/>
      <c r="J37" s="303"/>
      <c r="K37" s="303"/>
      <c r="M37" s="303"/>
      <c r="N37" s="303"/>
      <c r="O37" s="303"/>
      <c r="P37" s="303"/>
    </row>
    <row r="38" spans="1:16">
      <c r="A38" s="302">
        <v>40299</v>
      </c>
      <c r="B38" s="303"/>
      <c r="C38" s="303"/>
      <c r="D38" s="303"/>
      <c r="E38" s="303"/>
      <c r="F38" s="303"/>
      <c r="G38" s="305"/>
      <c r="H38" s="303"/>
      <c r="I38" s="303"/>
      <c r="J38" s="303"/>
      <c r="K38" s="303"/>
      <c r="M38" s="303"/>
      <c r="N38" s="303"/>
      <c r="O38" s="303"/>
      <c r="P38" s="303"/>
    </row>
    <row r="39" spans="1:16">
      <c r="A39" s="302">
        <v>40330</v>
      </c>
      <c r="B39" s="303">
        <v>215495</v>
      </c>
      <c r="C39" s="303">
        <v>1206097.2112903136</v>
      </c>
      <c r="D39" s="303">
        <v>1421592.2112903136</v>
      </c>
      <c r="E39" s="303">
        <v>82529</v>
      </c>
      <c r="F39" s="303">
        <v>97984.788709686487</v>
      </c>
      <c r="G39" s="301"/>
      <c r="H39" s="303">
        <v>180513.78870968649</v>
      </c>
      <c r="I39" s="303">
        <v>1602106</v>
      </c>
      <c r="J39" s="303">
        <v>522026</v>
      </c>
      <c r="K39" s="303">
        <v>2124132</v>
      </c>
      <c r="M39" s="303">
        <v>166635</v>
      </c>
      <c r="N39" s="304">
        <v>13878.788709686487</v>
      </c>
      <c r="O39" s="303"/>
      <c r="P39" s="303">
        <v>1602106</v>
      </c>
    </row>
    <row r="40" spans="1:16">
      <c r="A40" s="302">
        <v>40360</v>
      </c>
      <c r="B40" s="303"/>
      <c r="C40" s="303"/>
      <c r="D40" s="303"/>
      <c r="E40" s="303"/>
      <c r="F40" s="303"/>
      <c r="G40" s="468"/>
      <c r="H40" s="303"/>
      <c r="I40" s="303"/>
      <c r="J40" s="303"/>
      <c r="K40" s="303"/>
      <c r="M40" s="303"/>
      <c r="N40" s="303"/>
      <c r="O40" s="303"/>
      <c r="P40" s="303"/>
    </row>
    <row r="41" spans="1:16">
      <c r="A41" s="302">
        <v>40391</v>
      </c>
      <c r="B41" s="303"/>
      <c r="C41" s="303"/>
      <c r="D41" s="303"/>
      <c r="E41" s="303"/>
      <c r="F41" s="303"/>
      <c r="G41" s="468"/>
      <c r="H41" s="303"/>
      <c r="I41" s="303"/>
      <c r="J41" s="303"/>
      <c r="K41" s="303"/>
      <c r="M41" s="303"/>
      <c r="N41" s="303"/>
      <c r="O41" s="303"/>
      <c r="P41" s="303"/>
    </row>
    <row r="42" spans="1:16">
      <c r="A42" s="302">
        <v>40422</v>
      </c>
      <c r="B42" s="303"/>
      <c r="C42" s="303"/>
      <c r="D42" s="303"/>
      <c r="E42" s="303"/>
      <c r="F42" s="303"/>
      <c r="G42" s="468"/>
      <c r="H42" s="303"/>
      <c r="I42" s="303"/>
      <c r="J42" s="303"/>
      <c r="K42" s="303"/>
      <c r="M42" s="303"/>
      <c r="N42" s="303"/>
      <c r="O42" s="303"/>
      <c r="P42" s="303"/>
    </row>
    <row r="43" spans="1:16">
      <c r="A43" s="302">
        <v>40452</v>
      </c>
      <c r="B43" s="303"/>
      <c r="C43" s="303"/>
      <c r="D43" s="303"/>
      <c r="E43" s="303"/>
      <c r="F43" s="303"/>
      <c r="G43" s="468"/>
      <c r="H43" s="303"/>
      <c r="I43" s="303"/>
      <c r="J43" s="303"/>
      <c r="K43" s="303"/>
      <c r="M43" s="303"/>
      <c r="N43" s="303"/>
      <c r="O43" s="303"/>
      <c r="P43" s="303"/>
    </row>
    <row r="44" spans="1:16">
      <c r="A44" s="302">
        <v>40483</v>
      </c>
      <c r="B44" s="303"/>
      <c r="C44" s="303"/>
      <c r="D44" s="303"/>
      <c r="E44" s="303"/>
      <c r="F44" s="303"/>
      <c r="G44" s="468"/>
      <c r="H44" s="303"/>
      <c r="I44" s="303"/>
      <c r="J44" s="303"/>
      <c r="K44" s="303"/>
      <c r="M44" s="303"/>
      <c r="N44" s="303"/>
      <c r="O44" s="303"/>
      <c r="P44" s="303"/>
    </row>
    <row r="45" spans="1:16">
      <c r="A45" s="302">
        <v>40513</v>
      </c>
      <c r="B45" s="303"/>
      <c r="C45" s="303"/>
      <c r="D45" s="303"/>
      <c r="E45" s="303"/>
      <c r="F45" s="303"/>
      <c r="G45" s="468"/>
      <c r="H45" s="303"/>
      <c r="I45" s="303"/>
      <c r="J45" s="303"/>
      <c r="K45" s="303"/>
      <c r="M45" s="303"/>
      <c r="N45" s="303"/>
      <c r="O45" s="303"/>
      <c r="P45" s="303"/>
    </row>
    <row r="46" spans="1:16">
      <c r="A46" s="302">
        <v>40544</v>
      </c>
      <c r="B46" s="303"/>
      <c r="C46" s="303"/>
      <c r="D46" s="303"/>
      <c r="E46" s="303"/>
      <c r="F46" s="303"/>
      <c r="G46" s="468"/>
      <c r="H46" s="303"/>
      <c r="I46" s="303"/>
      <c r="J46" s="303"/>
      <c r="K46" s="303"/>
      <c r="M46" s="303"/>
      <c r="N46" s="303"/>
      <c r="O46" s="303"/>
      <c r="P46" s="303"/>
    </row>
    <row r="47" spans="1:16">
      <c r="A47" s="302">
        <v>40575</v>
      </c>
      <c r="B47" s="303"/>
      <c r="C47" s="303"/>
      <c r="D47" s="303"/>
      <c r="E47" s="303"/>
      <c r="F47" s="303"/>
      <c r="G47" s="468"/>
      <c r="H47" s="303"/>
      <c r="I47" s="303"/>
      <c r="J47" s="303"/>
      <c r="K47" s="303"/>
      <c r="M47" s="303"/>
      <c r="N47" s="303"/>
      <c r="O47" s="303"/>
      <c r="P47" s="303"/>
    </row>
    <row r="48" spans="1:16">
      <c r="A48" s="302">
        <v>40603</v>
      </c>
      <c r="B48" s="303"/>
      <c r="C48" s="303"/>
      <c r="D48" s="303"/>
      <c r="E48" s="303"/>
      <c r="F48" s="303"/>
      <c r="G48" s="468"/>
      <c r="H48" s="303"/>
      <c r="I48" s="303"/>
      <c r="J48" s="303"/>
      <c r="K48" s="303"/>
      <c r="M48" s="303"/>
      <c r="N48" s="303"/>
      <c r="O48" s="303"/>
      <c r="P48" s="303"/>
    </row>
    <row r="49" spans="1:20">
      <c r="A49" s="302">
        <v>40634</v>
      </c>
      <c r="B49" s="303"/>
      <c r="C49" s="303"/>
      <c r="D49" s="303"/>
      <c r="E49" s="303"/>
      <c r="F49" s="303"/>
      <c r="G49" s="468"/>
      <c r="H49" s="303"/>
      <c r="I49" s="303"/>
      <c r="J49" s="303"/>
      <c r="K49" s="303"/>
      <c r="M49" s="303"/>
      <c r="N49" s="303"/>
      <c r="O49" s="303"/>
      <c r="P49" s="303"/>
    </row>
    <row r="50" spans="1:20">
      <c r="A50" s="302">
        <v>40664</v>
      </c>
      <c r="B50" s="303"/>
      <c r="C50" s="303"/>
      <c r="D50" s="303"/>
      <c r="E50" s="303"/>
      <c r="F50" s="303"/>
      <c r="G50" s="468"/>
      <c r="H50" s="303"/>
      <c r="I50" s="303"/>
      <c r="J50" s="303"/>
      <c r="K50" s="303"/>
      <c r="M50" s="303"/>
      <c r="N50" s="303"/>
      <c r="O50" s="303"/>
      <c r="P50" s="303"/>
    </row>
    <row r="51" spans="1:20">
      <c r="A51" s="302">
        <v>40695</v>
      </c>
      <c r="B51" s="303">
        <v>265848</v>
      </c>
      <c r="C51" s="303">
        <v>1166111.6361477254</v>
      </c>
      <c r="D51" s="303">
        <v>1431959.6361477254</v>
      </c>
      <c r="E51" s="303">
        <v>87077</v>
      </c>
      <c r="F51" s="303">
        <v>96540.363852274604</v>
      </c>
      <c r="G51" s="301"/>
      <c r="H51" s="303">
        <v>183617.3638522746</v>
      </c>
      <c r="I51" s="303">
        <v>1615577</v>
      </c>
      <c r="J51" s="303">
        <v>517010</v>
      </c>
      <c r="K51" s="303">
        <v>2132587</v>
      </c>
      <c r="M51" s="303">
        <v>168870</v>
      </c>
      <c r="N51" s="304">
        <v>14747.363852274604</v>
      </c>
      <c r="O51" s="303"/>
      <c r="P51" s="303">
        <v>1615577</v>
      </c>
    </row>
    <row r="52" spans="1:20">
      <c r="A52" s="302">
        <v>40725</v>
      </c>
      <c r="B52" s="303"/>
      <c r="C52" s="303"/>
      <c r="D52" s="303"/>
      <c r="E52" s="303"/>
      <c r="F52" s="303"/>
      <c r="G52" s="468"/>
      <c r="H52" s="303"/>
      <c r="I52" s="303"/>
      <c r="J52" s="303"/>
      <c r="K52" s="303"/>
      <c r="M52" s="303"/>
      <c r="N52" s="303"/>
      <c r="O52" s="303"/>
      <c r="P52" s="303"/>
    </row>
    <row r="53" spans="1:20">
      <c r="A53" s="302">
        <v>40756</v>
      </c>
      <c r="B53" s="303"/>
      <c r="C53" s="303"/>
      <c r="D53" s="303"/>
      <c r="E53" s="303"/>
      <c r="F53" s="303"/>
      <c r="G53" s="468"/>
      <c r="H53" s="303"/>
      <c r="I53" s="303"/>
      <c r="J53" s="303"/>
      <c r="K53" s="303"/>
      <c r="M53" s="303"/>
      <c r="N53" s="303"/>
      <c r="O53" s="303"/>
      <c r="P53" s="303"/>
    </row>
    <row r="54" spans="1:20">
      <c r="A54" s="302">
        <v>40787</v>
      </c>
      <c r="B54" s="303"/>
      <c r="C54" s="303"/>
      <c r="D54" s="303"/>
      <c r="E54" s="303"/>
      <c r="F54" s="303"/>
      <c r="G54" s="468"/>
      <c r="H54" s="303"/>
      <c r="I54" s="303"/>
      <c r="J54" s="303"/>
      <c r="K54" s="303"/>
      <c r="M54" s="303"/>
      <c r="N54" s="303"/>
      <c r="O54" s="303"/>
      <c r="P54" s="303"/>
    </row>
    <row r="55" spans="1:20">
      <c r="A55" s="302">
        <v>40817</v>
      </c>
      <c r="B55" s="303"/>
      <c r="C55" s="303"/>
      <c r="D55" s="303"/>
      <c r="E55" s="303"/>
      <c r="F55" s="303"/>
      <c r="G55" s="468"/>
      <c r="H55" s="303"/>
      <c r="I55" s="303"/>
      <c r="J55" s="303"/>
      <c r="K55" s="303"/>
      <c r="M55" s="303"/>
      <c r="N55" s="303"/>
      <c r="O55" s="303"/>
      <c r="P55" s="303"/>
    </row>
    <row r="56" spans="1:20">
      <c r="A56" s="302">
        <v>40848</v>
      </c>
      <c r="B56" s="303"/>
      <c r="C56" s="303"/>
      <c r="D56" s="303"/>
      <c r="E56" s="303"/>
      <c r="F56" s="303"/>
      <c r="G56" s="468"/>
      <c r="H56" s="303"/>
      <c r="I56" s="303"/>
      <c r="J56" s="303"/>
      <c r="K56" s="303"/>
      <c r="M56" s="303"/>
      <c r="N56" s="303"/>
      <c r="O56" s="303"/>
      <c r="P56" s="303"/>
    </row>
    <row r="57" spans="1:20">
      <c r="A57" s="302">
        <v>40878</v>
      </c>
      <c r="B57" s="303"/>
      <c r="C57" s="303"/>
      <c r="D57" s="303"/>
      <c r="E57" s="303"/>
      <c r="F57" s="303"/>
      <c r="G57" s="468"/>
      <c r="H57" s="303"/>
      <c r="I57" s="303"/>
      <c r="J57" s="303"/>
      <c r="K57" s="303"/>
      <c r="M57" s="303"/>
      <c r="N57" s="303"/>
      <c r="O57" s="303"/>
      <c r="P57" s="303"/>
    </row>
    <row r="58" spans="1:20">
      <c r="A58" s="302">
        <v>40909</v>
      </c>
      <c r="B58" s="303"/>
      <c r="C58" s="303"/>
      <c r="D58" s="303"/>
      <c r="E58" s="303"/>
      <c r="F58" s="303"/>
      <c r="G58" s="468"/>
      <c r="H58" s="303"/>
      <c r="I58" s="303"/>
      <c r="J58" s="303"/>
      <c r="K58" s="303"/>
      <c r="M58" s="303"/>
      <c r="N58" s="303"/>
      <c r="O58" s="303"/>
      <c r="P58" s="303"/>
    </row>
    <row r="59" spans="1:20">
      <c r="A59" s="302">
        <v>40940</v>
      </c>
      <c r="B59" s="303"/>
      <c r="C59" s="303"/>
      <c r="D59" s="303"/>
      <c r="E59" s="303"/>
      <c r="F59" s="303"/>
      <c r="G59" s="468"/>
      <c r="H59" s="303"/>
      <c r="I59" s="303"/>
      <c r="J59" s="303"/>
      <c r="K59" s="303"/>
      <c r="M59" s="303"/>
      <c r="N59" s="303"/>
      <c r="O59" s="303"/>
      <c r="P59" s="303"/>
    </row>
    <row r="60" spans="1:20">
      <c r="A60" s="302">
        <v>40969</v>
      </c>
      <c r="B60" s="303"/>
      <c r="C60" s="303"/>
      <c r="D60" s="303"/>
      <c r="E60" s="303"/>
      <c r="F60" s="303"/>
      <c r="G60" s="468"/>
      <c r="H60" s="303"/>
      <c r="I60" s="303"/>
      <c r="J60" s="303"/>
      <c r="K60" s="303"/>
      <c r="M60" s="303"/>
      <c r="N60" s="303"/>
      <c r="O60" s="303"/>
      <c r="P60" s="303"/>
    </row>
    <row r="61" spans="1:20">
      <c r="A61" s="302">
        <v>41000</v>
      </c>
      <c r="B61" s="303"/>
      <c r="C61" s="303"/>
      <c r="D61" s="303"/>
      <c r="E61" s="303"/>
      <c r="F61" s="303"/>
      <c r="G61" s="468"/>
      <c r="H61" s="303"/>
      <c r="I61" s="303"/>
      <c r="J61" s="303"/>
      <c r="K61" s="303"/>
      <c r="M61" s="303"/>
      <c r="N61" s="304"/>
      <c r="O61" s="303"/>
      <c r="P61" s="303"/>
    </row>
    <row r="62" spans="1:20">
      <c r="A62" s="302">
        <v>41030</v>
      </c>
      <c r="B62" s="303"/>
      <c r="C62" s="303"/>
      <c r="D62" s="303"/>
      <c r="E62" s="303"/>
      <c r="F62" s="303"/>
      <c r="G62" s="468"/>
      <c r="H62" s="303"/>
      <c r="I62" s="303"/>
      <c r="J62" s="303"/>
      <c r="K62" s="303"/>
      <c r="M62" s="303"/>
      <c r="N62" s="304"/>
      <c r="O62" s="303"/>
      <c r="P62" s="303"/>
    </row>
    <row r="63" spans="1:20">
      <c r="A63" s="302">
        <v>41061</v>
      </c>
      <c r="B63" s="303">
        <v>325497</v>
      </c>
      <c r="C63" s="303">
        <v>1116657.5434904394</v>
      </c>
      <c r="D63" s="303">
        <v>1442154.5434904394</v>
      </c>
      <c r="E63" s="303">
        <v>103929</v>
      </c>
      <c r="F63" s="303">
        <v>81864.456509560521</v>
      </c>
      <c r="G63" s="301"/>
      <c r="H63" s="303">
        <v>185793.45650956052</v>
      </c>
      <c r="I63" s="303">
        <v>1627948</v>
      </c>
      <c r="J63" s="303">
        <v>514165</v>
      </c>
      <c r="K63" s="303">
        <v>2142113</v>
      </c>
      <c r="M63" s="303">
        <v>172055</v>
      </c>
      <c r="N63" s="304">
        <v>13738.456509560521</v>
      </c>
      <c r="O63" s="303"/>
      <c r="P63" s="303">
        <v>1627948</v>
      </c>
      <c r="R63" s="315"/>
    </row>
    <row r="64" spans="1:20">
      <c r="A64" s="302">
        <v>41091</v>
      </c>
      <c r="B64" s="303">
        <v>328317</v>
      </c>
      <c r="C64" s="303">
        <v>1114784.6573798768</v>
      </c>
      <c r="D64" s="303">
        <v>1443101.6573798768</v>
      </c>
      <c r="E64" s="303">
        <v>104125</v>
      </c>
      <c r="F64" s="303">
        <v>81936.342620123265</v>
      </c>
      <c r="G64" s="301"/>
      <c r="H64" s="303">
        <v>186061.34262012327</v>
      </c>
      <c r="I64" s="303">
        <v>1629163</v>
      </c>
      <c r="J64" s="303">
        <v>513847</v>
      </c>
      <c r="K64" s="303">
        <v>2143010</v>
      </c>
      <c r="M64" s="303">
        <v>172255</v>
      </c>
      <c r="N64" s="304">
        <v>13806.342620123265</v>
      </c>
      <c r="O64" s="303"/>
      <c r="P64" s="303">
        <v>1629163</v>
      </c>
      <c r="R64" s="315">
        <f t="shared" ref="R64:R81" si="0">I64-I63</f>
        <v>1215</v>
      </c>
      <c r="S64" s="447">
        <f>SUM(R64:R69)</f>
        <v>8539</v>
      </c>
      <c r="T64" s="449">
        <f>S64/(S64+S70)</f>
        <v>0.5927802846233946</v>
      </c>
    </row>
    <row r="65" spans="1:20">
      <c r="A65" s="302">
        <v>41122</v>
      </c>
      <c r="B65" s="303">
        <v>331436</v>
      </c>
      <c r="C65" s="303">
        <v>1112701.2405924492</v>
      </c>
      <c r="D65" s="303">
        <v>1444137.2405924492</v>
      </c>
      <c r="E65" s="303">
        <v>104784</v>
      </c>
      <c r="F65" s="303">
        <v>81700.759407550824</v>
      </c>
      <c r="G65" s="301"/>
      <c r="H65" s="303">
        <v>186484.75940755082</v>
      </c>
      <c r="I65" s="303">
        <v>1630622</v>
      </c>
      <c r="J65" s="303">
        <v>513213</v>
      </c>
      <c r="K65" s="303">
        <v>2143835</v>
      </c>
      <c r="M65" s="303">
        <v>172664</v>
      </c>
      <c r="N65" s="304">
        <v>13820.759407550824</v>
      </c>
      <c r="O65" s="303"/>
      <c r="P65" s="303">
        <v>1630622</v>
      </c>
      <c r="R65" s="315">
        <f t="shared" si="0"/>
        <v>1459</v>
      </c>
      <c r="S65" s="448"/>
      <c r="T65" s="449"/>
    </row>
    <row r="66" spans="1:20">
      <c r="A66" s="302">
        <v>41153</v>
      </c>
      <c r="B66" s="303">
        <v>332505</v>
      </c>
      <c r="C66" s="303">
        <v>1112561.8528909713</v>
      </c>
      <c r="D66" s="303">
        <v>1445066.8528909713</v>
      </c>
      <c r="E66" s="303">
        <v>105045</v>
      </c>
      <c r="F66" s="303">
        <v>81513.147109028563</v>
      </c>
      <c r="G66" s="301"/>
      <c r="H66" s="303">
        <v>186558.14710902856</v>
      </c>
      <c r="I66" s="303">
        <v>1631625</v>
      </c>
      <c r="J66" s="303">
        <v>513267</v>
      </c>
      <c r="K66" s="303">
        <v>2144892</v>
      </c>
      <c r="M66" s="303">
        <v>172911</v>
      </c>
      <c r="N66" s="304">
        <v>13647.147109028563</v>
      </c>
      <c r="O66" s="303"/>
      <c r="P66" s="303">
        <v>1631625</v>
      </c>
      <c r="R66" s="315">
        <f t="shared" si="0"/>
        <v>1003</v>
      </c>
      <c r="S66" s="448"/>
      <c r="T66" s="449"/>
    </row>
    <row r="67" spans="1:20">
      <c r="A67" s="302">
        <v>41183</v>
      </c>
      <c r="B67" s="303">
        <v>332527</v>
      </c>
      <c r="C67" s="303">
        <v>1113331.7412230414</v>
      </c>
      <c r="D67" s="303">
        <v>1445858.7412230414</v>
      </c>
      <c r="E67" s="303">
        <v>105239</v>
      </c>
      <c r="F67" s="303">
        <v>81597.258776958683</v>
      </c>
      <c r="G67" s="301"/>
      <c r="H67" s="303">
        <v>186836.25877695868</v>
      </c>
      <c r="I67" s="303">
        <v>1632695</v>
      </c>
      <c r="J67" s="303">
        <v>513031</v>
      </c>
      <c r="K67" s="303">
        <v>2145726</v>
      </c>
      <c r="M67" s="303">
        <v>173133</v>
      </c>
      <c r="N67" s="304">
        <v>13703.258776958683</v>
      </c>
      <c r="O67" s="303"/>
      <c r="P67" s="303">
        <v>1632695</v>
      </c>
      <c r="R67" s="315">
        <f t="shared" si="0"/>
        <v>1070</v>
      </c>
      <c r="S67" s="448"/>
      <c r="T67" s="449"/>
    </row>
    <row r="68" spans="1:20">
      <c r="A68" s="302">
        <v>41214</v>
      </c>
      <c r="B68" s="303">
        <v>332235</v>
      </c>
      <c r="C68" s="303">
        <v>1114114.5296256316</v>
      </c>
      <c r="D68" s="303">
        <v>1446349.5296256316</v>
      </c>
      <c r="E68" s="303">
        <v>105416</v>
      </c>
      <c r="F68" s="303">
        <v>81539.470374368364</v>
      </c>
      <c r="G68" s="301"/>
      <c r="H68" s="303">
        <v>186955.47037436836</v>
      </c>
      <c r="I68" s="303">
        <v>1633305</v>
      </c>
      <c r="J68" s="303">
        <v>512628</v>
      </c>
      <c r="K68" s="303">
        <v>2145933</v>
      </c>
      <c r="M68" s="303">
        <v>173291</v>
      </c>
      <c r="N68" s="304">
        <v>13664.470374368364</v>
      </c>
      <c r="O68" s="303"/>
      <c r="P68" s="303">
        <v>1633305</v>
      </c>
      <c r="R68" s="315">
        <f t="shared" si="0"/>
        <v>610</v>
      </c>
      <c r="S68" s="448"/>
      <c r="T68" s="449"/>
    </row>
    <row r="69" spans="1:20">
      <c r="A69" s="302">
        <v>41244</v>
      </c>
      <c r="B69" s="303">
        <v>332319</v>
      </c>
      <c r="C69" s="303">
        <v>1116192.4323283709</v>
      </c>
      <c r="D69" s="303">
        <v>1448511.4323283709</v>
      </c>
      <c r="E69" s="303">
        <v>105703</v>
      </c>
      <c r="F69" s="303">
        <v>82272.567671629047</v>
      </c>
      <c r="G69" s="301"/>
      <c r="H69" s="303">
        <v>187975.56767162905</v>
      </c>
      <c r="I69" s="303">
        <v>1636487</v>
      </c>
      <c r="J69" s="303">
        <v>512571</v>
      </c>
      <c r="K69" s="303">
        <v>2149058</v>
      </c>
      <c r="M69" s="303">
        <v>173639</v>
      </c>
      <c r="N69" s="304">
        <v>14336.567671629047</v>
      </c>
      <c r="O69" s="303"/>
      <c r="P69" s="303">
        <v>1636487</v>
      </c>
      <c r="R69" s="315">
        <f t="shared" si="0"/>
        <v>3182</v>
      </c>
      <c r="S69" s="448"/>
      <c r="T69" s="449"/>
    </row>
    <row r="70" spans="1:20">
      <c r="A70" s="302">
        <v>41275</v>
      </c>
      <c r="B70" s="303">
        <v>332281</v>
      </c>
      <c r="C70" s="303">
        <v>1116935.3969493301</v>
      </c>
      <c r="D70" s="303">
        <v>1449216.3969493301</v>
      </c>
      <c r="E70" s="303">
        <v>105860</v>
      </c>
      <c r="F70" s="303">
        <v>82324.603050669772</v>
      </c>
      <c r="G70" s="301"/>
      <c r="H70" s="303">
        <v>188184.60305066977</v>
      </c>
      <c r="I70" s="303">
        <v>1637401</v>
      </c>
      <c r="J70" s="303">
        <v>512201</v>
      </c>
      <c r="K70" s="303">
        <v>2149602</v>
      </c>
      <c r="M70" s="303">
        <v>173796</v>
      </c>
      <c r="N70" s="304">
        <v>14388.603050669772</v>
      </c>
      <c r="O70" s="303"/>
      <c r="P70" s="303">
        <v>1637401</v>
      </c>
      <c r="R70" s="315">
        <f t="shared" si="0"/>
        <v>914</v>
      </c>
      <c r="S70" s="447">
        <f>SUM(R70:R75)</f>
        <v>5866</v>
      </c>
      <c r="T70" s="449">
        <f>S70/(S70+S64)</f>
        <v>0.40721971537660534</v>
      </c>
    </row>
    <row r="71" spans="1:20">
      <c r="A71" s="302">
        <v>41306</v>
      </c>
      <c r="B71" s="303">
        <v>332935</v>
      </c>
      <c r="C71" s="303">
        <v>1117064.9462798247</v>
      </c>
      <c r="D71" s="303">
        <v>1449999.9462798247</v>
      </c>
      <c r="E71" s="303">
        <v>106110</v>
      </c>
      <c r="F71" s="303">
        <v>83484.053720175201</v>
      </c>
      <c r="G71" s="301"/>
      <c r="H71" s="303">
        <v>189594.0537201752</v>
      </c>
      <c r="I71" s="303">
        <v>1639594</v>
      </c>
      <c r="J71" s="303">
        <v>512134</v>
      </c>
      <c r="K71" s="303">
        <v>2151728</v>
      </c>
      <c r="M71" s="303">
        <v>173877</v>
      </c>
      <c r="N71" s="304">
        <v>15717.053720175201</v>
      </c>
      <c r="O71" s="303"/>
      <c r="P71" s="303">
        <v>1639594</v>
      </c>
      <c r="R71" s="315">
        <f t="shared" si="0"/>
        <v>2193</v>
      </c>
      <c r="S71" s="448"/>
      <c r="T71" s="449"/>
    </row>
    <row r="72" spans="1:20">
      <c r="A72" s="302">
        <v>41334</v>
      </c>
      <c r="B72" s="303">
        <v>333178</v>
      </c>
      <c r="C72" s="303">
        <v>1118088.768282536</v>
      </c>
      <c r="D72" s="303">
        <v>1451266.768282536</v>
      </c>
      <c r="E72" s="303">
        <v>106171</v>
      </c>
      <c r="F72" s="303">
        <v>83157.231717463932</v>
      </c>
      <c r="G72" s="301"/>
      <c r="H72" s="303">
        <v>189328.23171746393</v>
      </c>
      <c r="I72" s="303">
        <v>1640595</v>
      </c>
      <c r="J72" s="303">
        <v>511788</v>
      </c>
      <c r="K72" s="303">
        <v>2152383</v>
      </c>
      <c r="M72" s="303">
        <v>174072</v>
      </c>
      <c r="N72" s="304">
        <v>15256.231717463932</v>
      </c>
      <c r="O72" s="303"/>
      <c r="P72" s="303">
        <v>1640595</v>
      </c>
      <c r="R72" s="315">
        <f t="shared" si="0"/>
        <v>1001</v>
      </c>
      <c r="S72" s="448"/>
      <c r="T72" s="449"/>
    </row>
    <row r="73" spans="1:20">
      <c r="A73" s="302">
        <v>41365</v>
      </c>
      <c r="B73" s="303">
        <v>333385</v>
      </c>
      <c r="C73" s="303">
        <v>1118919.369844147</v>
      </c>
      <c r="D73" s="303">
        <v>1452304.369844147</v>
      </c>
      <c r="E73" s="303">
        <v>106701</v>
      </c>
      <c r="F73" s="303">
        <v>83415.630155852996</v>
      </c>
      <c r="G73" s="301"/>
      <c r="H73" s="303">
        <v>190116.630155853</v>
      </c>
      <c r="I73" s="303">
        <v>1642421</v>
      </c>
      <c r="J73" s="303">
        <v>511443</v>
      </c>
      <c r="K73" s="303">
        <v>2153864</v>
      </c>
      <c r="M73" s="303">
        <v>174303</v>
      </c>
      <c r="N73" s="304">
        <v>15813.630155852996</v>
      </c>
      <c r="O73" s="303"/>
      <c r="P73" s="303">
        <v>1642421</v>
      </c>
      <c r="R73" s="315">
        <f t="shared" si="0"/>
        <v>1826</v>
      </c>
      <c r="S73" s="448"/>
      <c r="T73" s="449"/>
    </row>
    <row r="74" spans="1:20">
      <c r="A74" s="302">
        <v>41395</v>
      </c>
      <c r="B74" s="303">
        <v>333711</v>
      </c>
      <c r="C74" s="303">
        <v>1119734.4658727136</v>
      </c>
      <c r="D74" s="303">
        <v>1453445.4658727136</v>
      </c>
      <c r="E74" s="303">
        <v>106922</v>
      </c>
      <c r="F74" s="303">
        <v>81264.534127286286</v>
      </c>
      <c r="G74" s="301"/>
      <c r="H74" s="303">
        <v>188186.53412728629</v>
      </c>
      <c r="I74" s="303">
        <v>1641632</v>
      </c>
      <c r="J74" s="303">
        <v>511138</v>
      </c>
      <c r="K74" s="303">
        <v>2152770</v>
      </c>
      <c r="M74" s="303">
        <v>174430</v>
      </c>
      <c r="N74" s="304">
        <v>13756.534127286286</v>
      </c>
      <c r="O74" s="303"/>
      <c r="P74" s="303">
        <v>1641632</v>
      </c>
      <c r="R74" s="315">
        <f t="shared" si="0"/>
        <v>-789</v>
      </c>
      <c r="S74" s="448"/>
      <c r="T74" s="449"/>
    </row>
    <row r="75" spans="1:20">
      <c r="A75" s="302">
        <v>41426</v>
      </c>
      <c r="B75" s="303">
        <v>334009</v>
      </c>
      <c r="C75" s="303">
        <v>1120320.8646963581</v>
      </c>
      <c r="D75" s="303">
        <v>1454329.8646963581</v>
      </c>
      <c r="E75" s="303">
        <v>106899</v>
      </c>
      <c r="F75" s="303">
        <v>81124.135303641902</v>
      </c>
      <c r="G75" s="301"/>
      <c r="H75" s="303">
        <v>188023.1353036419</v>
      </c>
      <c r="I75" s="303">
        <v>1642353</v>
      </c>
      <c r="J75" s="303">
        <v>510847</v>
      </c>
      <c r="K75" s="303">
        <v>2153200</v>
      </c>
      <c r="M75" s="303">
        <v>174522</v>
      </c>
      <c r="N75" s="304">
        <v>13501.135303641902</v>
      </c>
      <c r="O75" s="303"/>
      <c r="P75" s="303">
        <v>1642353</v>
      </c>
      <c r="R75" s="315">
        <f t="shared" si="0"/>
        <v>721</v>
      </c>
      <c r="S75" s="448"/>
      <c r="T75" s="449"/>
    </row>
    <row r="76" spans="1:20">
      <c r="A76" s="302">
        <v>41456</v>
      </c>
      <c r="B76" s="303">
        <v>334159</v>
      </c>
      <c r="C76" s="303">
        <v>1121244.9411011944</v>
      </c>
      <c r="D76" s="303">
        <v>1455403.9411011944</v>
      </c>
      <c r="E76" s="303">
        <v>106940</v>
      </c>
      <c r="F76" s="303">
        <v>81035.058898805553</v>
      </c>
      <c r="G76" s="301"/>
      <c r="H76" s="303">
        <v>187975.05889880555</v>
      </c>
      <c r="I76" s="303">
        <v>1643379</v>
      </c>
      <c r="J76" s="303">
        <v>510638</v>
      </c>
      <c r="K76" s="303">
        <v>2154017</v>
      </c>
      <c r="M76" s="303">
        <v>174492</v>
      </c>
      <c r="N76" s="304">
        <v>13483.058898805553</v>
      </c>
      <c r="O76" s="303"/>
      <c r="P76" s="303">
        <v>1643379</v>
      </c>
      <c r="R76" s="315">
        <f t="shared" si="0"/>
        <v>1026</v>
      </c>
    </row>
    <row r="77" spans="1:20">
      <c r="A77" s="302">
        <v>41487</v>
      </c>
      <c r="B77" s="303">
        <v>334198</v>
      </c>
      <c r="C77" s="303">
        <v>1122791.5426874228</v>
      </c>
      <c r="D77" s="303">
        <v>1456989.5426874228</v>
      </c>
      <c r="E77" s="303">
        <v>107083</v>
      </c>
      <c r="F77" s="303">
        <v>80994.457312577084</v>
      </c>
      <c r="G77" s="301"/>
      <c r="H77" s="303">
        <v>188077.45731257708</v>
      </c>
      <c r="I77" s="303">
        <v>1645067</v>
      </c>
      <c r="J77" s="303">
        <v>510312</v>
      </c>
      <c r="K77" s="303">
        <v>2155379</v>
      </c>
      <c r="M77" s="303">
        <v>174603</v>
      </c>
      <c r="N77" s="304">
        <v>13474.457312577084</v>
      </c>
      <c r="O77" s="303"/>
      <c r="P77" s="303">
        <v>1645067</v>
      </c>
      <c r="R77" s="315">
        <f t="shared" si="0"/>
        <v>1688</v>
      </c>
    </row>
    <row r="78" spans="1:20">
      <c r="A78" s="302">
        <v>41518</v>
      </c>
      <c r="B78" s="303">
        <v>334219</v>
      </c>
      <c r="C78" s="303">
        <v>1124280.5431519928</v>
      </c>
      <c r="D78" s="303">
        <v>1458499.5431519928</v>
      </c>
      <c r="E78" s="303">
        <v>106952</v>
      </c>
      <c r="F78" s="303">
        <v>81104.456848007219</v>
      </c>
      <c r="G78" s="301"/>
      <c r="H78" s="303">
        <v>188056.45684800722</v>
      </c>
      <c r="I78" s="303">
        <v>1646556</v>
      </c>
      <c r="J78" s="303">
        <v>510143</v>
      </c>
      <c r="K78" s="303">
        <v>2156699</v>
      </c>
      <c r="M78" s="303">
        <v>174560</v>
      </c>
      <c r="N78" s="304">
        <v>13496.456848007219</v>
      </c>
      <c r="O78" s="303"/>
      <c r="P78" s="303">
        <v>1646556</v>
      </c>
      <c r="R78" s="315">
        <f t="shared" si="0"/>
        <v>1489</v>
      </c>
    </row>
    <row r="79" spans="1:20">
      <c r="A79" s="302">
        <v>41548</v>
      </c>
      <c r="B79" s="303">
        <v>334302</v>
      </c>
      <c r="C79" s="303">
        <v>1125732.428990484</v>
      </c>
      <c r="D79" s="303">
        <v>1460034.428990484</v>
      </c>
      <c r="E79" s="303">
        <v>107134</v>
      </c>
      <c r="F79" s="303">
        <v>81101.571009516076</v>
      </c>
      <c r="G79" s="301"/>
      <c r="H79" s="303">
        <v>188235.57100951608</v>
      </c>
      <c r="I79" s="303">
        <v>1648270</v>
      </c>
      <c r="J79" s="303">
        <v>509981</v>
      </c>
      <c r="K79" s="303">
        <v>2158251</v>
      </c>
      <c r="M79" s="303">
        <v>174702</v>
      </c>
      <c r="N79" s="304">
        <v>13533.571009516076</v>
      </c>
      <c r="O79" s="303"/>
      <c r="P79" s="303">
        <v>1648270</v>
      </c>
      <c r="R79" s="315">
        <f t="shared" si="0"/>
        <v>1714</v>
      </c>
    </row>
    <row r="80" spans="1:20">
      <c r="A80" s="302">
        <v>41579</v>
      </c>
      <c r="B80" s="303">
        <v>334426</v>
      </c>
      <c r="C80" s="303">
        <v>1126929.4293591429</v>
      </c>
      <c r="D80" s="303">
        <v>1461355.4293591429</v>
      </c>
      <c r="E80" s="303">
        <v>107323</v>
      </c>
      <c r="F80" s="303">
        <v>80945.57064085707</v>
      </c>
      <c r="G80" s="301"/>
      <c r="H80" s="303">
        <v>188268.57064085707</v>
      </c>
      <c r="I80" s="303">
        <v>1649624</v>
      </c>
      <c r="J80" s="303">
        <v>509591</v>
      </c>
      <c r="K80" s="303">
        <v>2159215</v>
      </c>
      <c r="M80" s="303">
        <v>174694</v>
      </c>
      <c r="N80" s="304">
        <v>13574.57064085707</v>
      </c>
      <c r="O80" s="303"/>
      <c r="P80" s="303">
        <v>1649624</v>
      </c>
      <c r="R80" s="315">
        <f t="shared" si="0"/>
        <v>1354</v>
      </c>
    </row>
    <row r="81" spans="1:18">
      <c r="A81" s="302">
        <v>41609</v>
      </c>
      <c r="B81" s="303">
        <v>334544</v>
      </c>
      <c r="C81" s="303">
        <v>1128413.2009080357</v>
      </c>
      <c r="D81" s="303">
        <v>1462957.2009080357</v>
      </c>
      <c r="E81" s="303">
        <v>107547</v>
      </c>
      <c r="F81" s="303">
        <v>80979.799091964349</v>
      </c>
      <c r="G81" s="301"/>
      <c r="H81" s="303">
        <v>188526.79909196435</v>
      </c>
      <c r="I81" s="303">
        <v>1651484</v>
      </c>
      <c r="J81" s="303">
        <v>509319</v>
      </c>
      <c r="K81" s="303">
        <v>2160803</v>
      </c>
      <c r="M81" s="303">
        <v>174924</v>
      </c>
      <c r="N81" s="304">
        <v>13602.799091964349</v>
      </c>
      <c r="O81" s="303"/>
      <c r="P81" s="303">
        <v>1651484</v>
      </c>
      <c r="R81" s="315">
        <f t="shared" si="0"/>
        <v>1860</v>
      </c>
    </row>
  </sheetData>
  <mergeCells count="4">
    <mergeCell ref="S64:S69"/>
    <mergeCell ref="S70:S75"/>
    <mergeCell ref="T64:T69"/>
    <mergeCell ref="T70:T7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pageSetUpPr fitToPage="1"/>
  </sheetPr>
  <dimension ref="B1:BW38"/>
  <sheetViews>
    <sheetView showGridLines="0" zoomScale="85" zoomScaleNormal="85" workbookViewId="0">
      <selection activeCell="M10" sqref="M10"/>
    </sheetView>
  </sheetViews>
  <sheetFormatPr defaultRowHeight="15"/>
  <cols>
    <col min="1" max="1" width="1.42578125" customWidth="1"/>
    <col min="2" max="2" width="56.42578125" customWidth="1"/>
    <col min="3" max="3" width="10.140625" hidden="1" customWidth="1"/>
    <col min="4" max="4" width="1.42578125" customWidth="1"/>
    <col min="5" max="5" width="9" bestFit="1" customWidth="1"/>
    <col min="6" max="6" width="8.42578125" bestFit="1" customWidth="1"/>
    <col min="7" max="8" width="14.42578125" bestFit="1" customWidth="1"/>
    <col min="9" max="9" width="13.28515625" bestFit="1" customWidth="1"/>
    <col min="10" max="10" width="17.85546875" bestFit="1" customWidth="1"/>
    <col min="11" max="11" width="12.5703125" bestFit="1" customWidth="1"/>
    <col min="12" max="12" width="14.7109375" bestFit="1" customWidth="1"/>
    <col min="13" max="13" width="13.7109375" bestFit="1" customWidth="1"/>
    <col min="14" max="14" width="11.5703125" bestFit="1" customWidth="1"/>
    <col min="15" max="15" width="9.85546875" customWidth="1"/>
    <col min="16" max="16" width="11.5703125" style="163" bestFit="1" customWidth="1"/>
    <col min="17" max="17" width="9" customWidth="1"/>
    <col min="18" max="18" width="8.42578125" bestFit="1" customWidth="1"/>
    <col min="19" max="23" width="9.5703125" bestFit="1" customWidth="1"/>
    <col min="24" max="24" width="1.5703125" customWidth="1"/>
    <col min="25" max="26" width="8.28515625" bestFit="1" customWidth="1"/>
    <col min="27" max="27" width="9" bestFit="1" customWidth="1"/>
    <col min="28" max="28" width="10.7109375" bestFit="1" customWidth="1"/>
    <col min="29" max="29" width="11.7109375" customWidth="1"/>
    <col min="30" max="30" width="10.7109375" bestFit="1" customWidth="1"/>
    <col min="31" max="32" width="11.7109375" bestFit="1" customWidth="1"/>
    <col min="33" max="36" width="11.7109375" customWidth="1"/>
    <col min="37" max="37" width="1.28515625" customWidth="1"/>
    <col min="38" max="38" width="9.5703125" customWidth="1"/>
    <col min="39" max="39" width="8.140625" customWidth="1"/>
    <col min="40" max="40" width="8.85546875" bestFit="1" customWidth="1"/>
    <col min="41" max="41" width="11.7109375" bestFit="1" customWidth="1"/>
    <col min="42" max="42" width="11.7109375" customWidth="1"/>
    <col min="43" max="43" width="10.7109375" bestFit="1" customWidth="1"/>
    <col min="44" max="45" width="11.7109375" bestFit="1" customWidth="1"/>
    <col min="46" max="49" width="11.7109375" customWidth="1"/>
    <col min="50" max="50" width="1.42578125" customWidth="1"/>
    <col min="51" max="51" width="9.5703125" customWidth="1"/>
    <col min="52" max="52" width="8.140625" customWidth="1"/>
    <col min="53" max="53" width="9.5703125" customWidth="1"/>
    <col min="54" max="54" width="11.7109375" bestFit="1" customWidth="1"/>
    <col min="55" max="55" width="11.7109375" customWidth="1"/>
    <col min="56" max="56" width="10.7109375" bestFit="1" customWidth="1"/>
    <col min="57" max="58" width="11.7109375" bestFit="1" customWidth="1"/>
    <col min="59" max="62" width="11.7109375" customWidth="1"/>
    <col min="63" max="63" width="1" customWidth="1"/>
    <col min="64" max="64" width="9.5703125" customWidth="1"/>
    <col min="65" max="65" width="8.140625" customWidth="1"/>
    <col min="66" max="66" width="9.5703125" customWidth="1"/>
    <col min="67" max="67" width="11.7109375" bestFit="1" customWidth="1"/>
    <col min="68" max="68" width="11.7109375" customWidth="1"/>
    <col min="69" max="69" width="10.7109375" bestFit="1" customWidth="1"/>
    <col min="70" max="71" width="11.7109375" bestFit="1" customWidth="1"/>
    <col min="72" max="72" width="5.85546875" bestFit="1" customWidth="1"/>
    <col min="73" max="73" width="7" bestFit="1" customWidth="1"/>
    <col min="74" max="74" width="9.5703125" bestFit="1" customWidth="1"/>
    <col min="75" max="75" width="5.42578125" bestFit="1" customWidth="1"/>
  </cols>
  <sheetData>
    <row r="1" spans="2:75" ht="6.75" customHeight="1">
      <c r="P1"/>
    </row>
    <row r="2" spans="2:75">
      <c r="E2" s="334">
        <f>E6+E16+E22+E28+E34</f>
        <v>648441.11366193788</v>
      </c>
      <c r="F2" s="275">
        <f>F6+F16+F22+F28+F34</f>
        <v>535467.38828862039</v>
      </c>
      <c r="K2" s="157">
        <f>K6+K16+K22+K28+K34</f>
        <v>40532148.37515007</v>
      </c>
      <c r="L2" s="157">
        <f>L6+L16+L22+L28+L34</f>
        <v>110703441.0574981</v>
      </c>
      <c r="M2" s="331"/>
      <c r="N2" s="331"/>
      <c r="O2" s="331"/>
      <c r="P2"/>
    </row>
    <row r="3" spans="2:75" ht="51">
      <c r="B3" s="172"/>
      <c r="C3" s="171" t="s">
        <v>4</v>
      </c>
      <c r="E3" s="3" t="s">
        <v>222</v>
      </c>
      <c r="F3" s="3" t="s">
        <v>223</v>
      </c>
      <c r="G3" s="3" t="s">
        <v>236</v>
      </c>
      <c r="H3" s="3" t="s">
        <v>238</v>
      </c>
      <c r="I3" s="3" t="str">
        <f>'2013-14 Capital Oct YTD'!AI13</f>
        <v>ASP Logistics Labour Costs (projected to full year)</v>
      </c>
      <c r="J3" s="3" t="str">
        <f>'2013-14 Capital Oct YTD'!AI11</f>
        <v>Meter Release, Acceptance Test and  Handling Costs</v>
      </c>
      <c r="K3" s="111" t="s">
        <v>286</v>
      </c>
      <c r="L3" s="165" t="s">
        <v>287</v>
      </c>
    </row>
    <row r="4" spans="2:75" s="163" customFormat="1" ht="18" customHeight="1">
      <c r="B4" s="332">
        <f>E4/F4</f>
        <v>1.1807447501540744</v>
      </c>
      <c r="C4" s="329"/>
      <c r="E4" s="333">
        <f>E7+E17+E23+E29+E35</f>
        <v>327407.48346175894</v>
      </c>
      <c r="F4" s="333">
        <f>F7+F17+F23+F29+F35</f>
        <v>277288.95971719187</v>
      </c>
      <c r="G4" s="326"/>
      <c r="H4" s="326"/>
      <c r="I4" s="326"/>
      <c r="J4" s="326"/>
      <c r="K4" s="326"/>
      <c r="L4" s="325"/>
    </row>
    <row r="5" spans="2:75" ht="28.5" customHeight="1">
      <c r="B5" s="172"/>
      <c r="C5" s="14"/>
      <c r="E5" s="341" t="s">
        <v>288</v>
      </c>
      <c r="F5" s="342"/>
      <c r="G5" s="342"/>
      <c r="H5" s="342"/>
      <c r="I5" s="342"/>
      <c r="J5" s="342"/>
      <c r="K5" s="342"/>
      <c r="L5" s="342"/>
      <c r="M5" s="77"/>
      <c r="N5" s="77"/>
      <c r="O5" s="77"/>
      <c r="P5" s="77"/>
      <c r="Q5" s="77"/>
      <c r="R5" s="77"/>
      <c r="S5" s="77"/>
      <c r="T5" s="77"/>
      <c r="U5" s="77"/>
      <c r="V5" s="77"/>
      <c r="W5" s="77"/>
    </row>
    <row r="6" spans="2:75" ht="15.75">
      <c r="B6" s="13"/>
      <c r="C6" s="2" t="s">
        <v>19</v>
      </c>
      <c r="E6" s="20">
        <f>E7+E8+E9</f>
        <v>82184.778184169845</v>
      </c>
      <c r="F6" s="20">
        <f>F7+F8+F9</f>
        <v>69371.906475371157</v>
      </c>
      <c r="G6" s="70"/>
      <c r="H6" s="330">
        <f>SUM(H8:H9)</f>
        <v>6470015.1870043082</v>
      </c>
      <c r="I6" s="182">
        <f>'2013-14 Capital Oct YTD'!$AJ$13</f>
        <v>469817.13000000006</v>
      </c>
      <c r="J6" s="182">
        <f>'2013-14 Capital Oct YTD'!AJ11*110%</f>
        <v>1937152.503000001</v>
      </c>
      <c r="K6" s="68">
        <f>SUM(K7:K9)</f>
        <v>5518941.0988004208</v>
      </c>
      <c r="L6" s="182">
        <f>SUM(L7:L9)</f>
        <v>14395925.918804731</v>
      </c>
      <c r="M6" s="77"/>
      <c r="N6" s="77"/>
      <c r="O6" s="77"/>
      <c r="P6" s="77"/>
      <c r="Q6" s="77"/>
      <c r="R6" s="77"/>
      <c r="S6" s="77"/>
      <c r="T6" s="77"/>
      <c r="U6" s="77"/>
      <c r="V6" s="77"/>
      <c r="W6" s="77"/>
    </row>
    <row r="7" spans="2:75" s="12" customFormat="1" ht="30" customHeight="1">
      <c r="B7" s="170" t="s">
        <v>302</v>
      </c>
      <c r="C7" s="4" t="s">
        <v>1</v>
      </c>
      <c r="D7"/>
      <c r="E7" s="15">
        <f>'NEW&amp;UPGRADE'!AC9</f>
        <v>49180.911941442209</v>
      </c>
      <c r="F7" s="15">
        <f>'NEW&amp;UPGRADE'!M22</f>
        <v>41262.506475371149</v>
      </c>
      <c r="G7" s="174"/>
      <c r="H7" s="174"/>
      <c r="I7" s="65">
        <f>I6</f>
        <v>469817.13000000006</v>
      </c>
      <c r="J7" s="65">
        <f>J$6*$E7/($E$7+$E$8+$E$9)</f>
        <v>1159228.3726031661</v>
      </c>
      <c r="K7" s="65">
        <f>'NEW&amp;UPGRADE'!AC18</f>
        <v>3291085.8632831788</v>
      </c>
      <c r="L7" s="183">
        <f>H7+I7+J7+K7</f>
        <v>4920131.3658863455</v>
      </c>
      <c r="M7" s="77"/>
      <c r="N7" s="77"/>
      <c r="O7" s="77"/>
      <c r="P7" s="77"/>
      <c r="Q7" s="77"/>
      <c r="R7" s="77"/>
      <c r="S7" s="77"/>
      <c r="T7" s="77"/>
      <c r="U7" s="77"/>
      <c r="V7" s="77"/>
      <c r="W7" s="77"/>
      <c r="X7"/>
      <c r="AK7"/>
      <c r="AX7"/>
      <c r="BK7"/>
    </row>
    <row r="8" spans="2:75" ht="30" customHeight="1">
      <c r="B8" s="168" t="s">
        <v>301</v>
      </c>
      <c r="C8" s="8" t="s">
        <v>5</v>
      </c>
      <c r="E8" s="16">
        <f>REPLACEMENT!V9</f>
        <v>13109.4</v>
      </c>
      <c r="F8" s="16">
        <f>REPLACEMENT!L9</f>
        <v>13109.4</v>
      </c>
      <c r="G8" s="207">
        <f>'2013-14 Capital Oct YTD'!AJ19</f>
        <v>246.42486808698541</v>
      </c>
      <c r="H8" s="66">
        <f>G8*F8</f>
        <v>3230482.1656995267</v>
      </c>
      <c r="I8" s="175"/>
      <c r="J8" s="66">
        <f>J$6*$E8/($E$7+$E$8+$E$9)</f>
        <v>308997.69499797339</v>
      </c>
      <c r="K8" s="66">
        <f>REPLACEMENT!V18</f>
        <v>1617312.0072666667</v>
      </c>
      <c r="L8" s="184">
        <f t="shared" ref="L8:L9" si="0">H8+I8+J8+K8</f>
        <v>5156791.8679641671</v>
      </c>
      <c r="M8" s="77"/>
      <c r="N8" s="77"/>
      <c r="O8" s="77"/>
      <c r="P8" s="77"/>
      <c r="Q8" s="77"/>
      <c r="R8" s="77"/>
      <c r="S8" s="77"/>
      <c r="T8" s="77"/>
      <c r="U8" s="77"/>
      <c r="V8" s="77"/>
      <c r="W8" s="77"/>
    </row>
    <row r="9" spans="2:75" ht="30" customHeight="1">
      <c r="B9" s="169" t="s">
        <v>303</v>
      </c>
      <c r="C9" s="10" t="s">
        <v>5</v>
      </c>
      <c r="E9" s="17">
        <f>REPLACEMENT!V23</f>
        <v>19894.466242727642</v>
      </c>
      <c r="F9" s="17">
        <f>REPLACEMENT!L21</f>
        <v>15000</v>
      </c>
      <c r="G9" s="208">
        <f>G8-(18/60*'2013-14 Capital Oct YTD'!AJ22)</f>
        <v>215.96886808698542</v>
      </c>
      <c r="H9" s="67">
        <f>G9*F9</f>
        <v>3239533.0213047815</v>
      </c>
      <c r="I9" s="176"/>
      <c r="J9" s="67">
        <f>J$6*$E9/($E$7+$E$8+$E$9)</f>
        <v>468926.43539886142</v>
      </c>
      <c r="K9" s="67">
        <f>REPLACEMENT!V28</f>
        <v>610543.22825057502</v>
      </c>
      <c r="L9" s="185">
        <f t="shared" si="0"/>
        <v>4319002.6849542176</v>
      </c>
      <c r="M9" s="77"/>
      <c r="N9" s="77"/>
      <c r="O9" s="77"/>
      <c r="P9" s="77"/>
      <c r="Q9" s="77"/>
      <c r="R9" s="77"/>
      <c r="S9" s="77"/>
      <c r="T9" s="77"/>
      <c r="U9" s="77"/>
      <c r="V9" s="77"/>
      <c r="W9" s="77"/>
    </row>
    <row r="10" spans="2:75" s="26" customFormat="1" ht="50.25" customHeight="1">
      <c r="B10" s="72"/>
      <c r="C10" s="73"/>
      <c r="E10" s="74"/>
      <c r="F10" s="74"/>
      <c r="G10" s="75"/>
      <c r="H10" s="76"/>
      <c r="I10" s="76"/>
      <c r="J10" s="76"/>
      <c r="K10" s="76"/>
      <c r="L10" s="77"/>
      <c r="M10" s="77"/>
      <c r="N10" s="77"/>
      <c r="O10" s="77"/>
      <c r="P10" s="342" t="s">
        <v>549</v>
      </c>
      <c r="Q10" s="342"/>
      <c r="R10" s="342"/>
      <c r="S10" s="342"/>
      <c r="T10" s="342"/>
      <c r="U10" s="342"/>
      <c r="V10" s="342"/>
      <c r="W10" s="342"/>
      <c r="Y10" s="74"/>
      <c r="Z10" s="74"/>
      <c r="AA10" s="75"/>
      <c r="AB10" s="76"/>
      <c r="AC10" s="76"/>
      <c r="AD10" s="76"/>
      <c r="AE10" s="74"/>
      <c r="AF10" s="77"/>
      <c r="AG10" s="77"/>
      <c r="AH10" s="77"/>
      <c r="AI10" s="77"/>
      <c r="AJ10" s="77"/>
      <c r="AL10" s="74"/>
      <c r="AM10" s="74"/>
      <c r="AN10" s="75"/>
      <c r="AO10" s="76"/>
      <c r="AP10" s="76"/>
      <c r="AQ10" s="76"/>
      <c r="AR10" s="74"/>
      <c r="AS10" s="74"/>
      <c r="AT10" s="74"/>
      <c r="AU10" s="74"/>
      <c r="AV10" s="74"/>
      <c r="AW10" s="74"/>
      <c r="AY10" s="74"/>
      <c r="AZ10" s="74"/>
      <c r="BA10" s="75"/>
      <c r="BB10" s="74"/>
      <c r="BC10" s="74"/>
      <c r="BD10" s="74"/>
      <c r="BE10" s="74"/>
      <c r="BF10" s="74"/>
      <c r="BG10" s="74"/>
      <c r="BH10" s="74"/>
      <c r="BI10" s="74"/>
      <c r="BJ10" s="74"/>
      <c r="BL10" s="74"/>
      <c r="BM10" s="74"/>
      <c r="BN10" s="75"/>
      <c r="BO10" s="74"/>
      <c r="BP10" s="74"/>
      <c r="BQ10" s="74"/>
      <c r="BR10" s="74"/>
      <c r="BS10" s="74"/>
      <c r="BT10" s="77"/>
      <c r="BU10" s="77"/>
      <c r="BV10" s="77"/>
      <c r="BW10" s="77"/>
    </row>
    <row r="11" spans="2:75" s="26" customFormat="1" ht="15.75" thickBot="1">
      <c r="B11" s="72"/>
      <c r="C11" s="73"/>
      <c r="E11" s="74"/>
      <c r="F11" s="74"/>
      <c r="G11" s="75"/>
      <c r="H11" s="76"/>
      <c r="I11" s="76"/>
      <c r="J11" s="76"/>
      <c r="K11" s="76"/>
      <c r="L11" s="77"/>
      <c r="M11" s="77"/>
      <c r="N11" s="77"/>
      <c r="O11" s="77"/>
      <c r="P11" s="173" t="s">
        <v>556</v>
      </c>
      <c r="Q11" s="71"/>
      <c r="R11" s="199">
        <f>'Meter Hardware Price'!$E$4</f>
        <v>22.5</v>
      </c>
      <c r="S11" s="199">
        <f>'Meter Hardware Price'!$E$5</f>
        <v>93.75</v>
      </c>
      <c r="T11" s="199">
        <f>'Meter Hardware Price'!$E$6</f>
        <v>86.5</v>
      </c>
      <c r="U11" s="199">
        <f>'Meter Hardware Price'!$E$7</f>
        <v>143.66666666666666</v>
      </c>
      <c r="V11" s="199">
        <f>'Meter Hardware Price'!$E$8</f>
        <v>202</v>
      </c>
      <c r="W11" s="199">
        <f>'Meter Hardware Price'!$E$9</f>
        <v>519</v>
      </c>
      <c r="Y11" s="74"/>
      <c r="Z11" s="74"/>
      <c r="AA11" s="75"/>
      <c r="AB11" s="76"/>
      <c r="AC11" s="76"/>
      <c r="AD11" s="76"/>
      <c r="AE11" s="74"/>
      <c r="AF11" s="77"/>
      <c r="AG11" s="77"/>
      <c r="AH11" s="77"/>
      <c r="AI11" s="77"/>
      <c r="AJ11" s="77"/>
      <c r="AL11" s="74"/>
      <c r="AM11" s="74"/>
      <c r="AN11" s="75"/>
      <c r="AO11" s="76"/>
      <c r="AP11" s="76"/>
      <c r="AQ11" s="76"/>
      <c r="AR11" s="74"/>
      <c r="AS11" s="74"/>
      <c r="AT11" s="74"/>
      <c r="AU11" s="74"/>
      <c r="AV11" s="74"/>
      <c r="AW11" s="74"/>
      <c r="AY11" s="74"/>
      <c r="AZ11" s="74"/>
      <c r="BA11" s="75"/>
      <c r="BB11" s="74"/>
      <c r="BC11" s="74"/>
      <c r="BD11" s="74"/>
      <c r="BE11" s="74"/>
      <c r="BF11" s="74"/>
      <c r="BG11" s="74"/>
      <c r="BH11" s="74"/>
      <c r="BI11" s="74"/>
      <c r="BJ11" s="74"/>
      <c r="BL11" s="74"/>
      <c r="BM11" s="74"/>
      <c r="BN11" s="75"/>
      <c r="BO11" s="74"/>
      <c r="BP11" s="74"/>
      <c r="BQ11" s="74"/>
      <c r="BR11" s="74"/>
      <c r="BS11" s="74"/>
      <c r="BT11" s="77"/>
      <c r="BU11" s="77"/>
      <c r="BV11" s="77"/>
      <c r="BW11" s="77"/>
    </row>
    <row r="12" spans="2:75" s="26" customFormat="1" ht="25.5">
      <c r="B12" s="72"/>
      <c r="C12" s="73"/>
      <c r="E12" s="166">
        <f>E17+E23+E29+E35</f>
        <v>278226.57152031676</v>
      </c>
      <c r="F12" s="74"/>
      <c r="G12" s="343" t="s">
        <v>558</v>
      </c>
      <c r="H12" s="343"/>
      <c r="I12" s="343"/>
      <c r="J12" s="343"/>
      <c r="K12" s="339" t="s">
        <v>559</v>
      </c>
      <c r="L12" s="77"/>
      <c r="M12" s="77"/>
      <c r="N12" s="77"/>
      <c r="O12" s="77"/>
      <c r="P12" s="167">
        <f>P17+P23+P29+P35</f>
        <v>6081930.3531733947</v>
      </c>
      <c r="Q12" s="186">
        <f>P12/E12</f>
        <v>21.859631594278831</v>
      </c>
      <c r="R12" s="328">
        <f>R$11+$Q12</f>
        <v>44.359631594278831</v>
      </c>
      <c r="S12" s="187">
        <f t="shared" ref="S12:W12" si="1">S$11+$Q12</f>
        <v>115.60963159427882</v>
      </c>
      <c r="T12" s="188">
        <f t="shared" si="1"/>
        <v>108.35963159427882</v>
      </c>
      <c r="U12" s="189">
        <f t="shared" si="1"/>
        <v>165.52629826094548</v>
      </c>
      <c r="V12" s="190">
        <f t="shared" si="1"/>
        <v>223.85963159427882</v>
      </c>
      <c r="W12" s="191">
        <f t="shared" si="1"/>
        <v>540.85963159427888</v>
      </c>
      <c r="Y12" s="74"/>
      <c r="Z12" s="74"/>
      <c r="AA12" s="75"/>
      <c r="AB12" s="76"/>
      <c r="AC12" s="76"/>
      <c r="AD12" s="76"/>
      <c r="AE12" s="74"/>
      <c r="AF12" s="77"/>
      <c r="AG12" s="77"/>
      <c r="AH12" s="77"/>
      <c r="AI12" s="77"/>
      <c r="AJ12" s="77"/>
      <c r="AL12" s="74"/>
      <c r="AM12" s="74"/>
      <c r="AN12" s="75"/>
      <c r="AO12" s="76"/>
      <c r="AP12" s="76"/>
      <c r="AQ12" s="76"/>
      <c r="AR12" s="74"/>
      <c r="AS12" s="74"/>
      <c r="AT12" s="74"/>
      <c r="AU12" s="74"/>
      <c r="AV12" s="74"/>
      <c r="AW12" s="74"/>
      <c r="AY12" s="74"/>
      <c r="AZ12" s="74"/>
      <c r="BA12" s="75"/>
      <c r="BB12" s="74"/>
      <c r="BC12" s="74"/>
      <c r="BD12" s="74"/>
      <c r="BE12" s="74"/>
      <c r="BF12" s="74"/>
      <c r="BG12" s="74"/>
      <c r="BH12" s="74"/>
      <c r="BI12" s="74"/>
      <c r="BJ12" s="74"/>
      <c r="BL12" s="74"/>
      <c r="BM12" s="74"/>
      <c r="BN12" s="75"/>
      <c r="BO12" s="74"/>
      <c r="BP12" s="74"/>
      <c r="BQ12" s="74"/>
      <c r="BR12" s="74"/>
      <c r="BS12" s="74"/>
      <c r="BT12" s="77"/>
      <c r="BU12" s="77"/>
      <c r="BV12" s="77"/>
      <c r="BW12" s="77"/>
    </row>
    <row r="13" spans="2:75" s="26" customFormat="1" ht="79.5" thickBot="1">
      <c r="B13" s="72"/>
      <c r="C13" s="73"/>
      <c r="E13" s="293" t="s">
        <v>222</v>
      </c>
      <c r="F13" s="293" t="s">
        <v>223</v>
      </c>
      <c r="G13" s="336" t="str">
        <f>G3</f>
        <v>MP(MOG) Install Labour Unit Cost</v>
      </c>
      <c r="H13" s="336" t="str">
        <f>H3</f>
        <v>MP(MOG) Install
Labour
Total
Cost</v>
      </c>
      <c r="I13" s="293" t="str">
        <f>I3</f>
        <v>ASP Logistics Labour Costs (projected to full year)</v>
      </c>
      <c r="J13" s="293" t="str">
        <f>J3</f>
        <v>Meter Release, Acceptance Test and  Handling Costs</v>
      </c>
      <c r="K13" s="293" t="str">
        <f>K3</f>
        <v>Meter Materials Costs</v>
      </c>
      <c r="L13" s="165" t="s">
        <v>287</v>
      </c>
      <c r="M13" s="165" t="s">
        <v>239</v>
      </c>
      <c r="N13" s="165" t="s">
        <v>308</v>
      </c>
      <c r="O13" s="211" t="s">
        <v>300</v>
      </c>
      <c r="P13" s="161" t="s">
        <v>550</v>
      </c>
      <c r="Q13" s="294" t="s">
        <v>551</v>
      </c>
      <c r="R13" s="192" t="s">
        <v>224</v>
      </c>
      <c r="S13" s="193" t="s">
        <v>225</v>
      </c>
      <c r="T13" s="194" t="s">
        <v>226</v>
      </c>
      <c r="U13" s="195" t="s">
        <v>227</v>
      </c>
      <c r="V13" s="196" t="s">
        <v>228</v>
      </c>
      <c r="W13" s="197" t="s">
        <v>229</v>
      </c>
      <c r="Y13" s="74"/>
      <c r="Z13" s="74"/>
      <c r="AA13" s="75"/>
      <c r="AB13" s="76"/>
      <c r="AC13" s="76"/>
      <c r="AD13" s="76"/>
      <c r="AE13" s="74"/>
      <c r="AF13" s="77"/>
      <c r="AG13" s="77"/>
      <c r="AH13" s="77"/>
      <c r="AI13" s="77"/>
      <c r="AJ13" s="77"/>
      <c r="AL13" s="74"/>
      <c r="AM13" s="74"/>
      <c r="AN13" s="75"/>
      <c r="AO13" s="76"/>
      <c r="AP13" s="76"/>
      <c r="AQ13" s="76"/>
      <c r="AR13" s="74"/>
      <c r="AS13" s="74"/>
      <c r="AT13" s="74"/>
      <c r="AU13" s="74"/>
      <c r="AV13" s="74"/>
      <c r="AW13" s="74"/>
      <c r="AY13" s="74"/>
      <c r="AZ13" s="74"/>
      <c r="BA13" s="75"/>
      <c r="BB13" s="74"/>
      <c r="BC13" s="74"/>
      <c r="BD13" s="74"/>
      <c r="BE13" s="74"/>
      <c r="BF13" s="74"/>
      <c r="BG13" s="74"/>
      <c r="BH13" s="74"/>
      <c r="BI13" s="74"/>
      <c r="BJ13" s="74"/>
      <c r="BL13" s="74"/>
      <c r="BM13" s="74"/>
      <c r="BN13" s="75"/>
      <c r="BO13" s="74"/>
      <c r="BP13" s="74"/>
      <c r="BQ13" s="74"/>
      <c r="BR13" s="74"/>
      <c r="BS13" s="74"/>
      <c r="BT13" s="77"/>
      <c r="BU13" s="77"/>
      <c r="BV13" s="77"/>
      <c r="BW13" s="77"/>
    </row>
    <row r="14" spans="2:75" s="26" customFormat="1" ht="9" customHeight="1">
      <c r="B14" s="72"/>
      <c r="C14" s="73"/>
      <c r="E14" s="74"/>
      <c r="F14" s="74"/>
      <c r="G14" s="75"/>
      <c r="H14" s="76"/>
      <c r="I14" s="76"/>
      <c r="J14" s="76"/>
      <c r="K14" s="76"/>
      <c r="L14" s="77"/>
      <c r="M14" s="325"/>
      <c r="N14" s="325"/>
      <c r="O14" s="325"/>
      <c r="P14" s="326"/>
      <c r="Q14" s="326"/>
      <c r="R14" s="327"/>
      <c r="S14" s="327"/>
      <c r="T14" s="327"/>
      <c r="U14" s="327"/>
      <c r="V14" s="327"/>
      <c r="W14" s="327"/>
      <c r="Y14" s="74"/>
      <c r="Z14" s="74"/>
      <c r="AA14" s="75"/>
      <c r="AB14" s="76"/>
      <c r="AC14" s="76"/>
      <c r="AD14" s="76"/>
      <c r="AE14" s="74"/>
      <c r="AF14" s="77"/>
      <c r="AG14" s="77"/>
      <c r="AH14" s="77"/>
      <c r="AI14" s="77"/>
      <c r="AJ14" s="77"/>
      <c r="AL14" s="74"/>
      <c r="AM14" s="74"/>
      <c r="AN14" s="75"/>
      <c r="AO14" s="76"/>
      <c r="AP14" s="76"/>
      <c r="AQ14" s="76"/>
      <c r="AR14" s="74"/>
      <c r="AS14" s="74"/>
      <c r="AT14" s="74"/>
      <c r="AU14" s="74"/>
      <c r="AV14" s="74"/>
      <c r="AW14" s="74"/>
      <c r="AY14" s="74"/>
      <c r="AZ14" s="74"/>
      <c r="BA14" s="75"/>
      <c r="BB14" s="74"/>
      <c r="BC14" s="74"/>
      <c r="BD14" s="74"/>
      <c r="BE14" s="74"/>
      <c r="BF14" s="74"/>
      <c r="BG14" s="74"/>
      <c r="BH14" s="74"/>
      <c r="BI14" s="74"/>
      <c r="BJ14" s="74"/>
      <c r="BL14" s="74"/>
      <c r="BM14" s="74"/>
      <c r="BN14" s="75"/>
      <c r="BO14" s="74"/>
      <c r="BP14" s="74"/>
      <c r="BQ14" s="74"/>
      <c r="BR14" s="74"/>
      <c r="BS14" s="74"/>
      <c r="BT14" s="77"/>
      <c r="BU14" s="77"/>
      <c r="BV14" s="77"/>
      <c r="BW14" s="77"/>
    </row>
    <row r="15" spans="2:75" ht="28.5" customHeight="1">
      <c r="E15" s="341" t="s">
        <v>289</v>
      </c>
      <c r="F15" s="342"/>
      <c r="G15" s="342"/>
      <c r="H15" s="342"/>
      <c r="I15" s="342"/>
      <c r="J15" s="342"/>
      <c r="K15" s="342"/>
      <c r="L15" s="342"/>
      <c r="M15" s="342"/>
      <c r="N15" s="342"/>
      <c r="O15" s="342"/>
      <c r="P15" s="342" t="s">
        <v>293</v>
      </c>
      <c r="Q15" s="342"/>
      <c r="R15" s="342"/>
      <c r="S15" s="342"/>
      <c r="T15" s="342"/>
      <c r="U15" s="342"/>
      <c r="V15" s="342"/>
      <c r="W15" s="342"/>
    </row>
    <row r="16" spans="2:75" ht="16.5" thickBot="1">
      <c r="E16" s="18">
        <f>E17+E18+E19</f>
        <v>103893.98807519802</v>
      </c>
      <c r="F16" s="20">
        <f>F17+F18+F19</f>
        <v>86115.922521293134</v>
      </c>
      <c r="G16" s="19"/>
      <c r="H16" s="330">
        <f>H18+H19</f>
        <v>9198010.5178973339</v>
      </c>
      <c r="I16" s="109">
        <f>I$6*120%</f>
        <v>563780.5560000001</v>
      </c>
      <c r="J16" s="68">
        <f>J$6*105%</f>
        <v>2034010.1281500012</v>
      </c>
      <c r="K16" s="68">
        <f>SUM(K17:K19)</f>
        <v>6383511.7695170119</v>
      </c>
      <c r="L16" s="182">
        <f>SUM(L17:L19)</f>
        <v>18179312.971564345</v>
      </c>
      <c r="M16" s="71"/>
      <c r="N16" s="71"/>
      <c r="O16" s="158"/>
      <c r="P16" s="173" t="s">
        <v>304</v>
      </c>
      <c r="Q16" s="71"/>
      <c r="R16" s="199">
        <f>'Meter Hardware Price'!$E$4</f>
        <v>22.5</v>
      </c>
      <c r="S16" s="199">
        <f>'Meter Hardware Price'!$E$5</f>
        <v>93.75</v>
      </c>
      <c r="T16" s="199">
        <f>'Meter Hardware Price'!$E$6</f>
        <v>86.5</v>
      </c>
      <c r="U16" s="199">
        <f>'Meter Hardware Price'!$E$7</f>
        <v>143.66666666666666</v>
      </c>
      <c r="V16" s="199">
        <f>'Meter Hardware Price'!$E$8</f>
        <v>202</v>
      </c>
      <c r="W16" s="199">
        <f>'Meter Hardware Price'!$E$9</f>
        <v>519</v>
      </c>
    </row>
    <row r="17" spans="2:23" ht="16.5" thickBot="1">
      <c r="B17" s="170" t="s">
        <v>548</v>
      </c>
      <c r="E17" s="15">
        <f>'NEW&amp;UPGRADE'!AD9</f>
        <v>54137.086545023041</v>
      </c>
      <c r="F17" s="15">
        <f>'NEW&amp;UPGRADE'!N22</f>
        <v>45375.093949864604</v>
      </c>
      <c r="G17" s="174"/>
      <c r="H17" s="174"/>
      <c r="I17" s="65">
        <f>I16</f>
        <v>563780.5560000001</v>
      </c>
      <c r="J17" s="65">
        <f t="shared" ref="J17:J19" si="2">J$16*F17/(F$17+F$18+F$19)</f>
        <v>1071734.4476796594</v>
      </c>
      <c r="K17" s="65">
        <f>'NEW&amp;UPGRADE'!AD18</f>
        <v>3641520.9888386694</v>
      </c>
      <c r="L17" s="183">
        <f>H17+I17+J17+K17</f>
        <v>5277035.9925183291</v>
      </c>
      <c r="M17" s="174"/>
      <c r="N17" s="174"/>
      <c r="O17" s="177"/>
      <c r="P17" s="160">
        <f>L17-K17</f>
        <v>1635515.0036796597</v>
      </c>
      <c r="Q17" s="198">
        <f>P17/E17</f>
        <v>30.210621000439055</v>
      </c>
      <c r="R17" s="201">
        <f t="shared" ref="R17:W17" si="3">R16+$Q17</f>
        <v>52.710621000439055</v>
      </c>
      <c r="S17" s="202">
        <f t="shared" si="3"/>
        <v>123.96062100043906</v>
      </c>
      <c r="T17" s="203">
        <f t="shared" si="3"/>
        <v>116.71062100043906</v>
      </c>
      <c r="U17" s="204">
        <f t="shared" si="3"/>
        <v>173.87728766710572</v>
      </c>
      <c r="V17" s="205">
        <f t="shared" si="3"/>
        <v>232.21062100043906</v>
      </c>
      <c r="W17" s="206">
        <f t="shared" si="3"/>
        <v>549.21062100043901</v>
      </c>
    </row>
    <row r="18" spans="2:23" ht="15.75">
      <c r="B18" s="168" t="s">
        <v>10</v>
      </c>
      <c r="E18" s="16">
        <f>REPLACEMENT!W9</f>
        <v>13109.4</v>
      </c>
      <c r="F18" s="16">
        <f>REPLACEMENT!M9</f>
        <v>13109.4</v>
      </c>
      <c r="G18" s="63">
        <f>G$8</f>
        <v>246.42486808698541</v>
      </c>
      <c r="H18" s="66">
        <f>G18*F18</f>
        <v>3230482.1656995267</v>
      </c>
      <c r="I18" s="175"/>
      <c r="J18" s="66">
        <f t="shared" si="2"/>
        <v>309636.72678971168</v>
      </c>
      <c r="K18" s="66">
        <f>REPLACEMENT!W18</f>
        <v>1617312.0072666667</v>
      </c>
      <c r="L18" s="184">
        <f t="shared" ref="L18:L19" si="4">H18+I18+J18+K18</f>
        <v>5157430.8997559045</v>
      </c>
      <c r="M18" s="184">
        <f>L18/F18</f>
        <v>393.41471766487439</v>
      </c>
      <c r="N18" s="184">
        <f>(L18-K18)/F18</f>
        <v>270.04431114232824</v>
      </c>
      <c r="O18" s="209">
        <f>K18/F18</f>
        <v>123.37040652254618</v>
      </c>
      <c r="P18" s="178"/>
      <c r="Q18" s="179"/>
      <c r="R18" s="200"/>
      <c r="S18" s="200"/>
      <c r="T18" s="200"/>
      <c r="U18" s="200"/>
      <c r="V18" s="200"/>
      <c r="W18" s="200"/>
    </row>
    <row r="19" spans="2:23" ht="15.75">
      <c r="B19" s="169" t="s">
        <v>11</v>
      </c>
      <c r="E19" s="17">
        <f>REPLACEMENT!W23</f>
        <v>36647.501530174981</v>
      </c>
      <c r="F19" s="17">
        <f>REPLACEMENT!M21</f>
        <v>27631.428571428522</v>
      </c>
      <c r="G19" s="64">
        <f>G$9</f>
        <v>215.96886808698542</v>
      </c>
      <c r="H19" s="67">
        <f>G19*F19</f>
        <v>5967528.3521978064</v>
      </c>
      <c r="I19" s="176"/>
      <c r="J19" s="67">
        <f t="shared" si="2"/>
        <v>652638.95368062973</v>
      </c>
      <c r="K19" s="67">
        <f>REPLACEMENT!W28</f>
        <v>1124678.7734116763</v>
      </c>
      <c r="L19" s="185">
        <f t="shared" si="4"/>
        <v>7744846.0792901125</v>
      </c>
      <c r="M19" s="185">
        <f>L19/F19</f>
        <v>280.29119302569995</v>
      </c>
      <c r="N19" s="185">
        <f>(L19-K19)/F19</f>
        <v>239.58831114232828</v>
      </c>
      <c r="O19" s="210">
        <f>K19/F19</f>
        <v>40.702881883371667</v>
      </c>
      <c r="P19" s="180"/>
      <c r="Q19" s="181"/>
      <c r="R19" s="181"/>
      <c r="S19" s="181"/>
      <c r="T19" s="181"/>
      <c r="U19" s="181"/>
      <c r="V19" s="181"/>
      <c r="W19" s="181"/>
    </row>
    <row r="20" spans="2:23" ht="6" customHeight="1">
      <c r="P20" s="159"/>
    </row>
    <row r="21" spans="2:23" ht="28.5" customHeight="1">
      <c r="E21" s="341" t="s">
        <v>290</v>
      </c>
      <c r="F21" s="342"/>
      <c r="G21" s="342"/>
      <c r="H21" s="342"/>
      <c r="I21" s="342"/>
      <c r="J21" s="342"/>
      <c r="K21" s="342"/>
      <c r="L21" s="342"/>
      <c r="M21" s="342"/>
      <c r="N21" s="342"/>
      <c r="O21" s="342"/>
      <c r="P21" s="342" t="s">
        <v>294</v>
      </c>
      <c r="Q21" s="342"/>
      <c r="R21" s="342"/>
      <c r="S21" s="342"/>
      <c r="T21" s="342"/>
      <c r="U21" s="342"/>
      <c r="V21" s="342"/>
      <c r="W21" s="342"/>
    </row>
    <row r="22" spans="2:23" ht="16.5" thickBot="1">
      <c r="E22" s="18">
        <f>E23+E24+E25</f>
        <v>162369.53469127283</v>
      </c>
      <c r="F22" s="20">
        <f>F23+F24+F25</f>
        <v>134066.77227824464</v>
      </c>
      <c r="G22" s="18"/>
      <c r="H22" s="330">
        <f>H24+H25</f>
        <v>14028925.570048798</v>
      </c>
      <c r="I22" s="109">
        <f>I$6*120%</f>
        <v>563780.5560000001</v>
      </c>
      <c r="J22" s="68">
        <f>J$6*105%</f>
        <v>2034010.1281500012</v>
      </c>
      <c r="K22" s="68">
        <f>SUM(K23:K25)</f>
        <v>10550976.797048884</v>
      </c>
      <c r="L22" s="182">
        <f>SUM(L23:L25)</f>
        <v>27177693.051247682</v>
      </c>
      <c r="M22" s="71"/>
      <c r="N22" s="71"/>
      <c r="O22" s="158"/>
      <c r="P22" s="173" t="s">
        <v>304</v>
      </c>
      <c r="Q22" s="71"/>
      <c r="R22" s="199">
        <f>'Meter Hardware Price'!$E$4</f>
        <v>22.5</v>
      </c>
      <c r="S22" s="199">
        <f>'Meter Hardware Price'!$E$5</f>
        <v>93.75</v>
      </c>
      <c r="T22" s="199">
        <f>'Meter Hardware Price'!$E$6</f>
        <v>86.5</v>
      </c>
      <c r="U22" s="199">
        <f>'Meter Hardware Price'!$E$7</f>
        <v>143.66666666666666</v>
      </c>
      <c r="V22" s="199">
        <f>'Meter Hardware Price'!$E$8</f>
        <v>202</v>
      </c>
      <c r="W22" s="199">
        <f>'Meter Hardware Price'!$E$9</f>
        <v>519</v>
      </c>
    </row>
    <row r="23" spans="2:23" ht="16.5" thickBot="1">
      <c r="B23" s="170" t="s">
        <v>548</v>
      </c>
      <c r="E23" s="15">
        <f>'NEW&amp;UPGRADE'!AE9</f>
        <v>82945.247215514042</v>
      </c>
      <c r="F23" s="15">
        <f>'NEW&amp;UPGRADE'!O22</f>
        <v>70957.372278244642</v>
      </c>
      <c r="G23" s="174"/>
      <c r="H23" s="174"/>
      <c r="I23" s="65">
        <f>I22</f>
        <v>563780.5560000001</v>
      </c>
      <c r="J23" s="65">
        <f t="shared" ref="J23:J25" si="5">J$22*F23/(F$23+F$24+F$25)</f>
        <v>1076538.2907952666</v>
      </c>
      <c r="K23" s="65">
        <f>'NEW&amp;UPGRADE'!AE18</f>
        <v>6898520.6956136329</v>
      </c>
      <c r="L23" s="183">
        <f>H23+I23+J23+K23</f>
        <v>8538839.5424089003</v>
      </c>
      <c r="M23" s="174"/>
      <c r="N23" s="174"/>
      <c r="O23" s="177"/>
      <c r="P23" s="160">
        <f>L23-K23</f>
        <v>1640318.8467952674</v>
      </c>
      <c r="Q23" s="198">
        <f>P23/E23</f>
        <v>19.775923297127299</v>
      </c>
      <c r="R23" s="201">
        <f t="shared" ref="R23:W23" si="6">R22+$Q23</f>
        <v>42.275923297127299</v>
      </c>
      <c r="S23" s="202">
        <f t="shared" si="6"/>
        <v>113.52592329712729</v>
      </c>
      <c r="T23" s="203">
        <f t="shared" si="6"/>
        <v>106.27592329712729</v>
      </c>
      <c r="U23" s="204">
        <f t="shared" si="6"/>
        <v>163.44258996379395</v>
      </c>
      <c r="V23" s="205">
        <f t="shared" si="6"/>
        <v>221.77592329712729</v>
      </c>
      <c r="W23" s="206">
        <f t="shared" si="6"/>
        <v>538.77592329712729</v>
      </c>
    </row>
    <row r="24" spans="2:23" ht="15.75">
      <c r="B24" s="168" t="s">
        <v>10</v>
      </c>
      <c r="E24" s="16">
        <f>REPLACEMENT!X9</f>
        <v>13109.4</v>
      </c>
      <c r="F24" s="16">
        <f>REPLACEMENT!N9</f>
        <v>13109.4</v>
      </c>
      <c r="G24" s="63">
        <f>G$8</f>
        <v>246.42486808698541</v>
      </c>
      <c r="H24" s="66">
        <f>G24*F24</f>
        <v>3230482.1656995267</v>
      </c>
      <c r="I24" s="175"/>
      <c r="J24" s="66">
        <f t="shared" si="5"/>
        <v>198890.83566977593</v>
      </c>
      <c r="K24" s="66">
        <f>REPLACEMENT!X18</f>
        <v>1617312.0072666667</v>
      </c>
      <c r="L24" s="184">
        <f t="shared" ref="L24:L25" si="7">H24+I24+J24+K24</f>
        <v>5046685.0086359698</v>
      </c>
      <c r="M24" s="184">
        <f>L24/F24</f>
        <v>384.96689464323083</v>
      </c>
      <c r="N24" s="184">
        <f>(L24-K24)/F24</f>
        <v>261.59648812068463</v>
      </c>
      <c r="O24" s="209">
        <f>K24/F24</f>
        <v>123.37040652254618</v>
      </c>
      <c r="P24" s="178"/>
      <c r="Q24" s="179"/>
      <c r="R24" s="200"/>
      <c r="S24" s="200"/>
      <c r="T24" s="200"/>
      <c r="U24" s="200"/>
      <c r="V24" s="200"/>
      <c r="W24" s="200"/>
    </row>
    <row r="25" spans="2:23" ht="15.75">
      <c r="B25" s="169" t="s">
        <v>11</v>
      </c>
      <c r="E25" s="17">
        <f>REPLACEMENT!X23</f>
        <v>66314.887475758806</v>
      </c>
      <c r="F25" s="17">
        <f>REPLACEMENT!N21</f>
        <v>50000</v>
      </c>
      <c r="G25" s="64">
        <f>G$9</f>
        <v>215.96886808698542</v>
      </c>
      <c r="H25" s="67">
        <f>G25*F25</f>
        <v>10798443.404349271</v>
      </c>
      <c r="I25" s="176"/>
      <c r="J25" s="67">
        <f t="shared" si="5"/>
        <v>758581.0016849587</v>
      </c>
      <c r="K25" s="67">
        <f>REPLACEMENT!X28</f>
        <v>2035144.0941685834</v>
      </c>
      <c r="L25" s="185">
        <f t="shared" si="7"/>
        <v>13592168.500202812</v>
      </c>
      <c r="M25" s="185">
        <f>L25/F25</f>
        <v>271.84337000405623</v>
      </c>
      <c r="N25" s="185">
        <f>(L25-K25)/F25</f>
        <v>231.14048812068458</v>
      </c>
      <c r="O25" s="210">
        <f>K25/F25</f>
        <v>40.702881883371667</v>
      </c>
      <c r="P25" s="180"/>
      <c r="Q25" s="181"/>
      <c r="R25" s="181"/>
      <c r="S25" s="181"/>
      <c r="T25" s="181"/>
      <c r="U25" s="181"/>
      <c r="V25" s="181"/>
      <c r="W25" s="181"/>
    </row>
    <row r="26" spans="2:23" ht="6" customHeight="1">
      <c r="P26" s="159"/>
    </row>
    <row r="27" spans="2:23" ht="28.5" customHeight="1">
      <c r="E27" s="341" t="s">
        <v>291</v>
      </c>
      <c r="F27" s="342"/>
      <c r="G27" s="342"/>
      <c r="H27" s="342"/>
      <c r="I27" s="342"/>
      <c r="J27" s="342"/>
      <c r="K27" s="342"/>
      <c r="L27" s="342"/>
      <c r="M27" s="342"/>
      <c r="N27" s="342"/>
      <c r="O27" s="342"/>
      <c r="P27" s="342" t="s">
        <v>295</v>
      </c>
      <c r="Q27" s="342"/>
      <c r="R27" s="342"/>
      <c r="S27" s="342"/>
      <c r="T27" s="342"/>
      <c r="U27" s="342"/>
      <c r="V27" s="342"/>
      <c r="W27" s="342"/>
    </row>
    <row r="28" spans="2:23" ht="16.5" thickBot="1">
      <c r="E28" s="18">
        <f>E29+E30+E31</f>
        <v>163507.76948294754</v>
      </c>
      <c r="F28" s="20">
        <f>F29+F30+F31</f>
        <v>135008.74429723466</v>
      </c>
      <c r="G28" s="18"/>
      <c r="H28" s="330">
        <f>H30+H31</f>
        <v>14028925.570048798</v>
      </c>
      <c r="I28" s="109">
        <f>I$6</f>
        <v>469817.13000000006</v>
      </c>
      <c r="J28" s="68">
        <f>J$6</f>
        <v>1937152.503000001</v>
      </c>
      <c r="K28" s="68">
        <f>SUM(K29:K31)</f>
        <v>10616482.839053895</v>
      </c>
      <c r="L28" s="182">
        <f>SUM(L29:L31)</f>
        <v>27052378.042102695</v>
      </c>
      <c r="M28" s="71"/>
      <c r="N28" s="71"/>
      <c r="O28" s="158"/>
      <c r="P28" s="173" t="s">
        <v>304</v>
      </c>
      <c r="Q28" s="71"/>
      <c r="R28" s="199">
        <f>'Meter Hardware Price'!$E$4</f>
        <v>22.5</v>
      </c>
      <c r="S28" s="199">
        <f>'Meter Hardware Price'!$E$5</f>
        <v>93.75</v>
      </c>
      <c r="T28" s="199">
        <f>'Meter Hardware Price'!$E$6</f>
        <v>86.5</v>
      </c>
      <c r="U28" s="199">
        <f>'Meter Hardware Price'!$E$7</f>
        <v>143.66666666666666</v>
      </c>
      <c r="V28" s="199">
        <f>'Meter Hardware Price'!$E$8</f>
        <v>202</v>
      </c>
      <c r="W28" s="199">
        <f>'Meter Hardware Price'!$E$9</f>
        <v>519</v>
      </c>
    </row>
    <row r="29" spans="2:23" ht="16.5" thickBot="1">
      <c r="B29" s="170" t="s">
        <v>548</v>
      </c>
      <c r="E29" s="15">
        <f>'NEW&amp;UPGRADE'!AF9</f>
        <v>84083.482007188752</v>
      </c>
      <c r="F29" s="15">
        <f>'NEW&amp;UPGRADE'!P22</f>
        <v>71899.344297234667</v>
      </c>
      <c r="G29" s="174"/>
      <c r="H29" s="174"/>
      <c r="I29" s="65">
        <f>I28</f>
        <v>469817.13000000006</v>
      </c>
      <c r="J29" s="65">
        <f t="shared" ref="J29:J31" si="8">J$28*F29/(F$29+F$30+F$31)</f>
        <v>1031636.8431870514</v>
      </c>
      <c r="K29" s="65">
        <f>'NEW&amp;UPGRADE'!AF18</f>
        <v>6964026.7376186457</v>
      </c>
      <c r="L29" s="183">
        <f>H29+I29+J29+K29</f>
        <v>8465480.7108056974</v>
      </c>
      <c r="M29" s="174"/>
      <c r="N29" s="174"/>
      <c r="O29" s="177"/>
      <c r="P29" s="160">
        <f>L29-K29</f>
        <v>1501453.9731870517</v>
      </c>
      <c r="Q29" s="198">
        <f>P29/E29</f>
        <v>17.856705471101737</v>
      </c>
      <c r="R29" s="201">
        <f t="shared" ref="R29:W29" si="9">R28+$Q29</f>
        <v>40.356705471101733</v>
      </c>
      <c r="S29" s="202">
        <f t="shared" si="9"/>
        <v>111.60670547110173</v>
      </c>
      <c r="T29" s="203">
        <f t="shared" si="9"/>
        <v>104.35670547110173</v>
      </c>
      <c r="U29" s="204">
        <f t="shared" si="9"/>
        <v>161.5233721377684</v>
      </c>
      <c r="V29" s="205">
        <f t="shared" si="9"/>
        <v>219.85670547110175</v>
      </c>
      <c r="W29" s="206">
        <f t="shared" si="9"/>
        <v>536.85670547110169</v>
      </c>
    </row>
    <row r="30" spans="2:23" ht="15.75">
      <c r="B30" s="168" t="s">
        <v>10</v>
      </c>
      <c r="E30" s="16">
        <f>REPLACEMENT!Y9</f>
        <v>13109.4</v>
      </c>
      <c r="F30" s="16">
        <f>REPLACEMENT!O9</f>
        <v>13109.4</v>
      </c>
      <c r="G30" s="63">
        <f>G$8</f>
        <v>246.42486808698541</v>
      </c>
      <c r="H30" s="66">
        <f>G30*F30</f>
        <v>3230482.1656995267</v>
      </c>
      <c r="I30" s="175"/>
      <c r="J30" s="66">
        <f t="shared" si="8"/>
        <v>188098.23878458492</v>
      </c>
      <c r="K30" s="66">
        <f>REPLACEMENT!Y18</f>
        <v>1617312.0072666667</v>
      </c>
      <c r="L30" s="184">
        <f t="shared" ref="L30:L31" si="10">H30+I30+J30+K30</f>
        <v>5035892.4117507786</v>
      </c>
      <c r="M30" s="184">
        <f>L30/F30</f>
        <v>384.14362303009892</v>
      </c>
      <c r="N30" s="184">
        <f>(L30-K30)/F30</f>
        <v>260.77321650755272</v>
      </c>
      <c r="O30" s="209">
        <f>K30/F30</f>
        <v>123.37040652254618</v>
      </c>
      <c r="P30" s="178"/>
      <c r="Q30" s="179"/>
      <c r="R30" s="200"/>
      <c r="S30" s="200"/>
      <c r="T30" s="200"/>
      <c r="U30" s="200"/>
      <c r="V30" s="200"/>
      <c r="W30" s="200"/>
    </row>
    <row r="31" spans="2:23" ht="15.75">
      <c r="B31" s="169" t="s">
        <v>11</v>
      </c>
      <c r="E31" s="17">
        <f>REPLACEMENT!Y23</f>
        <v>66314.887475758806</v>
      </c>
      <c r="F31" s="17">
        <f>REPLACEMENT!O21</f>
        <v>50000</v>
      </c>
      <c r="G31" s="64">
        <f>G$9</f>
        <v>215.96886808698542</v>
      </c>
      <c r="H31" s="67">
        <f>G31*F31</f>
        <v>10798443.404349271</v>
      </c>
      <c r="I31" s="176"/>
      <c r="J31" s="67">
        <f t="shared" si="8"/>
        <v>717417.4210283648</v>
      </c>
      <c r="K31" s="67">
        <f>REPLACEMENT!Y28</f>
        <v>2035144.0941685834</v>
      </c>
      <c r="L31" s="185">
        <f t="shared" si="10"/>
        <v>13551004.919546219</v>
      </c>
      <c r="M31" s="185">
        <f>L31/F31</f>
        <v>271.02009839092437</v>
      </c>
      <c r="N31" s="185">
        <f>(L31-K31)/F31</f>
        <v>230.3172165075527</v>
      </c>
      <c r="O31" s="210">
        <f>K31/F31</f>
        <v>40.702881883371667</v>
      </c>
      <c r="P31" s="180"/>
      <c r="Q31" s="181"/>
      <c r="R31" s="181"/>
      <c r="S31" s="181"/>
      <c r="T31" s="181"/>
      <c r="U31" s="181"/>
      <c r="V31" s="181"/>
      <c r="W31" s="181"/>
    </row>
    <row r="32" spans="2:23" ht="6" customHeight="1">
      <c r="P32" s="159"/>
    </row>
    <row r="33" spans="2:23" ht="28.5" customHeight="1">
      <c r="E33" s="341" t="s">
        <v>292</v>
      </c>
      <c r="F33" s="342"/>
      <c r="G33" s="342"/>
      <c r="H33" s="342"/>
      <c r="I33" s="342"/>
      <c r="J33" s="342"/>
      <c r="K33" s="342"/>
      <c r="L33" s="342"/>
      <c r="M33" s="342"/>
      <c r="N33" s="342"/>
      <c r="O33" s="342"/>
      <c r="P33" s="342" t="s">
        <v>296</v>
      </c>
      <c r="Q33" s="342"/>
      <c r="R33" s="342"/>
      <c r="S33" s="342"/>
      <c r="T33" s="342"/>
      <c r="U33" s="342"/>
      <c r="V33" s="342"/>
      <c r="W33" s="342"/>
    </row>
    <row r="34" spans="2:23" ht="16.5" thickBot="1">
      <c r="E34" s="18">
        <f>E35+E36+E37</f>
        <v>136485.04322834971</v>
      </c>
      <c r="F34" s="20">
        <f>F35+F36+F37</f>
        <v>110904.0427164768</v>
      </c>
      <c r="G34" s="18"/>
      <c r="H34" s="330">
        <f>H36+H37</f>
        <v>14028925.570048798</v>
      </c>
      <c r="I34" s="109">
        <f>I$6</f>
        <v>469817.13000000006</v>
      </c>
      <c r="J34" s="68">
        <f>J$6</f>
        <v>1937152.503000001</v>
      </c>
      <c r="K34" s="68">
        <f>SUM(K35:K37)</f>
        <v>7462235.8707298562</v>
      </c>
      <c r="L34" s="182">
        <f>SUM(L35:L37)</f>
        <v>23898131.073778652</v>
      </c>
      <c r="M34" s="71"/>
      <c r="N34" s="71"/>
      <c r="O34" s="158"/>
      <c r="P34" s="173" t="s">
        <v>304</v>
      </c>
      <c r="Q34" s="71"/>
      <c r="R34" s="199">
        <f>'Meter Hardware Price'!$E$4</f>
        <v>22.5</v>
      </c>
      <c r="S34" s="199">
        <f>'Meter Hardware Price'!$E$5</f>
        <v>93.75</v>
      </c>
      <c r="T34" s="199">
        <f>'Meter Hardware Price'!$E$6</f>
        <v>86.5</v>
      </c>
      <c r="U34" s="199">
        <f>'Meter Hardware Price'!$E$7</f>
        <v>143.66666666666666</v>
      </c>
      <c r="V34" s="199">
        <f>'Meter Hardware Price'!$E$8</f>
        <v>202</v>
      </c>
      <c r="W34" s="199">
        <f>'Meter Hardware Price'!$E$9</f>
        <v>519</v>
      </c>
    </row>
    <row r="35" spans="2:23" ht="16.5" thickBot="1">
      <c r="B35" s="170" t="s">
        <v>548</v>
      </c>
      <c r="E35" s="15">
        <f>'NEW&amp;UPGRADE'!AG9</f>
        <v>57060.755752590921</v>
      </c>
      <c r="F35" s="15">
        <f>'NEW&amp;UPGRADE'!Q22</f>
        <v>47794.642716476796</v>
      </c>
      <c r="G35" s="174"/>
      <c r="H35" s="174"/>
      <c r="I35" s="65">
        <f>I34</f>
        <v>469817.13000000006</v>
      </c>
      <c r="J35" s="65">
        <f t="shared" ref="J35:J37" si="11">J$34*F35/(F$35+F$36+F$37)</f>
        <v>834825.39951141505</v>
      </c>
      <c r="K35" s="65">
        <f>'NEW&amp;UPGRADE'!AG18</f>
        <v>3809779.7692946056</v>
      </c>
      <c r="L35" s="183">
        <f>H35+I35+J35+K35</f>
        <v>5114422.298806021</v>
      </c>
      <c r="M35" s="174"/>
      <c r="N35" s="174"/>
      <c r="O35" s="177"/>
      <c r="P35" s="160">
        <f>L35-K35</f>
        <v>1304642.5295114154</v>
      </c>
      <c r="Q35" s="198">
        <f>P35/E35</f>
        <v>22.864094810945023</v>
      </c>
      <c r="R35" s="201">
        <f t="shared" ref="R35:W35" si="12">R34+$Q35</f>
        <v>45.364094810945019</v>
      </c>
      <c r="S35" s="202">
        <f t="shared" si="12"/>
        <v>116.61409481094502</v>
      </c>
      <c r="T35" s="203">
        <f t="shared" si="12"/>
        <v>109.36409481094502</v>
      </c>
      <c r="U35" s="204">
        <f t="shared" si="12"/>
        <v>166.53076147761169</v>
      </c>
      <c r="V35" s="205">
        <f t="shared" si="12"/>
        <v>224.86409481094503</v>
      </c>
      <c r="W35" s="206">
        <f t="shared" si="12"/>
        <v>541.86409481094506</v>
      </c>
    </row>
    <row r="36" spans="2:23" ht="15.75">
      <c r="B36" s="168" t="s">
        <v>10</v>
      </c>
      <c r="E36" s="16">
        <f>REPLACEMENT!Z9</f>
        <v>13109.4</v>
      </c>
      <c r="F36" s="16">
        <f>REPLACEMENT!P9</f>
        <v>13109.4</v>
      </c>
      <c r="G36" s="63">
        <f>G$8</f>
        <v>246.42486808698541</v>
      </c>
      <c r="H36" s="66">
        <f>G36*F36</f>
        <v>3230482.1656995267</v>
      </c>
      <c r="I36" s="175"/>
      <c r="J36" s="66">
        <f t="shared" si="11"/>
        <v>228980.8955634702</v>
      </c>
      <c r="K36" s="66">
        <f>REPLACEMENT!Z18</f>
        <v>1617312.0072666667</v>
      </c>
      <c r="L36" s="184">
        <f t="shared" ref="L36:L37" si="13">H36+I36+J36+K36</f>
        <v>5076775.0685296636</v>
      </c>
      <c r="M36" s="184">
        <f>L36/F36</f>
        <v>387.2621987680339</v>
      </c>
      <c r="N36" s="184">
        <f>(L36-K36)/F36</f>
        <v>263.89179224548775</v>
      </c>
      <c r="O36" s="209">
        <f>K36/F36</f>
        <v>123.37040652254618</v>
      </c>
      <c r="P36" s="178"/>
      <c r="Q36" s="179"/>
      <c r="R36" s="200"/>
      <c r="S36" s="200"/>
      <c r="T36" s="200"/>
      <c r="U36" s="200"/>
      <c r="V36" s="200"/>
      <c r="W36" s="200"/>
    </row>
    <row r="37" spans="2:23" ht="15.75">
      <c r="B37" s="169" t="s">
        <v>11</v>
      </c>
      <c r="E37" s="17">
        <f>REPLACEMENT!Z23</f>
        <v>66314.887475758806</v>
      </c>
      <c r="F37" s="17">
        <f>REPLACEMENT!P21</f>
        <v>50000</v>
      </c>
      <c r="G37" s="64">
        <f>G$9</f>
        <v>215.96886808698542</v>
      </c>
      <c r="H37" s="67">
        <f>G37*F37</f>
        <v>10798443.404349271</v>
      </c>
      <c r="I37" s="176"/>
      <c r="J37" s="67">
        <f t="shared" si="11"/>
        <v>873346.20792511548</v>
      </c>
      <c r="K37" s="67">
        <f>REPLACEMENT!Z28</f>
        <v>2035144.0941685834</v>
      </c>
      <c r="L37" s="185">
        <f t="shared" si="13"/>
        <v>13706933.706442969</v>
      </c>
      <c r="M37" s="185">
        <f>L37/F37</f>
        <v>274.13867412885941</v>
      </c>
      <c r="N37" s="185">
        <f>(L37-K37)/F37</f>
        <v>233.43579224548773</v>
      </c>
      <c r="O37" s="210">
        <f>K37/F37</f>
        <v>40.702881883371667</v>
      </c>
      <c r="P37" s="180"/>
      <c r="Q37" s="181"/>
      <c r="R37" s="181"/>
      <c r="S37" s="181"/>
      <c r="T37" s="181"/>
      <c r="U37" s="181"/>
      <c r="V37" s="181"/>
      <c r="W37" s="181"/>
    </row>
    <row r="38" spans="2:23">
      <c r="P38" s="162"/>
    </row>
  </sheetData>
  <mergeCells count="11">
    <mergeCell ref="E5:L5"/>
    <mergeCell ref="P10:W10"/>
    <mergeCell ref="E27:O27"/>
    <mergeCell ref="P27:W27"/>
    <mergeCell ref="E33:O33"/>
    <mergeCell ref="P33:W33"/>
    <mergeCell ref="E15:O15"/>
    <mergeCell ref="P15:W15"/>
    <mergeCell ref="E21:O21"/>
    <mergeCell ref="P21:W21"/>
    <mergeCell ref="G12:J12"/>
  </mergeCells>
  <pageMargins left="0.31496062992125984" right="0.31496062992125984" top="0.74803149606299213" bottom="0.74803149606299213" header="0.31496062992125984" footer="0.31496062992125984"/>
  <pageSetup paperSize="8" scale="73" orientation="landscape" r:id="rId1"/>
  <headerFooter>
    <oddHeader>&amp;A</oddHeader>
    <oddFooter>&amp;F</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B1:O38"/>
  <sheetViews>
    <sheetView zoomScale="115" zoomScaleNormal="115" workbookViewId="0">
      <selection activeCell="H33" sqref="H33"/>
    </sheetView>
  </sheetViews>
  <sheetFormatPr defaultRowHeight="12.75"/>
  <cols>
    <col min="1" max="1" width="4.28515625" style="285" customWidth="1"/>
    <col min="2" max="2" width="28.5703125" style="285" bestFit="1" customWidth="1"/>
    <col min="3" max="3" width="16.140625" style="285" customWidth="1"/>
    <col min="4" max="4" width="16.28515625" style="285" customWidth="1"/>
    <col min="5" max="5" width="17.140625" style="285" bestFit="1" customWidth="1"/>
    <col min="6" max="6" width="4.42578125" style="285" customWidth="1"/>
    <col min="7" max="12" width="8.7109375" style="285" customWidth="1"/>
    <col min="13" max="13" width="9.140625" style="285" customWidth="1"/>
    <col min="14" max="14" width="9.140625" style="285"/>
    <col min="15" max="15" width="16.42578125" style="285" customWidth="1"/>
    <col min="16" max="16384" width="9.140625" style="285"/>
  </cols>
  <sheetData>
    <row r="1" spans="2:15" ht="6" customHeight="1"/>
    <row r="2" spans="2:15" ht="38.25">
      <c r="B2" s="125" t="s">
        <v>255</v>
      </c>
      <c r="C2" s="126" t="s">
        <v>256</v>
      </c>
      <c r="D2" s="127" t="s">
        <v>257</v>
      </c>
      <c r="E2" s="127" t="s">
        <v>258</v>
      </c>
      <c r="F2" s="128"/>
      <c r="G2" s="129" t="s">
        <v>224</v>
      </c>
      <c r="H2" s="130" t="s">
        <v>225</v>
      </c>
      <c r="I2" s="131" t="s">
        <v>226</v>
      </c>
      <c r="J2" s="132" t="s">
        <v>227</v>
      </c>
      <c r="K2" s="132" t="s">
        <v>228</v>
      </c>
      <c r="M2" s="133" t="s">
        <v>259</v>
      </c>
      <c r="N2" s="133" t="s">
        <v>260</v>
      </c>
      <c r="O2" s="133" t="s">
        <v>261</v>
      </c>
    </row>
    <row r="3" spans="2:15">
      <c r="B3" s="134" t="s">
        <v>262</v>
      </c>
      <c r="C3" s="135">
        <v>0.6</v>
      </c>
      <c r="D3" s="126" t="s">
        <v>226</v>
      </c>
      <c r="E3" s="126" t="s">
        <v>224</v>
      </c>
      <c r="F3" s="136"/>
      <c r="G3" s="137">
        <f>C3</f>
        <v>0.6</v>
      </c>
      <c r="H3" s="138">
        <v>0</v>
      </c>
      <c r="I3" s="139">
        <f>C3</f>
        <v>0.6</v>
      </c>
      <c r="J3" s="137">
        <v>0</v>
      </c>
      <c r="K3" s="137">
        <v>0</v>
      </c>
      <c r="M3" s="137">
        <f>(1*C3)+(1*C4)+(1*C5)+(2*C6)</f>
        <v>1.05</v>
      </c>
      <c r="N3" s="137">
        <f>(1*C3)+(2*C4)+(1*C5)+(2*C6)</f>
        <v>1.1000000000000001</v>
      </c>
      <c r="O3" s="347">
        <f>(M3*M4)+(N3*N4)</f>
        <v>1.0950000000000002</v>
      </c>
    </row>
    <row r="4" spans="2:15">
      <c r="B4" s="134" t="s">
        <v>263</v>
      </c>
      <c r="C4" s="135">
        <v>0.05</v>
      </c>
      <c r="D4" s="126" t="s">
        <v>227</v>
      </c>
      <c r="E4" s="126" t="s">
        <v>264</v>
      </c>
      <c r="F4" s="136"/>
      <c r="G4" s="137">
        <f>2*C4</f>
        <v>0.1</v>
      </c>
      <c r="H4" s="138">
        <v>0</v>
      </c>
      <c r="I4" s="139">
        <v>0</v>
      </c>
      <c r="J4" s="137">
        <f>C4</f>
        <v>0.05</v>
      </c>
      <c r="K4" s="137">
        <v>0</v>
      </c>
      <c r="M4" s="140">
        <v>0.1</v>
      </c>
      <c r="N4" s="140">
        <v>0.9</v>
      </c>
      <c r="O4" s="348"/>
    </row>
    <row r="5" spans="2:15">
      <c r="B5" s="134" t="s">
        <v>265</v>
      </c>
      <c r="C5" s="135">
        <v>0.3</v>
      </c>
      <c r="D5" s="126" t="s">
        <v>228</v>
      </c>
      <c r="E5" s="126" t="s">
        <v>225</v>
      </c>
      <c r="F5" s="136"/>
      <c r="G5" s="137">
        <v>0</v>
      </c>
      <c r="H5" s="138">
        <f>C5</f>
        <v>0.3</v>
      </c>
      <c r="I5" s="139">
        <v>0</v>
      </c>
      <c r="J5" s="137">
        <v>0</v>
      </c>
      <c r="K5" s="137">
        <f>C5</f>
        <v>0.3</v>
      </c>
    </row>
    <row r="6" spans="2:15">
      <c r="B6" s="134" t="s">
        <v>266</v>
      </c>
      <c r="C6" s="135">
        <v>0.05</v>
      </c>
      <c r="D6" s="126" t="s">
        <v>267</v>
      </c>
      <c r="E6" s="126" t="s">
        <v>268</v>
      </c>
      <c r="F6" s="136"/>
      <c r="G6" s="137">
        <f>C6</f>
        <v>0.05</v>
      </c>
      <c r="H6" s="138">
        <f>C6</f>
        <v>0.05</v>
      </c>
      <c r="I6" s="139">
        <f>C6</f>
        <v>0.05</v>
      </c>
      <c r="J6" s="137">
        <v>0</v>
      </c>
      <c r="K6" s="137">
        <f>C6</f>
        <v>0.05</v>
      </c>
    </row>
    <row r="7" spans="2:15">
      <c r="B7" s="128"/>
      <c r="C7" s="128"/>
      <c r="D7" s="128"/>
      <c r="E7" s="128"/>
      <c r="F7" s="128"/>
      <c r="G7" s="141">
        <f>SUM(G3:G6)</f>
        <v>0.75</v>
      </c>
      <c r="H7" s="142">
        <f>SUM(H3:H6)</f>
        <v>0.35</v>
      </c>
      <c r="I7" s="143">
        <f>SUM(I3:I6)</f>
        <v>0.65</v>
      </c>
      <c r="J7" s="141">
        <f t="shared" ref="J7:K7" si="0">SUM(J3:J6)</f>
        <v>0.05</v>
      </c>
      <c r="K7" s="141">
        <f t="shared" si="0"/>
        <v>0.35</v>
      </c>
    </row>
    <row r="8" spans="2:15" ht="6.75" customHeight="1">
      <c r="B8" s="128"/>
      <c r="C8" s="128"/>
      <c r="D8" s="128"/>
      <c r="E8" s="128"/>
      <c r="F8" s="128"/>
    </row>
    <row r="9" spans="2:15" ht="38.25">
      <c r="B9" s="144" t="s">
        <v>269</v>
      </c>
      <c r="C9" s="126" t="s">
        <v>256</v>
      </c>
      <c r="D9" s="127" t="s">
        <v>257</v>
      </c>
      <c r="E9" s="127" t="s">
        <v>258</v>
      </c>
      <c r="F9" s="128"/>
      <c r="G9" s="129" t="s">
        <v>224</v>
      </c>
      <c r="H9" s="130" t="s">
        <v>225</v>
      </c>
      <c r="I9" s="131" t="s">
        <v>226</v>
      </c>
      <c r="J9" s="132" t="s">
        <v>227</v>
      </c>
      <c r="K9" s="132" t="s">
        <v>228</v>
      </c>
      <c r="M9" s="145" t="s">
        <v>259</v>
      </c>
      <c r="N9" s="145" t="s">
        <v>260</v>
      </c>
      <c r="O9" s="145" t="s">
        <v>261</v>
      </c>
    </row>
    <row r="10" spans="2:15">
      <c r="B10" s="134" t="s">
        <v>262</v>
      </c>
      <c r="C10" s="146">
        <f>E33</f>
        <v>0.52</v>
      </c>
      <c r="D10" s="126" t="s">
        <v>226</v>
      </c>
      <c r="E10" s="126" t="s">
        <v>224</v>
      </c>
      <c r="F10" s="128"/>
      <c r="G10" s="137">
        <f>C10</f>
        <v>0.52</v>
      </c>
      <c r="H10" s="138">
        <v>0</v>
      </c>
      <c r="I10" s="139">
        <f>C10</f>
        <v>0.52</v>
      </c>
      <c r="J10" s="137">
        <v>0</v>
      </c>
      <c r="K10" s="137">
        <f>0</f>
        <v>0</v>
      </c>
      <c r="M10" s="137">
        <f>(1*C10)+(1*C11)+(1*C12)+(2*C13)</f>
        <v>1.1100000000000001</v>
      </c>
      <c r="N10" s="137">
        <f>(1*C10)+(2*C11)+(1*C12)+(2*C13)</f>
        <v>1.3299999999999998</v>
      </c>
      <c r="O10" s="347">
        <f>(M10*M11)+(N10*N11)</f>
        <v>1.3079999999999998</v>
      </c>
    </row>
    <row r="11" spans="2:15">
      <c r="B11" s="134" t="s">
        <v>263</v>
      </c>
      <c r="C11" s="146">
        <f>E34</f>
        <v>0.22</v>
      </c>
      <c r="D11" s="126" t="s">
        <v>227</v>
      </c>
      <c r="E11" s="126" t="s">
        <v>264</v>
      </c>
      <c r="F11" s="128"/>
      <c r="G11" s="137">
        <f>2*C11</f>
        <v>0.44</v>
      </c>
      <c r="H11" s="138">
        <v>0</v>
      </c>
      <c r="I11" s="139">
        <f>0</f>
        <v>0</v>
      </c>
      <c r="J11" s="137">
        <f>C11</f>
        <v>0.22</v>
      </c>
      <c r="K11" s="137">
        <v>0</v>
      </c>
      <c r="M11" s="140">
        <v>0.1</v>
      </c>
      <c r="N11" s="140">
        <v>0.9</v>
      </c>
      <c r="O11" s="348"/>
    </row>
    <row r="12" spans="2:15">
      <c r="B12" s="134" t="s">
        <v>265</v>
      </c>
      <c r="C12" s="146">
        <f>E35</f>
        <v>0.15000000000000002</v>
      </c>
      <c r="D12" s="126" t="s">
        <v>228</v>
      </c>
      <c r="E12" s="126" t="s">
        <v>225</v>
      </c>
      <c r="F12" s="128"/>
      <c r="G12" s="137">
        <f>0</f>
        <v>0</v>
      </c>
      <c r="H12" s="138">
        <f>C12</f>
        <v>0.15000000000000002</v>
      </c>
      <c r="I12" s="139">
        <f>0</f>
        <v>0</v>
      </c>
      <c r="J12" s="137">
        <v>0</v>
      </c>
      <c r="K12" s="137">
        <f>C12</f>
        <v>0.15000000000000002</v>
      </c>
    </row>
    <row r="13" spans="2:15">
      <c r="B13" s="134" t="s">
        <v>266</v>
      </c>
      <c r="C13" s="146">
        <f>E36</f>
        <v>0.11</v>
      </c>
      <c r="D13" s="126" t="s">
        <v>267</v>
      </c>
      <c r="E13" s="147" t="s">
        <v>268</v>
      </c>
      <c r="F13" s="128"/>
      <c r="G13" s="137">
        <f>C13</f>
        <v>0.11</v>
      </c>
      <c r="H13" s="138">
        <f>C13</f>
        <v>0.11</v>
      </c>
      <c r="I13" s="139">
        <f>C13</f>
        <v>0.11</v>
      </c>
      <c r="J13" s="137">
        <v>0</v>
      </c>
      <c r="K13" s="137">
        <f>C13</f>
        <v>0.11</v>
      </c>
    </row>
    <row r="14" spans="2:15">
      <c r="B14" s="128"/>
      <c r="C14" s="128"/>
      <c r="D14" s="128"/>
      <c r="E14" s="128"/>
      <c r="F14" s="128"/>
      <c r="G14" s="141">
        <f>SUM(G10:G13)</f>
        <v>1.07</v>
      </c>
      <c r="H14" s="142">
        <f t="shared" ref="H14:K14" si="1">SUM(H10:H13)</f>
        <v>0.26</v>
      </c>
      <c r="I14" s="143">
        <f t="shared" si="1"/>
        <v>0.63</v>
      </c>
      <c r="J14" s="141">
        <f t="shared" si="1"/>
        <v>0.22</v>
      </c>
      <c r="K14" s="141">
        <f t="shared" si="1"/>
        <v>0.26</v>
      </c>
    </row>
    <row r="15" spans="2:15" ht="6.75" customHeight="1">
      <c r="B15" s="128"/>
      <c r="C15" s="128"/>
      <c r="D15" s="128"/>
      <c r="E15" s="128"/>
      <c r="F15" s="128"/>
    </row>
    <row r="16" spans="2:15" ht="25.5">
      <c r="B16" s="148" t="s">
        <v>270</v>
      </c>
      <c r="C16" s="126" t="s">
        <v>256</v>
      </c>
      <c r="D16" s="127" t="s">
        <v>259</v>
      </c>
      <c r="E16" s="127" t="s">
        <v>260</v>
      </c>
      <c r="F16" s="128"/>
      <c r="G16" s="129" t="s">
        <v>224</v>
      </c>
      <c r="H16" s="130" t="s">
        <v>225</v>
      </c>
      <c r="I16" s="131" t="s">
        <v>226</v>
      </c>
      <c r="J16" s="132" t="s">
        <v>227</v>
      </c>
      <c r="K16" s="132" t="s">
        <v>228</v>
      </c>
      <c r="L16" s="132" t="s">
        <v>229</v>
      </c>
    </row>
    <row r="17" spans="2:12">
      <c r="B17" s="134" t="s">
        <v>262</v>
      </c>
      <c r="C17" s="146">
        <v>0.44</v>
      </c>
      <c r="D17" s="126" t="s">
        <v>226</v>
      </c>
      <c r="E17" s="127" t="s">
        <v>224</v>
      </c>
      <c r="F17" s="128"/>
      <c r="G17" s="137">
        <f>C17</f>
        <v>0.44</v>
      </c>
      <c r="H17" s="138">
        <v>0</v>
      </c>
      <c r="I17" s="139">
        <f>C17</f>
        <v>0.44</v>
      </c>
      <c r="J17" s="137">
        <v>0</v>
      </c>
      <c r="K17" s="137">
        <v>0</v>
      </c>
      <c r="L17" s="137">
        <v>0</v>
      </c>
    </row>
    <row r="18" spans="2:12">
      <c r="B18" s="134" t="s">
        <v>263</v>
      </c>
      <c r="C18" s="146">
        <v>0.2</v>
      </c>
      <c r="D18" s="126" t="s">
        <v>227</v>
      </c>
      <c r="E18" s="149" t="s">
        <v>224</v>
      </c>
      <c r="F18" s="128"/>
      <c r="G18" s="137">
        <f>C18</f>
        <v>0.2</v>
      </c>
      <c r="H18" s="138">
        <v>0</v>
      </c>
      <c r="I18" s="139">
        <v>0</v>
      </c>
      <c r="J18" s="137">
        <f>C18</f>
        <v>0.2</v>
      </c>
      <c r="K18" s="137">
        <v>0</v>
      </c>
      <c r="L18" s="137">
        <v>0</v>
      </c>
    </row>
    <row r="19" spans="2:12">
      <c r="B19" s="134" t="s">
        <v>271</v>
      </c>
      <c r="C19" s="146">
        <v>0.1</v>
      </c>
      <c r="D19" s="126" t="s">
        <v>228</v>
      </c>
      <c r="E19" s="150" t="s">
        <v>225</v>
      </c>
      <c r="F19" s="128"/>
      <c r="G19" s="137">
        <v>0</v>
      </c>
      <c r="H19" s="138">
        <f>C19</f>
        <v>0.1</v>
      </c>
      <c r="I19" s="139">
        <v>0</v>
      </c>
      <c r="J19" s="137">
        <v>0</v>
      </c>
      <c r="K19" s="137">
        <f>C19</f>
        <v>0.1</v>
      </c>
      <c r="L19" s="137">
        <v>0</v>
      </c>
    </row>
    <row r="20" spans="2:12">
      <c r="B20" s="134" t="s">
        <v>265</v>
      </c>
      <c r="C20" s="146">
        <v>0.19</v>
      </c>
      <c r="D20" s="126" t="s">
        <v>228</v>
      </c>
      <c r="E20" s="149" t="s">
        <v>225</v>
      </c>
      <c r="F20" s="128"/>
      <c r="G20" s="137">
        <f>0</f>
        <v>0</v>
      </c>
      <c r="H20" s="138">
        <f>C20</f>
        <v>0.19</v>
      </c>
      <c r="I20" s="139">
        <v>0</v>
      </c>
      <c r="J20" s="137">
        <v>0</v>
      </c>
      <c r="K20" s="137">
        <f>C20</f>
        <v>0.19</v>
      </c>
      <c r="L20" s="137">
        <v>0</v>
      </c>
    </row>
    <row r="21" spans="2:12">
      <c r="B21" s="134" t="s">
        <v>266</v>
      </c>
      <c r="C21" s="151">
        <v>6.8000000000000005E-2</v>
      </c>
      <c r="D21" s="126" t="s">
        <v>272</v>
      </c>
      <c r="E21" s="150" t="s">
        <v>273</v>
      </c>
      <c r="F21" s="128"/>
      <c r="G21" s="137">
        <f>0.5*C21</f>
        <v>3.4000000000000002E-2</v>
      </c>
      <c r="H21" s="138">
        <f>0.5*C21</f>
        <v>3.4000000000000002E-2</v>
      </c>
      <c r="I21" s="139">
        <f>0.5*C21</f>
        <v>3.4000000000000002E-2</v>
      </c>
      <c r="J21" s="137">
        <v>0</v>
      </c>
      <c r="K21" s="137">
        <f>0.5*C21</f>
        <v>3.4000000000000002E-2</v>
      </c>
      <c r="L21" s="137">
        <v>0</v>
      </c>
    </row>
    <row r="22" spans="2:12">
      <c r="B22" s="134" t="s">
        <v>274</v>
      </c>
      <c r="C22" s="151">
        <v>2E-3</v>
      </c>
      <c r="D22" s="126" t="s">
        <v>229</v>
      </c>
      <c r="E22" s="150" t="s">
        <v>206</v>
      </c>
      <c r="F22" s="128"/>
      <c r="G22" s="137">
        <v>0</v>
      </c>
      <c r="H22" s="138">
        <v>0</v>
      </c>
      <c r="I22" s="139">
        <v>0</v>
      </c>
      <c r="J22" s="137">
        <v>0</v>
      </c>
      <c r="K22" s="137">
        <v>0</v>
      </c>
      <c r="L22" s="137">
        <f>1*C22</f>
        <v>2E-3</v>
      </c>
    </row>
    <row r="23" spans="2:12">
      <c r="C23" s="286"/>
      <c r="G23" s="141">
        <f>SUM(G17:G21)+C22</f>
        <v>0.67600000000000005</v>
      </c>
      <c r="H23" s="142">
        <f>SUM(H17:H22)</f>
        <v>0.32400000000000007</v>
      </c>
      <c r="I23" s="143">
        <f>SUM(I17:I22)</f>
        <v>0.47399999999999998</v>
      </c>
      <c r="J23" s="141">
        <f>SUM(J17:J22)</f>
        <v>0.2</v>
      </c>
      <c r="K23" s="141">
        <f>SUM(K17:K22)</f>
        <v>0.32400000000000007</v>
      </c>
      <c r="L23" s="141">
        <f>SUM(L17:L22)</f>
        <v>2E-3</v>
      </c>
    </row>
    <row r="24" spans="2:12" ht="15" customHeight="1">
      <c r="B24" s="152" t="s">
        <v>11</v>
      </c>
      <c r="C24" s="152" t="s">
        <v>275</v>
      </c>
      <c r="D24" s="152" t="s">
        <v>276</v>
      </c>
    </row>
    <row r="25" spans="2:12">
      <c r="B25" s="126" t="s">
        <v>252</v>
      </c>
      <c r="C25" s="153">
        <f>'Projected Proactive Replacement'!F38</f>
        <v>231183</v>
      </c>
      <c r="D25" s="349" t="s">
        <v>224</v>
      </c>
      <c r="E25" s="351">
        <f>(C25+C26)/$C$28</f>
        <v>1.1738601001217697</v>
      </c>
      <c r="F25" s="345" t="s">
        <v>277</v>
      </c>
      <c r="G25" s="346"/>
      <c r="H25" s="346"/>
      <c r="I25" s="346"/>
      <c r="J25" s="346"/>
      <c r="K25" s="346"/>
      <c r="L25" s="346"/>
    </row>
    <row r="26" spans="2:12">
      <c r="B26" s="146" t="s">
        <v>253</v>
      </c>
      <c r="C26" s="153">
        <f>'Projected Proactive Replacement'!F39</f>
        <v>3069</v>
      </c>
      <c r="D26" s="350"/>
      <c r="E26" s="352"/>
      <c r="F26" s="345" t="s">
        <v>277</v>
      </c>
      <c r="G26" s="346"/>
      <c r="H26" s="346"/>
      <c r="I26" s="346"/>
      <c r="J26" s="346"/>
      <c r="K26" s="346"/>
      <c r="L26" s="346"/>
    </row>
    <row r="27" spans="2:12">
      <c r="B27" s="155" t="s">
        <v>254</v>
      </c>
      <c r="C27" s="153">
        <f>'Projected Proactive Replacement'!F40</f>
        <v>30420</v>
      </c>
      <c r="D27" s="154" t="s">
        <v>225</v>
      </c>
      <c r="E27" s="273">
        <f>C27/$C$28</f>
        <v>0.1524376493934064</v>
      </c>
      <c r="F27" s="345" t="s">
        <v>277</v>
      </c>
      <c r="G27" s="346"/>
      <c r="H27" s="346"/>
      <c r="I27" s="346"/>
      <c r="J27" s="346"/>
      <c r="K27" s="346"/>
      <c r="L27" s="346"/>
    </row>
    <row r="28" spans="2:12">
      <c r="B28" s="146" t="s">
        <v>278</v>
      </c>
      <c r="C28" s="450">
        <f>'Projected Proactive Replacement'!B38</f>
        <v>199557</v>
      </c>
      <c r="D28" s="450"/>
      <c r="E28" s="451" t="s">
        <v>518</v>
      </c>
      <c r="F28" s="452"/>
      <c r="G28" s="452"/>
      <c r="H28" s="452"/>
      <c r="I28" s="452"/>
      <c r="J28" s="452"/>
      <c r="K28" s="452"/>
      <c r="L28" s="453"/>
    </row>
    <row r="29" spans="2:12">
      <c r="B29" s="146" t="s">
        <v>279</v>
      </c>
      <c r="C29" s="344">
        <v>347014</v>
      </c>
      <c r="D29" s="344"/>
      <c r="E29" s="274">
        <f>C29/C28</f>
        <v>1.7389217115911744</v>
      </c>
      <c r="F29" s="345" t="s">
        <v>280</v>
      </c>
      <c r="G29" s="346"/>
      <c r="H29" s="346"/>
      <c r="I29" s="346"/>
      <c r="J29" s="346"/>
      <c r="K29" s="346"/>
      <c r="L29" s="346"/>
    </row>
    <row r="30" spans="2:12">
      <c r="B30" s="146" t="s">
        <v>281</v>
      </c>
      <c r="C30" s="344">
        <f>C25+C26+C27</f>
        <v>264672</v>
      </c>
      <c r="D30" s="344"/>
      <c r="E30" s="141">
        <f>C30/C28</f>
        <v>1.3262977495151762</v>
      </c>
      <c r="F30" s="345" t="s">
        <v>282</v>
      </c>
      <c r="G30" s="346"/>
      <c r="H30" s="346"/>
      <c r="I30" s="346"/>
      <c r="J30" s="346"/>
      <c r="K30" s="346"/>
      <c r="L30" s="346"/>
    </row>
    <row r="31" spans="2:12" ht="9" customHeight="1"/>
    <row r="32" spans="2:12">
      <c r="B32" s="354" t="s">
        <v>328</v>
      </c>
      <c r="C32" s="354"/>
      <c r="D32" s="287" t="s">
        <v>323</v>
      </c>
      <c r="E32" s="287" t="s">
        <v>329</v>
      </c>
    </row>
    <row r="33" spans="2:5">
      <c r="B33" s="353" t="s">
        <v>262</v>
      </c>
      <c r="C33" s="353"/>
      <c r="D33" s="288">
        <v>0.51</v>
      </c>
      <c r="E33" s="288">
        <f>D33+1%</f>
        <v>0.52</v>
      </c>
    </row>
    <row r="34" spans="2:5">
      <c r="B34" s="353" t="s">
        <v>324</v>
      </c>
      <c r="C34" s="353"/>
      <c r="D34" s="288">
        <v>0.21</v>
      </c>
      <c r="E34" s="288">
        <f>D34+1%</f>
        <v>0.22</v>
      </c>
    </row>
    <row r="35" spans="2:5">
      <c r="B35" s="353" t="s">
        <v>265</v>
      </c>
      <c r="C35" s="353"/>
      <c r="D35" s="288">
        <v>0.14000000000000001</v>
      </c>
      <c r="E35" s="288">
        <f>D35+1%</f>
        <v>0.15000000000000002</v>
      </c>
    </row>
    <row r="36" spans="2:5">
      <c r="B36" s="353" t="s">
        <v>325</v>
      </c>
      <c r="C36" s="353"/>
      <c r="D36" s="288">
        <v>0.05</v>
      </c>
      <c r="E36" s="288">
        <f>D36+D37+2%</f>
        <v>0.11</v>
      </c>
    </row>
    <row r="37" spans="2:5">
      <c r="B37" s="353" t="s">
        <v>326</v>
      </c>
      <c r="C37" s="353"/>
      <c r="D37" s="288">
        <v>0.04</v>
      </c>
      <c r="E37" s="289"/>
    </row>
    <row r="38" spans="2:5">
      <c r="B38" s="353" t="s">
        <v>327</v>
      </c>
      <c r="C38" s="353"/>
      <c r="D38" s="288">
        <v>0.05</v>
      </c>
      <c r="E38" s="289"/>
    </row>
  </sheetData>
  <mergeCells count="20">
    <mergeCell ref="B37:C37"/>
    <mergeCell ref="B38:C38"/>
    <mergeCell ref="B32:C32"/>
    <mergeCell ref="B33:C33"/>
    <mergeCell ref="B34:C34"/>
    <mergeCell ref="B35:C35"/>
    <mergeCell ref="B36:C36"/>
    <mergeCell ref="C29:D29"/>
    <mergeCell ref="F29:L29"/>
    <mergeCell ref="C30:D30"/>
    <mergeCell ref="F30:L30"/>
    <mergeCell ref="O3:O4"/>
    <mergeCell ref="O10:O11"/>
    <mergeCell ref="F25:L25"/>
    <mergeCell ref="F26:L26"/>
    <mergeCell ref="F27:L27"/>
    <mergeCell ref="C28:D28"/>
    <mergeCell ref="E28:L28"/>
    <mergeCell ref="D25:D26"/>
    <mergeCell ref="E25:E26"/>
  </mergeCells>
  <pageMargins left="0.70866141732283472" right="0.70866141732283472" top="0.74803149606299213" bottom="0.74803149606299213" header="0.31496062992125984" footer="0.31496062992125984"/>
  <pageSetup paperSize="9" scale="77" orientation="landscape" verticalDpi="0" r:id="rId1"/>
</worksheet>
</file>

<file path=xl/worksheets/sheet4.xml><?xml version="1.0" encoding="utf-8"?>
<worksheet xmlns="http://schemas.openxmlformats.org/spreadsheetml/2006/main" xmlns:r="http://schemas.openxmlformats.org/officeDocument/2006/relationships">
  <dimension ref="B2:E11"/>
  <sheetViews>
    <sheetView zoomScale="130" zoomScaleNormal="130" workbookViewId="0">
      <selection activeCell="D19" sqref="D19"/>
    </sheetView>
  </sheetViews>
  <sheetFormatPr defaultRowHeight="15"/>
  <cols>
    <col min="1" max="1" width="5.140625" customWidth="1"/>
    <col min="2" max="2" width="11.5703125" bestFit="1" customWidth="1"/>
    <col min="3" max="3" width="11.28515625" bestFit="1" customWidth="1"/>
    <col min="4" max="4" width="51.5703125" customWidth="1"/>
    <col min="5" max="5" width="15" customWidth="1"/>
    <col min="6" max="8" width="2.7109375" customWidth="1"/>
    <col min="11" max="11" width="10.5703125" bestFit="1" customWidth="1"/>
    <col min="12" max="12" width="11.42578125" customWidth="1"/>
    <col min="13" max="13" width="52.140625" customWidth="1"/>
  </cols>
  <sheetData>
    <row r="2" spans="2:5" ht="31.5" customHeight="1">
      <c r="B2" s="454" t="s">
        <v>283</v>
      </c>
      <c r="C2" s="455"/>
      <c r="D2" s="455"/>
      <c r="E2" s="456"/>
    </row>
    <row r="3" spans="2:5" ht="32.25" customHeight="1">
      <c r="B3" s="457" t="s">
        <v>560</v>
      </c>
      <c r="C3" s="457" t="s">
        <v>561</v>
      </c>
      <c r="D3" s="458" t="s">
        <v>13</v>
      </c>
      <c r="E3" s="457" t="s">
        <v>569</v>
      </c>
    </row>
    <row r="4" spans="2:5">
      <c r="B4" s="459" t="s">
        <v>224</v>
      </c>
      <c r="C4" s="460" t="s">
        <v>562</v>
      </c>
      <c r="D4" s="461" t="s">
        <v>563</v>
      </c>
      <c r="E4" s="462">
        <v>22.5</v>
      </c>
    </row>
    <row r="5" spans="2:5">
      <c r="B5" s="459" t="s">
        <v>225</v>
      </c>
      <c r="C5" s="460" t="s">
        <v>562</v>
      </c>
      <c r="D5" s="461" t="s">
        <v>564</v>
      </c>
      <c r="E5" s="462">
        <v>93.75</v>
      </c>
    </row>
    <row r="6" spans="2:5">
      <c r="B6" s="459" t="s">
        <v>226</v>
      </c>
      <c r="C6" s="460" t="s">
        <v>566</v>
      </c>
      <c r="D6" s="463" t="s">
        <v>565</v>
      </c>
      <c r="E6" s="462">
        <v>86.5</v>
      </c>
    </row>
    <row r="7" spans="2:5" ht="18" customHeight="1">
      <c r="B7" s="459" t="s">
        <v>227</v>
      </c>
      <c r="C7" s="460" t="s">
        <v>566</v>
      </c>
      <c r="D7" s="463" t="s">
        <v>567</v>
      </c>
      <c r="E7" s="462">
        <v>143.66666666666666</v>
      </c>
    </row>
    <row r="8" spans="2:5">
      <c r="B8" s="459" t="s">
        <v>228</v>
      </c>
      <c r="C8" s="460" t="s">
        <v>566</v>
      </c>
      <c r="D8" s="463" t="s">
        <v>570</v>
      </c>
      <c r="E8" s="462">
        <v>202</v>
      </c>
    </row>
    <row r="9" spans="2:5" ht="17.25" customHeight="1">
      <c r="B9" s="459" t="s">
        <v>229</v>
      </c>
      <c r="C9" s="460" t="s">
        <v>566</v>
      </c>
      <c r="D9" s="463" t="s">
        <v>568</v>
      </c>
      <c r="E9" s="462">
        <v>519</v>
      </c>
    </row>
    <row r="11" spans="2:5" ht="15" customHeight="1"/>
  </sheetData>
  <mergeCells count="1">
    <mergeCell ref="B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B1:AH32"/>
  <sheetViews>
    <sheetView zoomScale="85" zoomScaleNormal="85" workbookViewId="0">
      <selection activeCell="O19" sqref="O19:O21"/>
    </sheetView>
  </sheetViews>
  <sheetFormatPr defaultRowHeight="15"/>
  <cols>
    <col min="1" max="1" width="2.42578125" customWidth="1"/>
    <col min="2" max="2" width="11.28515625" bestFit="1" customWidth="1"/>
    <col min="3" max="3" width="23.28515625" customWidth="1"/>
    <col min="4" max="4" width="11.140625" customWidth="1"/>
    <col min="5" max="11" width="7.5703125" customWidth="1"/>
    <col min="12" max="12" width="27.140625" customWidth="1"/>
    <col min="13" max="17" width="6.85546875" customWidth="1"/>
    <col min="18" max="18" width="7.85546875" bestFit="1" customWidth="1"/>
    <col min="19" max="26" width="8.7109375" style="110" customWidth="1"/>
    <col min="27" max="27" width="2.42578125" style="110" customWidth="1"/>
    <col min="28" max="28" width="11.140625" style="110" bestFit="1" customWidth="1"/>
    <col min="29" max="33" width="9.85546875" style="110" bestFit="1" customWidth="1"/>
    <col min="34" max="34" width="7.28515625" style="110" bestFit="1" customWidth="1"/>
    <col min="35" max="35" width="9.7109375" bestFit="1" customWidth="1"/>
  </cols>
  <sheetData>
    <row r="1" spans="2:34">
      <c r="T1" s="106"/>
      <c r="U1" s="106"/>
      <c r="V1" s="106"/>
      <c r="W1" s="106"/>
      <c r="X1" s="106"/>
      <c r="Y1" s="106"/>
      <c r="Z1" s="106"/>
      <c r="AA1" s="106"/>
      <c r="AB1" s="106"/>
      <c r="AC1" s="106"/>
      <c r="AD1" s="106"/>
      <c r="AE1" s="106"/>
      <c r="AF1" s="106"/>
      <c r="AG1" s="106"/>
      <c r="AH1" s="106"/>
    </row>
    <row r="2" spans="2:34" ht="38.25">
      <c r="B2" s="99" t="s">
        <v>12</v>
      </c>
      <c r="C2" s="99" t="s">
        <v>13</v>
      </c>
      <c r="D2" s="100" t="s">
        <v>4</v>
      </c>
      <c r="E2" s="266" t="s">
        <v>318</v>
      </c>
      <c r="F2" s="266" t="s">
        <v>317</v>
      </c>
      <c r="G2" s="266" t="s">
        <v>316</v>
      </c>
      <c r="H2" s="266" t="s">
        <v>315</v>
      </c>
      <c r="I2" s="321" t="s">
        <v>542</v>
      </c>
      <c r="J2" s="317" t="s">
        <v>543</v>
      </c>
      <c r="K2" s="266" t="s">
        <v>322</v>
      </c>
      <c r="L2" s="100" t="s">
        <v>305</v>
      </c>
      <c r="M2" s="3" t="s">
        <v>14</v>
      </c>
      <c r="N2" s="3" t="s">
        <v>15</v>
      </c>
      <c r="O2" s="3" t="s">
        <v>16</v>
      </c>
      <c r="P2" s="3" t="s">
        <v>17</v>
      </c>
      <c r="Q2" s="3" t="s">
        <v>18</v>
      </c>
      <c r="R2" s="3" t="s">
        <v>230</v>
      </c>
      <c r="S2" s="395" t="s">
        <v>240</v>
      </c>
      <c r="T2" s="395"/>
      <c r="U2" s="3" t="s">
        <v>241</v>
      </c>
      <c r="V2" s="3" t="s">
        <v>242</v>
      </c>
      <c r="W2" s="3" t="s">
        <v>243</v>
      </c>
      <c r="X2" s="3" t="s">
        <v>244</v>
      </c>
      <c r="Y2" s="3" t="s">
        <v>245</v>
      </c>
      <c r="Z2" s="3" t="s">
        <v>221</v>
      </c>
      <c r="AA2" s="106"/>
      <c r="AB2" s="111" t="s">
        <v>298</v>
      </c>
      <c r="AC2" s="112" t="s">
        <v>241</v>
      </c>
      <c r="AD2" s="112" t="s">
        <v>242</v>
      </c>
      <c r="AE2" s="112" t="s">
        <v>243</v>
      </c>
      <c r="AF2" s="112" t="s">
        <v>244</v>
      </c>
      <c r="AG2" s="112" t="s">
        <v>245</v>
      </c>
      <c r="AH2" s="112" t="s">
        <v>299</v>
      </c>
    </row>
    <row r="3" spans="2:34" ht="58.5" customHeight="1">
      <c r="B3" s="101" t="s">
        <v>8</v>
      </c>
      <c r="C3" s="102" t="s">
        <v>231</v>
      </c>
      <c r="D3" s="103" t="s">
        <v>0</v>
      </c>
      <c r="E3" s="15">
        <f>'Historical New &amp; Upgrade'!G6</f>
        <v>707</v>
      </c>
      <c r="F3" s="5">
        <f>'Historical New &amp; Upgrade'!H6</f>
        <v>831</v>
      </c>
      <c r="G3" s="5">
        <f>'Historical New &amp; Upgrade'!I6</f>
        <v>645</v>
      </c>
      <c r="H3" s="5">
        <f>'Historical New &amp; Upgrade'!P6</f>
        <v>786</v>
      </c>
      <c r="I3" s="322">
        <f>AVERAGE(E3:H3)</f>
        <v>742.25</v>
      </c>
      <c r="J3" s="264">
        <f>'Historical New &amp; Upgrade'!V6</f>
        <v>280</v>
      </c>
      <c r="K3" s="6">
        <f>AVERAGE(E3:H3,(J3*2))</f>
        <v>705.8</v>
      </c>
      <c r="L3" s="212" t="s">
        <v>321</v>
      </c>
      <c r="M3" s="6">
        <f>(M9/$K9)*$K3</f>
        <v>734.40536269056054</v>
      </c>
      <c r="N3" s="6">
        <f>(N9/$I9)*$K3</f>
        <v>979.27449279865823</v>
      </c>
      <c r="O3" s="6">
        <f>(O9/$I9)*$K3</f>
        <v>1086.2288657708691</v>
      </c>
      <c r="P3" s="6">
        <f>(P9/$I9)*$K3</f>
        <v>1110.2893696942904</v>
      </c>
      <c r="Q3" s="6">
        <f>(Q9/$I9)*$K3</f>
        <v>1041.0762888375684</v>
      </c>
      <c r="R3" s="219">
        <f>SUM(M3:Q3)</f>
        <v>4951.2743797919466</v>
      </c>
      <c r="S3" s="5" t="s">
        <v>229</v>
      </c>
      <c r="T3" s="113">
        <v>1</v>
      </c>
      <c r="U3" s="6">
        <f>M3*$T3</f>
        <v>734.40536269056054</v>
      </c>
      <c r="V3" s="6">
        <f>N3*$T3</f>
        <v>979.27449279865823</v>
      </c>
      <c r="W3" s="6">
        <f>O3*$T3</f>
        <v>1086.2288657708691</v>
      </c>
      <c r="X3" s="6">
        <f>P3*$T3</f>
        <v>1110.2893696942904</v>
      </c>
      <c r="Y3" s="6">
        <f>Q3*$T3</f>
        <v>1041.0762888375684</v>
      </c>
      <c r="Z3" s="6">
        <f t="shared" ref="Z3:Z21" si="0">SUM(U3:Y3)</f>
        <v>4951.2743797919466</v>
      </c>
      <c r="AA3"/>
      <c r="AB3" s="3" t="s">
        <v>224</v>
      </c>
      <c r="AC3" s="114">
        <f t="shared" ref="AC3:AG4" si="1">U7+U11</f>
        <v>27964.926725511286</v>
      </c>
      <c r="AD3" s="114">
        <f t="shared" si="1"/>
        <v>31219.450313486814</v>
      </c>
      <c r="AE3" s="114">
        <f t="shared" si="1"/>
        <v>34629.175326617114</v>
      </c>
      <c r="AF3" s="114">
        <f t="shared" si="1"/>
        <v>35396.228601545154</v>
      </c>
      <c r="AG3" s="114">
        <f t="shared" si="1"/>
        <v>33189.702898343734</v>
      </c>
      <c r="AH3" s="114">
        <f t="shared" ref="AH3:AH8" si="2">AC3+AD3+AE3+AF3+AG3</f>
        <v>162399.48386550409</v>
      </c>
    </row>
    <row r="4" spans="2:34" ht="29.25" customHeight="1">
      <c r="B4" s="377" t="s">
        <v>8</v>
      </c>
      <c r="C4" s="380" t="s">
        <v>232</v>
      </c>
      <c r="D4" s="383" t="s">
        <v>1</v>
      </c>
      <c r="E4" s="392"/>
      <c r="F4" s="392"/>
      <c r="G4" s="392"/>
      <c r="H4" s="392"/>
      <c r="I4" s="373"/>
      <c r="J4" s="318"/>
      <c r="K4" s="392"/>
      <c r="L4" s="389" t="s">
        <v>320</v>
      </c>
      <c r="M4" s="386">
        <f>(M9-M3)*(1-$L$26)</f>
        <v>1488.7557167298396</v>
      </c>
      <c r="N4" s="386">
        <f>(N9-N3)*(1-$L$26)</f>
        <v>1651.9811256421908</v>
      </c>
      <c r="O4" s="386">
        <f>(O9-O3)*(1-$L$26)</f>
        <v>1832.4071520058885</v>
      </c>
      <c r="P4" s="386">
        <f>(P9-P3)*(1-$L$26)</f>
        <v>1872.9958721729356</v>
      </c>
      <c r="Q4" s="386">
        <f>(Q9-Q3)*(1-$L$26)</f>
        <v>1756.2372880745347</v>
      </c>
      <c r="R4" s="396">
        <f>SUM(M4:Q6)</f>
        <v>8602.3771546253884</v>
      </c>
      <c r="S4" s="6" t="s">
        <v>226</v>
      </c>
      <c r="T4" s="115">
        <f>'Hardware Configurations'!I7</f>
        <v>0.65</v>
      </c>
      <c r="U4" s="6">
        <f t="shared" ref="U4:Y6" si="3">M$4*$T4</f>
        <v>967.69121587439577</v>
      </c>
      <c r="V4" s="6">
        <f t="shared" si="3"/>
        <v>1073.7877316674242</v>
      </c>
      <c r="W4" s="6">
        <f t="shared" si="3"/>
        <v>1191.0646488038276</v>
      </c>
      <c r="X4" s="6">
        <f t="shared" si="3"/>
        <v>1217.4473169124083</v>
      </c>
      <c r="Y4" s="6">
        <f t="shared" si="3"/>
        <v>1141.5542372484476</v>
      </c>
      <c r="Z4" s="6">
        <f t="shared" si="0"/>
        <v>5591.5451505065039</v>
      </c>
      <c r="AA4"/>
      <c r="AB4" s="3" t="s">
        <v>225</v>
      </c>
      <c r="AC4" s="114">
        <f t="shared" si="1"/>
        <v>9042.9587000093361</v>
      </c>
      <c r="AD4" s="114">
        <f t="shared" si="1"/>
        <v>10080.217373814514</v>
      </c>
      <c r="AE4" s="114">
        <f t="shared" si="1"/>
        <v>11181.158260734544</v>
      </c>
      <c r="AF4" s="114">
        <f t="shared" si="1"/>
        <v>11428.826418595436</v>
      </c>
      <c r="AG4" s="114">
        <f t="shared" si="1"/>
        <v>10716.377656498862</v>
      </c>
      <c r="AH4" s="114">
        <f t="shared" si="2"/>
        <v>52449.538409652698</v>
      </c>
    </row>
    <row r="5" spans="2:34" ht="29.25" customHeight="1">
      <c r="B5" s="378"/>
      <c r="C5" s="381"/>
      <c r="D5" s="384"/>
      <c r="E5" s="393"/>
      <c r="F5" s="393"/>
      <c r="G5" s="393"/>
      <c r="H5" s="393"/>
      <c r="I5" s="374"/>
      <c r="J5" s="319"/>
      <c r="K5" s="393"/>
      <c r="L5" s="390"/>
      <c r="M5" s="387"/>
      <c r="N5" s="387"/>
      <c r="O5" s="387"/>
      <c r="P5" s="387"/>
      <c r="Q5" s="387"/>
      <c r="R5" s="397"/>
      <c r="S5" s="6" t="s">
        <v>227</v>
      </c>
      <c r="T5" s="115">
        <f>'Hardware Configurations'!J7</f>
        <v>0.05</v>
      </c>
      <c r="U5" s="6">
        <f t="shared" si="3"/>
        <v>74.437785836491983</v>
      </c>
      <c r="V5" s="6">
        <f t="shared" si="3"/>
        <v>82.599056282109544</v>
      </c>
      <c r="W5" s="6">
        <f t="shared" si="3"/>
        <v>91.620357600294426</v>
      </c>
      <c r="X5" s="6">
        <f t="shared" si="3"/>
        <v>93.649793608646789</v>
      </c>
      <c r="Y5" s="6">
        <f t="shared" si="3"/>
        <v>87.811864403726744</v>
      </c>
      <c r="Z5" s="6">
        <f t="shared" si="0"/>
        <v>430.11885773126949</v>
      </c>
      <c r="AA5"/>
      <c r="AB5" s="3" t="s">
        <v>226</v>
      </c>
      <c r="AC5" s="114">
        <f t="shared" ref="AC5:AG7" si="4">U4+U16+U13+U19</f>
        <v>6572.6636662516548</v>
      </c>
      <c r="AD5" s="114">
        <f t="shared" si="4"/>
        <v>6819.5944301261788</v>
      </c>
      <c r="AE5" s="114">
        <f t="shared" si="4"/>
        <v>20559.113359844148</v>
      </c>
      <c r="AF5" s="114">
        <f t="shared" si="4"/>
        <v>20617.753559696685</v>
      </c>
      <c r="AG5" s="114">
        <f t="shared" si="4"/>
        <v>6970.2176125209435</v>
      </c>
      <c r="AH5" s="114">
        <f t="shared" si="2"/>
        <v>61539.342628439612</v>
      </c>
    </row>
    <row r="6" spans="2:34" ht="29.25" customHeight="1">
      <c r="B6" s="379"/>
      <c r="C6" s="382"/>
      <c r="D6" s="385"/>
      <c r="E6" s="394"/>
      <c r="F6" s="394"/>
      <c r="G6" s="394"/>
      <c r="H6" s="394"/>
      <c r="I6" s="375"/>
      <c r="J6" s="320"/>
      <c r="K6" s="394"/>
      <c r="L6" s="390"/>
      <c r="M6" s="388"/>
      <c r="N6" s="388"/>
      <c r="O6" s="388"/>
      <c r="P6" s="388"/>
      <c r="Q6" s="388"/>
      <c r="R6" s="398"/>
      <c r="S6" s="6" t="s">
        <v>228</v>
      </c>
      <c r="T6" s="115">
        <f>'Hardware Configurations'!K7</f>
        <v>0.35</v>
      </c>
      <c r="U6" s="6">
        <f t="shared" si="3"/>
        <v>521.06450085544384</v>
      </c>
      <c r="V6" s="6">
        <f t="shared" si="3"/>
        <v>578.19339397476676</v>
      </c>
      <c r="W6" s="6">
        <f t="shared" si="3"/>
        <v>641.34250320206093</v>
      </c>
      <c r="X6" s="6">
        <f t="shared" si="3"/>
        <v>655.54855526052745</v>
      </c>
      <c r="Y6" s="6">
        <f t="shared" si="3"/>
        <v>614.68305082608708</v>
      </c>
      <c r="Z6" s="6">
        <f t="shared" si="0"/>
        <v>3010.8320041188863</v>
      </c>
      <c r="AA6"/>
      <c r="AB6" s="3" t="s">
        <v>227</v>
      </c>
      <c r="AC6" s="114">
        <f t="shared" si="4"/>
        <v>2031.7297526348998</v>
      </c>
      <c r="AD6" s="114">
        <f t="shared" si="4"/>
        <v>2089.071236696278</v>
      </c>
      <c r="AE6" s="114">
        <f t="shared" si="4"/>
        <v>6855.0659392334219</v>
      </c>
      <c r="AF6" s="114">
        <f t="shared" si="4"/>
        <v>6868.3599101364889</v>
      </c>
      <c r="AG6" s="114">
        <f t="shared" si="4"/>
        <v>2123.2181224353917</v>
      </c>
      <c r="AH6" s="114">
        <f t="shared" si="2"/>
        <v>19967.44496113648</v>
      </c>
    </row>
    <row r="7" spans="2:34" ht="29.25" customHeight="1">
      <c r="B7" s="377" t="s">
        <v>8</v>
      </c>
      <c r="C7" s="380" t="s">
        <v>233</v>
      </c>
      <c r="D7" s="383" t="s">
        <v>1</v>
      </c>
      <c r="E7" s="392"/>
      <c r="F7" s="392"/>
      <c r="G7" s="392"/>
      <c r="H7" s="392"/>
      <c r="I7" s="373"/>
      <c r="J7" s="318"/>
      <c r="K7" s="392"/>
      <c r="L7" s="390"/>
      <c r="M7" s="386">
        <f>(M9-M3)*$L$26</f>
        <v>13398.801450568559</v>
      </c>
      <c r="N7" s="386">
        <f>(N9-N3)*$L$26</f>
        <v>14867.830130779721</v>
      </c>
      <c r="O7" s="386">
        <f>(O9-O3)*$L$26</f>
        <v>16491.664368053</v>
      </c>
      <c r="P7" s="386">
        <f>(P9-P3)*$L$26</f>
        <v>16856.962849556425</v>
      </c>
      <c r="Q7" s="386">
        <f>(Q9-Q3)*$L$26</f>
        <v>15806.135592670817</v>
      </c>
      <c r="R7" s="396">
        <f>SUM(M7:Q8)</f>
        <v>77421.394391628521</v>
      </c>
      <c r="S7" s="6" t="s">
        <v>224</v>
      </c>
      <c r="T7" s="115">
        <f>'Hardware Configurations'!G7</f>
        <v>0.75</v>
      </c>
      <c r="U7" s="6">
        <f t="shared" ref="U7:Y8" si="5">M$7*$T7</f>
        <v>10049.101087926419</v>
      </c>
      <c r="V7" s="6">
        <f t="shared" si="5"/>
        <v>11150.87259808479</v>
      </c>
      <c r="W7" s="6">
        <f t="shared" si="5"/>
        <v>12368.748276039751</v>
      </c>
      <c r="X7" s="6">
        <f t="shared" si="5"/>
        <v>12642.722137167319</v>
      </c>
      <c r="Y7" s="6">
        <f t="shared" si="5"/>
        <v>11854.601694503112</v>
      </c>
      <c r="Z7" s="6">
        <f t="shared" si="0"/>
        <v>58066.045793721394</v>
      </c>
      <c r="AA7"/>
      <c r="AB7" s="3" t="s">
        <v>228</v>
      </c>
      <c r="AC7" s="114">
        <f t="shared" si="4"/>
        <v>2834.2277343444716</v>
      </c>
      <c r="AD7" s="114">
        <f t="shared" si="4"/>
        <v>2949.4786981006027</v>
      </c>
      <c r="AE7" s="114">
        <f t="shared" si="4"/>
        <v>8634.5054633139389</v>
      </c>
      <c r="AF7" s="114">
        <f t="shared" si="4"/>
        <v>8662.024147520704</v>
      </c>
      <c r="AG7" s="114">
        <f t="shared" si="4"/>
        <v>3020.1631739544182</v>
      </c>
      <c r="AH7" s="114">
        <f t="shared" si="2"/>
        <v>26100.399217234135</v>
      </c>
    </row>
    <row r="8" spans="2:34">
      <c r="B8" s="379"/>
      <c r="C8" s="382"/>
      <c r="D8" s="385"/>
      <c r="E8" s="394"/>
      <c r="F8" s="394"/>
      <c r="G8" s="394"/>
      <c r="H8" s="394"/>
      <c r="I8" s="375"/>
      <c r="J8" s="320"/>
      <c r="K8" s="394"/>
      <c r="L8" s="391"/>
      <c r="M8" s="388"/>
      <c r="N8" s="388"/>
      <c r="O8" s="388"/>
      <c r="P8" s="388"/>
      <c r="Q8" s="388"/>
      <c r="R8" s="398"/>
      <c r="S8" s="6" t="s">
        <v>225</v>
      </c>
      <c r="T8" s="115">
        <f>'Hardware Configurations'!H7</f>
        <v>0.35</v>
      </c>
      <c r="U8" s="6">
        <f t="shared" si="5"/>
        <v>4689.5805076989955</v>
      </c>
      <c r="V8" s="6">
        <f t="shared" si="5"/>
        <v>5203.7405457729019</v>
      </c>
      <c r="W8" s="6">
        <f t="shared" si="5"/>
        <v>5772.0825288185497</v>
      </c>
      <c r="X8" s="6">
        <f t="shared" si="5"/>
        <v>5899.9369973447483</v>
      </c>
      <c r="Y8" s="6">
        <f t="shared" si="5"/>
        <v>5532.1474574347858</v>
      </c>
      <c r="Z8" s="6">
        <f t="shared" si="0"/>
        <v>27097.488037069979</v>
      </c>
      <c r="AA8"/>
      <c r="AB8" s="3" t="s">
        <v>229</v>
      </c>
      <c r="AC8" s="114">
        <f>U3</f>
        <v>734.40536269056054</v>
      </c>
      <c r="AD8" s="114">
        <f t="shared" ref="AD8:AG8" si="6">V3</f>
        <v>979.27449279865823</v>
      </c>
      <c r="AE8" s="114">
        <f t="shared" si="6"/>
        <v>1086.2288657708691</v>
      </c>
      <c r="AF8" s="114">
        <f t="shared" si="6"/>
        <v>1110.2893696942904</v>
      </c>
      <c r="AG8" s="114">
        <f t="shared" si="6"/>
        <v>1041.0762888375684</v>
      </c>
      <c r="AH8" s="114">
        <f t="shared" si="2"/>
        <v>4951.2743797919466</v>
      </c>
    </row>
    <row r="9" spans="2:34" ht="39.75" customHeight="1">
      <c r="B9" s="269" t="s">
        <v>319</v>
      </c>
      <c r="C9" s="270" t="s">
        <v>453</v>
      </c>
      <c r="D9" s="271"/>
      <c r="E9" s="272">
        <f>'Historical New &amp; Upgrade'!G7</f>
        <v>10202</v>
      </c>
      <c r="F9" s="272">
        <f>'Historical New &amp; Upgrade'!H7</f>
        <v>13471</v>
      </c>
      <c r="G9" s="272">
        <f>'Historical New &amp; Upgrade'!I7</f>
        <v>12371</v>
      </c>
      <c r="H9" s="272">
        <f>'Historical New &amp; Upgrade'!P7</f>
        <v>14405</v>
      </c>
      <c r="I9" s="298">
        <f>AVERAGE(E9:H9)</f>
        <v>12612.25</v>
      </c>
      <c r="J9" s="298">
        <f>'Historical New &amp; Upgrade'!V7</f>
        <v>9131</v>
      </c>
      <c r="K9" s="268">
        <f>AVERAGE(H9,M9)</f>
        <v>15013.48126499448</v>
      </c>
      <c r="L9" s="267" t="s">
        <v>455</v>
      </c>
      <c r="M9" s="268">
        <f>'Projected Delta New NMI''s'!E13</f>
        <v>15621.962529988959</v>
      </c>
      <c r="N9" s="268">
        <f>'Projected Delta New NMI''s'!F13</f>
        <v>17499.085749220569</v>
      </c>
      <c r="O9" s="268">
        <f>'Projected Delta New NMI''s'!G13</f>
        <v>19410.30038582976</v>
      </c>
      <c r="P9" s="268">
        <f>'Projected Delta New NMI''s'!H13</f>
        <v>19840.248091423651</v>
      </c>
      <c r="Q9" s="268">
        <f>'Projected Delta New NMI''s'!I13</f>
        <v>18603.44916958292</v>
      </c>
      <c r="R9" s="268">
        <f>R3+R4+R7</f>
        <v>90975.045926045859</v>
      </c>
      <c r="S9" s="216"/>
      <c r="T9" s="217"/>
      <c r="U9" s="216">
        <f>SUM(U3:U8)</f>
        <v>17036.280460882306</v>
      </c>
      <c r="V9" s="216">
        <f>SUM(V3:V8)</f>
        <v>19068.467818580652</v>
      </c>
      <c r="W9" s="216">
        <f>SUM(W3:W8)</f>
        <v>21151.08718023535</v>
      </c>
      <c r="X9" s="216">
        <f>SUM(X3:X8)</f>
        <v>21619.59416998794</v>
      </c>
      <c r="Y9" s="216">
        <f>SUM(Y3:Y8)</f>
        <v>20271.874593253728</v>
      </c>
      <c r="Z9" s="216"/>
      <c r="AA9"/>
      <c r="AB9" s="112" t="s">
        <v>221</v>
      </c>
      <c r="AC9" s="80">
        <f t="shared" ref="AC9:AH9" si="7">SUM(AC3:AC8)</f>
        <v>49180.911941442209</v>
      </c>
      <c r="AD9" s="80">
        <f t="shared" si="7"/>
        <v>54137.086545023041</v>
      </c>
      <c r="AE9" s="80">
        <f t="shared" si="7"/>
        <v>82945.247215514042</v>
      </c>
      <c r="AF9" s="80">
        <f t="shared" si="7"/>
        <v>84083.482007188752</v>
      </c>
      <c r="AG9" s="80">
        <f t="shared" si="7"/>
        <v>57060.755752590921</v>
      </c>
      <c r="AH9" s="80">
        <f t="shared" si="7"/>
        <v>327407.48346175894</v>
      </c>
    </row>
    <row r="10" spans="2:34" ht="39.75" customHeight="1">
      <c r="B10" s="265" t="s">
        <v>496</v>
      </c>
      <c r="C10" s="261" t="s">
        <v>454</v>
      </c>
      <c r="D10" s="262"/>
      <c r="E10" s="263">
        <f>'Historical New &amp; Upgrade'!G8</f>
        <v>12078</v>
      </c>
      <c r="F10" s="263">
        <f>'Historical New &amp; Upgrade'!H8</f>
        <v>10478</v>
      </c>
      <c r="G10" s="263">
        <f>'Historical New &amp; Upgrade'!I8</f>
        <v>13474</v>
      </c>
      <c r="H10" s="263">
        <f>'Historical New &amp; Upgrade'!P8</f>
        <v>12648</v>
      </c>
      <c r="I10" s="264">
        <f>AVERAGE(E10:H10)</f>
        <v>12169.5</v>
      </c>
      <c r="J10" s="264">
        <f>'Historical New &amp; Upgrade'!V8</f>
        <v>7770</v>
      </c>
      <c r="K10" s="316"/>
      <c r="L10" s="218"/>
      <c r="M10" s="335"/>
      <c r="N10" s="335"/>
      <c r="O10" s="335"/>
      <c r="P10" s="335"/>
      <c r="Q10" s="335"/>
      <c r="R10" s="216"/>
      <c r="S10" s="216"/>
      <c r="T10" s="217"/>
      <c r="U10" s="216"/>
      <c r="V10" s="216"/>
      <c r="W10" s="216"/>
      <c r="X10" s="216"/>
      <c r="Y10" s="216"/>
      <c r="Z10" s="216"/>
      <c r="AA10"/>
      <c r="AH10"/>
    </row>
    <row r="11" spans="2:34" ht="45" customHeight="1">
      <c r="B11" s="361" t="s">
        <v>9</v>
      </c>
      <c r="C11" s="364" t="s">
        <v>234</v>
      </c>
      <c r="D11" s="367" t="s">
        <v>1</v>
      </c>
      <c r="E11" s="355">
        <f>'Historical New &amp; Upgrade'!G4-E9</f>
        <v>18975</v>
      </c>
      <c r="F11" s="355">
        <f>'Historical New &amp; Upgrade'!H4-F9</f>
        <v>25630</v>
      </c>
      <c r="G11" s="355">
        <f>'Historical New &amp; Upgrade'!I4-G9</f>
        <v>18750</v>
      </c>
      <c r="H11" s="355">
        <f>'Historical New &amp; Upgrade'!P4-H9</f>
        <v>18820</v>
      </c>
      <c r="I11" s="373">
        <f>AVERAGE(E11:H15)</f>
        <v>20543.75</v>
      </c>
      <c r="J11" s="373">
        <f>'Historical New &amp; Upgrade'!V4-J9</f>
        <v>9209</v>
      </c>
      <c r="K11" s="355">
        <f>K9*L24</f>
        <v>17879.540549648635</v>
      </c>
      <c r="L11" s="370" t="s">
        <v>452</v>
      </c>
      <c r="M11" s="355">
        <f>$L$26*M9*$L$24</f>
        <v>16743.762278116694</v>
      </c>
      <c r="N11" s="355">
        <f>$L$26*N9*$L$24</f>
        <v>18755.680107852357</v>
      </c>
      <c r="O11" s="355">
        <f>$L$26*O9*$L$24</f>
        <v>20804.137430446131</v>
      </c>
      <c r="P11" s="355">
        <f>$L$26*P9*$L$24</f>
        <v>21264.959312502644</v>
      </c>
      <c r="Q11" s="355">
        <f>$L$26*Q9*$L$24</f>
        <v>19939.346919477211</v>
      </c>
      <c r="R11" s="358">
        <f>SUM(M11:Q12)</f>
        <v>97507.886048395041</v>
      </c>
      <c r="S11" s="7" t="s">
        <v>224</v>
      </c>
      <c r="T11" s="116">
        <f>'Hardware Configurations'!G14</f>
        <v>1.07</v>
      </c>
      <c r="U11" s="7">
        <f t="shared" ref="U11:Y12" si="8">M$11*$T11</f>
        <v>17915.825637584865</v>
      </c>
      <c r="V11" s="7">
        <f t="shared" si="8"/>
        <v>20068.577715402022</v>
      </c>
      <c r="W11" s="7">
        <f t="shared" si="8"/>
        <v>22260.42705057736</v>
      </c>
      <c r="X11" s="7">
        <f t="shared" si="8"/>
        <v>22753.506464377831</v>
      </c>
      <c r="Y11" s="7">
        <f t="shared" si="8"/>
        <v>21335.101203840619</v>
      </c>
      <c r="Z11" s="7">
        <f t="shared" si="0"/>
        <v>104333.4380717827</v>
      </c>
      <c r="AA11"/>
      <c r="AB11" s="111" t="s">
        <v>285</v>
      </c>
      <c r="AC11" s="112" t="s">
        <v>246</v>
      </c>
      <c r="AD11" s="112" t="s">
        <v>247</v>
      </c>
      <c r="AE11" s="112" t="s">
        <v>248</v>
      </c>
      <c r="AF11" s="112" t="s">
        <v>249</v>
      </c>
      <c r="AG11" s="112" t="s">
        <v>250</v>
      </c>
      <c r="AH11"/>
    </row>
    <row r="12" spans="2:34" ht="30" customHeight="1">
      <c r="B12" s="363"/>
      <c r="C12" s="366"/>
      <c r="D12" s="369"/>
      <c r="E12" s="356"/>
      <c r="F12" s="356"/>
      <c r="G12" s="356"/>
      <c r="H12" s="356"/>
      <c r="I12" s="374"/>
      <c r="J12" s="374"/>
      <c r="K12" s="356"/>
      <c r="L12" s="371"/>
      <c r="M12" s="357"/>
      <c r="N12" s="357"/>
      <c r="O12" s="357"/>
      <c r="P12" s="357"/>
      <c r="Q12" s="357"/>
      <c r="R12" s="360"/>
      <c r="S12" s="7" t="s">
        <v>225</v>
      </c>
      <c r="T12" s="116">
        <f>'Hardware Configurations'!H14</f>
        <v>0.26</v>
      </c>
      <c r="U12" s="7">
        <f t="shared" si="8"/>
        <v>4353.3781923103406</v>
      </c>
      <c r="V12" s="7">
        <f t="shared" si="8"/>
        <v>4876.4768280416129</v>
      </c>
      <c r="W12" s="7">
        <f t="shared" si="8"/>
        <v>5409.0757319159948</v>
      </c>
      <c r="X12" s="7">
        <f t="shared" si="8"/>
        <v>5528.8894212506875</v>
      </c>
      <c r="Y12" s="7">
        <f t="shared" si="8"/>
        <v>5184.2301990640754</v>
      </c>
      <c r="Z12" s="7">
        <f t="shared" si="0"/>
        <v>25352.050372582715</v>
      </c>
      <c r="AA12"/>
      <c r="AB12" s="3" t="s">
        <v>224</v>
      </c>
      <c r="AC12" s="117">
        <f>AC3*'Meter Hardware Price'!$E4</f>
        <v>629210.85132400389</v>
      </c>
      <c r="AD12" s="117">
        <f>AD3*'Meter Hardware Price'!$E4</f>
        <v>702437.63205345336</v>
      </c>
      <c r="AE12" s="117">
        <f>AE3*'Meter Hardware Price'!$E4</f>
        <v>779156.44484888506</v>
      </c>
      <c r="AF12" s="117">
        <f>AF3*'Meter Hardware Price'!$E4</f>
        <v>796415.14353476593</v>
      </c>
      <c r="AG12" s="117">
        <f>AG3*'Meter Hardware Price'!$E4</f>
        <v>746768.31521273404</v>
      </c>
      <c r="AH12"/>
    </row>
    <row r="13" spans="2:34" ht="30" customHeight="1">
      <c r="B13" s="361" t="s">
        <v>9</v>
      </c>
      <c r="C13" s="364" t="s">
        <v>235</v>
      </c>
      <c r="D13" s="367" t="s">
        <v>1</v>
      </c>
      <c r="E13" s="356"/>
      <c r="F13" s="356"/>
      <c r="G13" s="356"/>
      <c r="H13" s="356"/>
      <c r="I13" s="374"/>
      <c r="J13" s="374"/>
      <c r="K13" s="356"/>
      <c r="L13" s="371"/>
      <c r="M13" s="355">
        <f>(1-$L$26)*M9*$L$24</f>
        <v>1860.4180309018543</v>
      </c>
      <c r="N13" s="355">
        <f>(1-$L$26)*N9*$L$24</f>
        <v>2083.9644564280388</v>
      </c>
      <c r="O13" s="355">
        <f>(1-$L$26)*O9*$L$24</f>
        <v>2311.5708256051248</v>
      </c>
      <c r="P13" s="355">
        <f>(1-$L$26)*P9*$L$24</f>
        <v>2362.7732569447371</v>
      </c>
      <c r="Q13" s="355">
        <f>(1-$L$26)*Q9*$L$24</f>
        <v>2215.4829910530234</v>
      </c>
      <c r="R13" s="358">
        <f>SUM(M13:Q15)</f>
        <v>10834.209560932781</v>
      </c>
      <c r="S13" s="7" t="s">
        <v>226</v>
      </c>
      <c r="T13" s="116">
        <f>'Hardware Configurations'!I14</f>
        <v>0.63</v>
      </c>
      <c r="U13" s="7">
        <f t="shared" ref="U13:Y15" si="9">M$13*$T13</f>
        <v>1172.0633594681683</v>
      </c>
      <c r="V13" s="7">
        <f t="shared" si="9"/>
        <v>1312.8976075496644</v>
      </c>
      <c r="W13" s="7">
        <f t="shared" si="9"/>
        <v>1456.2896201312287</v>
      </c>
      <c r="X13" s="7">
        <f t="shared" si="9"/>
        <v>1488.5471518751845</v>
      </c>
      <c r="Y13" s="7">
        <f t="shared" si="9"/>
        <v>1395.7542843634048</v>
      </c>
      <c r="Z13" s="7">
        <f t="shared" si="0"/>
        <v>6825.5520233876505</v>
      </c>
      <c r="AA13"/>
      <c r="AB13" s="3" t="s">
        <v>225</v>
      </c>
      <c r="AC13" s="117">
        <f>AC4*'Meter Hardware Price'!$E5</f>
        <v>847777.37812587526</v>
      </c>
      <c r="AD13" s="117">
        <f>AD4*'Meter Hardware Price'!$E5</f>
        <v>945020.37879511062</v>
      </c>
      <c r="AE13" s="117">
        <f>AE4*'Meter Hardware Price'!$E5</f>
        <v>1048233.5869438635</v>
      </c>
      <c r="AF13" s="117">
        <f>AF4*'Meter Hardware Price'!$E5</f>
        <v>1071452.4767433221</v>
      </c>
      <c r="AG13" s="117">
        <f>AG4*'Meter Hardware Price'!$E5</f>
        <v>1004660.4052967683</v>
      </c>
      <c r="AH13"/>
    </row>
    <row r="14" spans="2:34" ht="30" customHeight="1">
      <c r="B14" s="362"/>
      <c r="C14" s="365"/>
      <c r="D14" s="368"/>
      <c r="E14" s="356"/>
      <c r="F14" s="356"/>
      <c r="G14" s="356"/>
      <c r="H14" s="356"/>
      <c r="I14" s="374"/>
      <c r="J14" s="374"/>
      <c r="K14" s="356"/>
      <c r="L14" s="371"/>
      <c r="M14" s="356"/>
      <c r="N14" s="356"/>
      <c r="O14" s="356"/>
      <c r="P14" s="356"/>
      <c r="Q14" s="356"/>
      <c r="R14" s="359"/>
      <c r="S14" s="7" t="s">
        <v>227</v>
      </c>
      <c r="T14" s="116">
        <f>'Hardware Configurations'!J14</f>
        <v>0.22</v>
      </c>
      <c r="U14" s="7">
        <f t="shared" si="9"/>
        <v>409.29196679840794</v>
      </c>
      <c r="V14" s="7">
        <f t="shared" si="9"/>
        <v>458.47218041416852</v>
      </c>
      <c r="W14" s="7">
        <f t="shared" si="9"/>
        <v>508.54558163312748</v>
      </c>
      <c r="X14" s="7">
        <f t="shared" si="9"/>
        <v>519.81011652784218</v>
      </c>
      <c r="Y14" s="7">
        <f t="shared" si="9"/>
        <v>487.40625803166517</v>
      </c>
      <c r="Z14" s="7">
        <f t="shared" si="0"/>
        <v>2383.5261034052114</v>
      </c>
      <c r="AA14"/>
      <c r="AB14" s="3" t="s">
        <v>226</v>
      </c>
      <c r="AC14" s="117">
        <f>AC5*'Meter Hardware Price'!$E6</f>
        <v>568535.40713076817</v>
      </c>
      <c r="AD14" s="117">
        <f>AD5*'Meter Hardware Price'!$E6</f>
        <v>589894.91820591444</v>
      </c>
      <c r="AE14" s="117">
        <f>AE5*'Meter Hardware Price'!$E6</f>
        <v>1778363.3056265188</v>
      </c>
      <c r="AF14" s="117">
        <f>AF5*'Meter Hardware Price'!$E6</f>
        <v>1783435.6829137632</v>
      </c>
      <c r="AG14" s="117">
        <f>AG5*'Meter Hardware Price'!$E6</f>
        <v>602923.82348306163</v>
      </c>
      <c r="AH14"/>
    </row>
    <row r="15" spans="2:34" ht="30" customHeight="1">
      <c r="B15" s="363"/>
      <c r="C15" s="366"/>
      <c r="D15" s="369"/>
      <c r="E15" s="357"/>
      <c r="F15" s="357"/>
      <c r="G15" s="357"/>
      <c r="H15" s="357"/>
      <c r="I15" s="375"/>
      <c r="J15" s="375"/>
      <c r="K15" s="357"/>
      <c r="L15" s="372"/>
      <c r="M15" s="357"/>
      <c r="N15" s="357"/>
      <c r="O15" s="357"/>
      <c r="P15" s="357"/>
      <c r="Q15" s="357"/>
      <c r="R15" s="360"/>
      <c r="S15" s="7" t="s">
        <v>228</v>
      </c>
      <c r="T15" s="116">
        <f>'Hardware Configurations'!K14</f>
        <v>0.26</v>
      </c>
      <c r="U15" s="7">
        <f t="shared" si="9"/>
        <v>483.70868803448212</v>
      </c>
      <c r="V15" s="7">
        <f t="shared" si="9"/>
        <v>541.83075867129014</v>
      </c>
      <c r="W15" s="7">
        <f t="shared" si="9"/>
        <v>601.00841465733242</v>
      </c>
      <c r="X15" s="7">
        <f t="shared" si="9"/>
        <v>614.32104680563168</v>
      </c>
      <c r="Y15" s="7">
        <f t="shared" si="9"/>
        <v>576.02557767378607</v>
      </c>
      <c r="Z15" s="7">
        <f t="shared" si="0"/>
        <v>2816.894485842522</v>
      </c>
      <c r="AA15"/>
      <c r="AB15" s="3" t="s">
        <v>227</v>
      </c>
      <c r="AC15" s="117">
        <f>AC6*'Meter Hardware Price'!$E7</f>
        <v>291891.84112854727</v>
      </c>
      <c r="AD15" s="117">
        <f>AD6*'Meter Hardware Price'!$E7</f>
        <v>300129.90100536525</v>
      </c>
      <c r="AE15" s="117">
        <f>AE6*'Meter Hardware Price'!$E7</f>
        <v>984844.47326986818</v>
      </c>
      <c r="AF15" s="117">
        <f>AF6*'Meter Hardware Price'!$E7</f>
        <v>986754.37375627551</v>
      </c>
      <c r="AG15" s="117">
        <f>AG6*'Meter Hardware Price'!$E7</f>
        <v>305035.67025655124</v>
      </c>
      <c r="AH15"/>
    </row>
    <row r="16" spans="2:34" ht="18.75" customHeight="1">
      <c r="B16" s="376" t="s">
        <v>9</v>
      </c>
      <c r="C16" s="364" t="s">
        <v>2</v>
      </c>
      <c r="D16" s="367" t="s">
        <v>1</v>
      </c>
      <c r="E16" s="355">
        <f>'Historical New &amp; Upgrade'!G5</f>
        <v>6795</v>
      </c>
      <c r="F16" s="355">
        <f>'Historical New &amp; Upgrade'!H5</f>
        <v>31741</v>
      </c>
      <c r="G16" s="355">
        <f>'Historical New &amp; Upgrade'!I5</f>
        <v>12765</v>
      </c>
      <c r="H16" s="355">
        <f>'Historical New &amp; Upgrade'!P5</f>
        <v>12800</v>
      </c>
      <c r="I16" s="373">
        <f>AVERAGE(E16:H21)</f>
        <v>16025.25</v>
      </c>
      <c r="J16" s="373">
        <f>'Historical New &amp; Upgrade'!V5</f>
        <v>3274</v>
      </c>
      <c r="K16" s="355">
        <f>'Historical New &amp; Upgrade'!W9</f>
        <v>7036.363636363636</v>
      </c>
      <c r="L16" s="370" t="s">
        <v>554</v>
      </c>
      <c r="M16" s="355">
        <f>'Historical New &amp; Upgrade'!$W$9</f>
        <v>7036.363636363636</v>
      </c>
      <c r="N16" s="355">
        <f>$M16</f>
        <v>7036.363636363636</v>
      </c>
      <c r="O16" s="355">
        <f>$M16</f>
        <v>7036.363636363636</v>
      </c>
      <c r="P16" s="355">
        <f>$M16</f>
        <v>7036.363636363636</v>
      </c>
      <c r="Q16" s="355">
        <f>$M16</f>
        <v>7036.363636363636</v>
      </c>
      <c r="R16" s="358">
        <f>SUM(M16:Q18)</f>
        <v>35181.818181818177</v>
      </c>
      <c r="S16" s="7" t="s">
        <v>226</v>
      </c>
      <c r="T16" s="116">
        <f>'Hardware Configurations'!I14</f>
        <v>0.63</v>
      </c>
      <c r="U16" s="7">
        <f t="shared" ref="U16:Y18" si="10">M$16*$T16</f>
        <v>4432.909090909091</v>
      </c>
      <c r="V16" s="7">
        <f t="shared" si="10"/>
        <v>4432.909090909091</v>
      </c>
      <c r="W16" s="7">
        <f t="shared" si="10"/>
        <v>4432.909090909091</v>
      </c>
      <c r="X16" s="7">
        <f t="shared" si="10"/>
        <v>4432.909090909091</v>
      </c>
      <c r="Y16" s="7">
        <f t="shared" si="10"/>
        <v>4432.909090909091</v>
      </c>
      <c r="Z16" s="7">
        <f>SUM(U16:Y16)</f>
        <v>22164.545454545456</v>
      </c>
      <c r="AA16"/>
      <c r="AB16" s="3" t="s">
        <v>228</v>
      </c>
      <c r="AC16" s="117">
        <f>AC7*'Meter Hardware Price'!$E8</f>
        <v>572514.00233758322</v>
      </c>
      <c r="AD16" s="117">
        <f>AD7*'Meter Hardware Price'!$E8</f>
        <v>595794.6970163217</v>
      </c>
      <c r="AE16" s="117">
        <f>AE7*'Meter Hardware Price'!$E8</f>
        <v>1744170.1035894156</v>
      </c>
      <c r="AF16" s="117">
        <f>AF7*'Meter Hardware Price'!$E8</f>
        <v>1749728.8777991822</v>
      </c>
      <c r="AG16" s="117">
        <f>AG7*'Meter Hardware Price'!$E8</f>
        <v>610072.96113879245</v>
      </c>
      <c r="AH16"/>
    </row>
    <row r="17" spans="2:34" ht="18.75" customHeight="1">
      <c r="B17" s="362"/>
      <c r="C17" s="365"/>
      <c r="D17" s="368"/>
      <c r="E17" s="356"/>
      <c r="F17" s="356"/>
      <c r="G17" s="356"/>
      <c r="H17" s="356"/>
      <c r="I17" s="374"/>
      <c r="J17" s="374"/>
      <c r="K17" s="356"/>
      <c r="L17" s="371"/>
      <c r="M17" s="356"/>
      <c r="N17" s="356"/>
      <c r="O17" s="356"/>
      <c r="P17" s="356"/>
      <c r="Q17" s="356"/>
      <c r="R17" s="359"/>
      <c r="S17" s="7" t="s">
        <v>227</v>
      </c>
      <c r="T17" s="116">
        <f>'Hardware Configurations'!J14</f>
        <v>0.22</v>
      </c>
      <c r="U17" s="7">
        <f t="shared" si="10"/>
        <v>1548</v>
      </c>
      <c r="V17" s="7">
        <f t="shared" si="10"/>
        <v>1548</v>
      </c>
      <c r="W17" s="7">
        <f t="shared" si="10"/>
        <v>1548</v>
      </c>
      <c r="X17" s="7">
        <f t="shared" si="10"/>
        <v>1548</v>
      </c>
      <c r="Y17" s="7">
        <f t="shared" si="10"/>
        <v>1548</v>
      </c>
      <c r="Z17" s="7">
        <f>SUM(U17:Y17)</f>
        <v>7740</v>
      </c>
      <c r="AA17"/>
      <c r="AB17" s="3" t="s">
        <v>229</v>
      </c>
      <c r="AC17" s="117">
        <f>AC8*'Meter Hardware Price'!$E9</f>
        <v>381156.3832364009</v>
      </c>
      <c r="AD17" s="117">
        <f>AD8*'Meter Hardware Price'!$E9</f>
        <v>508243.4617625036</v>
      </c>
      <c r="AE17" s="117">
        <f>AE8*'Meter Hardware Price'!$E9</f>
        <v>563752.78133508109</v>
      </c>
      <c r="AF17" s="117">
        <f>AF8*'Meter Hardware Price'!$E9</f>
        <v>576240.1828713367</v>
      </c>
      <c r="AG17" s="117">
        <f>AG8*'Meter Hardware Price'!$E9</f>
        <v>540318.59390669805</v>
      </c>
      <c r="AH17"/>
    </row>
    <row r="18" spans="2:34" ht="18.75" customHeight="1">
      <c r="B18" s="363"/>
      <c r="C18" s="366"/>
      <c r="D18" s="369"/>
      <c r="E18" s="356"/>
      <c r="F18" s="356"/>
      <c r="G18" s="356"/>
      <c r="H18" s="356"/>
      <c r="I18" s="374"/>
      <c r="J18" s="374"/>
      <c r="K18" s="356"/>
      <c r="L18" s="372"/>
      <c r="M18" s="357"/>
      <c r="N18" s="357"/>
      <c r="O18" s="357"/>
      <c r="P18" s="357"/>
      <c r="Q18" s="357"/>
      <c r="R18" s="360"/>
      <c r="S18" s="7" t="s">
        <v>228</v>
      </c>
      <c r="T18" s="116">
        <f>'Hardware Configurations'!K14</f>
        <v>0.26</v>
      </c>
      <c r="U18" s="7">
        <f t="shared" si="10"/>
        <v>1829.4545454545455</v>
      </c>
      <c r="V18" s="7">
        <f t="shared" si="10"/>
        <v>1829.4545454545455</v>
      </c>
      <c r="W18" s="7">
        <f t="shared" si="10"/>
        <v>1829.4545454545455</v>
      </c>
      <c r="X18" s="7">
        <f t="shared" si="10"/>
        <v>1829.4545454545455</v>
      </c>
      <c r="Y18" s="7">
        <f t="shared" si="10"/>
        <v>1829.4545454545455</v>
      </c>
      <c r="Z18" s="7">
        <f>SUM(U18:Y18)</f>
        <v>9147.2727272727279</v>
      </c>
      <c r="AA18"/>
      <c r="AB18" s="112" t="s">
        <v>221</v>
      </c>
      <c r="AC18" s="118">
        <f>SUM(AC12:AC17)</f>
        <v>3291085.8632831788</v>
      </c>
      <c r="AD18" s="118">
        <f>SUM(AD12:AD17)</f>
        <v>3641520.9888386694</v>
      </c>
      <c r="AE18" s="118">
        <f>SUM(AE12:AE17)</f>
        <v>6898520.6956136329</v>
      </c>
      <c r="AF18" s="118">
        <f>SUM(AF12:AF17)</f>
        <v>6964026.7376186457</v>
      </c>
      <c r="AG18" s="118">
        <f>SUM(AG12:AG17)</f>
        <v>3809779.7692946056</v>
      </c>
      <c r="AH18"/>
    </row>
    <row r="19" spans="2:34" ht="37.5" customHeight="1">
      <c r="B19" s="361" t="s">
        <v>9</v>
      </c>
      <c r="C19" s="364" t="s">
        <v>3</v>
      </c>
      <c r="D19" s="367" t="s">
        <v>1</v>
      </c>
      <c r="E19" s="356"/>
      <c r="F19" s="356"/>
      <c r="G19" s="356"/>
      <c r="H19" s="356"/>
      <c r="I19" s="374"/>
      <c r="J19" s="374"/>
      <c r="K19" s="356"/>
      <c r="L19" s="370" t="s">
        <v>456</v>
      </c>
      <c r="M19" s="355">
        <v>0</v>
      </c>
      <c r="N19" s="355">
        <v>0</v>
      </c>
      <c r="O19" s="355">
        <f>42790/2</f>
        <v>21395</v>
      </c>
      <c r="P19" s="355">
        <f>42790/2</f>
        <v>21395</v>
      </c>
      <c r="Q19" s="355">
        <v>0</v>
      </c>
      <c r="R19" s="358">
        <f>SUM(M19:Q21)</f>
        <v>42790</v>
      </c>
      <c r="S19" s="7" t="s">
        <v>226</v>
      </c>
      <c r="T19" s="116">
        <f>'Hardware Configurations'!I14</f>
        <v>0.63</v>
      </c>
      <c r="U19" s="7">
        <f t="shared" ref="U19:Y21" si="11">M$19*$T19</f>
        <v>0</v>
      </c>
      <c r="V19" s="7">
        <f t="shared" si="11"/>
        <v>0</v>
      </c>
      <c r="W19" s="7">
        <f t="shared" si="11"/>
        <v>13478.85</v>
      </c>
      <c r="X19" s="7">
        <f t="shared" si="11"/>
        <v>13478.85</v>
      </c>
      <c r="Y19" s="7">
        <f t="shared" si="11"/>
        <v>0</v>
      </c>
      <c r="Z19" s="7">
        <f t="shared" si="0"/>
        <v>26957.7</v>
      </c>
      <c r="AA19"/>
    </row>
    <row r="20" spans="2:34" ht="55.5" customHeight="1">
      <c r="B20" s="362"/>
      <c r="C20" s="365"/>
      <c r="D20" s="368"/>
      <c r="E20" s="356"/>
      <c r="F20" s="356"/>
      <c r="G20" s="356"/>
      <c r="H20" s="356"/>
      <c r="I20" s="374"/>
      <c r="J20" s="374"/>
      <c r="K20" s="356"/>
      <c r="L20" s="371"/>
      <c r="M20" s="356"/>
      <c r="N20" s="356"/>
      <c r="O20" s="356"/>
      <c r="P20" s="356"/>
      <c r="Q20" s="356"/>
      <c r="R20" s="359"/>
      <c r="S20" s="7" t="s">
        <v>227</v>
      </c>
      <c r="T20" s="116">
        <f>'Hardware Configurations'!J14</f>
        <v>0.22</v>
      </c>
      <c r="U20" s="7">
        <f t="shared" si="11"/>
        <v>0</v>
      </c>
      <c r="V20" s="7">
        <f t="shared" si="11"/>
        <v>0</v>
      </c>
      <c r="W20" s="7">
        <f t="shared" si="11"/>
        <v>4706.8999999999996</v>
      </c>
      <c r="X20" s="7">
        <f t="shared" si="11"/>
        <v>4706.8999999999996</v>
      </c>
      <c r="Y20" s="7">
        <f t="shared" si="11"/>
        <v>0</v>
      </c>
      <c r="Z20" s="7">
        <f t="shared" si="0"/>
        <v>9413.7999999999993</v>
      </c>
      <c r="AA20"/>
      <c r="AB20" s="111" t="s">
        <v>297</v>
      </c>
      <c r="AC20" s="111" t="s">
        <v>224</v>
      </c>
      <c r="AD20" s="111" t="s">
        <v>225</v>
      </c>
      <c r="AE20" s="111" t="s">
        <v>226</v>
      </c>
      <c r="AF20" s="111" t="s">
        <v>227</v>
      </c>
      <c r="AG20" s="111" t="s">
        <v>228</v>
      </c>
      <c r="AH20" s="111" t="s">
        <v>229</v>
      </c>
    </row>
    <row r="21" spans="2:34" ht="42" customHeight="1">
      <c r="B21" s="363"/>
      <c r="C21" s="366"/>
      <c r="D21" s="369"/>
      <c r="E21" s="357"/>
      <c r="F21" s="357"/>
      <c r="G21" s="357"/>
      <c r="H21" s="357"/>
      <c r="I21" s="375"/>
      <c r="J21" s="375"/>
      <c r="K21" s="357"/>
      <c r="L21" s="372"/>
      <c r="M21" s="357"/>
      <c r="N21" s="357"/>
      <c r="O21" s="357"/>
      <c r="P21" s="357"/>
      <c r="Q21" s="357"/>
      <c r="R21" s="360"/>
      <c r="S21" s="7" t="s">
        <v>228</v>
      </c>
      <c r="T21" s="116">
        <f>'Hardware Configurations'!K14</f>
        <v>0.26</v>
      </c>
      <c r="U21" s="7">
        <f t="shared" si="11"/>
        <v>0</v>
      </c>
      <c r="V21" s="7">
        <f t="shared" si="11"/>
        <v>0</v>
      </c>
      <c r="W21" s="7">
        <f t="shared" si="11"/>
        <v>5562.7</v>
      </c>
      <c r="X21" s="7">
        <f t="shared" si="11"/>
        <v>5562.7</v>
      </c>
      <c r="Y21" s="7">
        <f t="shared" si="11"/>
        <v>0</v>
      </c>
      <c r="Z21" s="7">
        <f t="shared" si="0"/>
        <v>11125.4</v>
      </c>
      <c r="AA21"/>
      <c r="AB21" s="112" t="s">
        <v>241</v>
      </c>
      <c r="AC21" s="164">
        <f>AC3/AH3</f>
        <v>0.17219837193984719</v>
      </c>
      <c r="AD21" s="164">
        <f>AC4/AH4</f>
        <v>0.17241255069549077</v>
      </c>
      <c r="AE21" s="164">
        <f>AC5/AH5</f>
        <v>0.10680425538400508</v>
      </c>
      <c r="AF21" s="164">
        <f>AC6/AH6</f>
        <v>0.10175211483438894</v>
      </c>
      <c r="AG21" s="164">
        <f>AC7/AH7</f>
        <v>0.10858943998347069</v>
      </c>
      <c r="AH21" s="164">
        <f>AC8/AH8</f>
        <v>0.14832653300086762</v>
      </c>
    </row>
    <row r="22" spans="2:34" ht="26.25" thickBot="1">
      <c r="M22" s="104">
        <f>SUM(M3,M4,M7,M11,M13,M16,M19)</f>
        <v>41262.506475371149</v>
      </c>
      <c r="N22" s="104">
        <f t="shared" ref="N22:R22" si="12">SUM(N3,N4,N7,N11,N13,N16,N19)</f>
        <v>45375.093949864604</v>
      </c>
      <c r="O22" s="104">
        <f t="shared" si="12"/>
        <v>70957.372278244642</v>
      </c>
      <c r="P22" s="104">
        <f t="shared" si="12"/>
        <v>71899.344297234667</v>
      </c>
      <c r="Q22" s="104">
        <f t="shared" si="12"/>
        <v>47794.642716476796</v>
      </c>
      <c r="R22" s="104">
        <f t="shared" si="12"/>
        <v>277288.95971719187</v>
      </c>
      <c r="AA22"/>
      <c r="AB22" s="112" t="s">
        <v>242</v>
      </c>
      <c r="AC22" s="164">
        <f>AD3/AH3</f>
        <v>0.19223860550777438</v>
      </c>
      <c r="AD22" s="164">
        <f>AD4/AH4</f>
        <v>0.19218886723242112</v>
      </c>
      <c r="AE22" s="164">
        <f>AD5/AH5</f>
        <v>0.11081682284618022</v>
      </c>
      <c r="AF22" s="164">
        <f>AD6/AH6</f>
        <v>0.10462386353198067</v>
      </c>
      <c r="AG22" s="164">
        <f>AD7/AH7</f>
        <v>0.11300511818045515</v>
      </c>
      <c r="AH22" s="164">
        <f>AD8/AH8</f>
        <v>0.19778231172068625</v>
      </c>
    </row>
    <row r="23" spans="2:34" ht="30">
      <c r="L23" s="299" t="s">
        <v>544</v>
      </c>
      <c r="AA23"/>
      <c r="AB23" s="112" t="s">
        <v>243</v>
      </c>
      <c r="AC23" s="164">
        <f>AE3/AH3</f>
        <v>0.21323451591321732</v>
      </c>
      <c r="AD23" s="164">
        <f>AE4/AH4</f>
        <v>0.21317934532435825</v>
      </c>
      <c r="AE23" s="164">
        <f>AE5/AH5</f>
        <v>0.33408080882461394</v>
      </c>
      <c r="AF23" s="164">
        <f>AE6/AH6</f>
        <v>0.34331212393852789</v>
      </c>
      <c r="AG23" s="164">
        <f>AE7/AH7</f>
        <v>0.3308189040117272</v>
      </c>
      <c r="AH23" s="164">
        <f>AE8/AH8</f>
        <v>0.21938369446948577</v>
      </c>
    </row>
    <row r="24" spans="2:34" ht="26.25" thickBot="1">
      <c r="E24" s="213"/>
      <c r="F24" s="213"/>
      <c r="G24" s="213"/>
      <c r="H24" s="213"/>
      <c r="I24" s="213"/>
      <c r="J24" s="213"/>
      <c r="K24" s="213"/>
      <c r="L24" s="290">
        <f>SUM(H11,J11)/SUM(H9,J9)</f>
        <v>1.1908990482664854</v>
      </c>
      <c r="S24"/>
      <c r="T24"/>
      <c r="U24"/>
      <c r="V24"/>
      <c r="AA24"/>
      <c r="AB24" s="112" t="s">
        <v>244</v>
      </c>
      <c r="AC24" s="164">
        <f>AF3/AH3</f>
        <v>0.21795776537602535</v>
      </c>
      <c r="AD24" s="164">
        <f>AF4/AH4</f>
        <v>0.21790137273147289</v>
      </c>
      <c r="AE24" s="164">
        <f>AF5/AH5</f>
        <v>0.33503369842901859</v>
      </c>
      <c r="AF24" s="164">
        <f>AF6/AH6</f>
        <v>0.34397790621207075</v>
      </c>
      <c r="AG24" s="164">
        <f>AF7/AH7</f>
        <v>0.33187324360162107</v>
      </c>
      <c r="AH24" s="164">
        <f>AF8/AH8</f>
        <v>0.22424315126340158</v>
      </c>
    </row>
    <row r="25" spans="2:34" ht="30">
      <c r="E25" s="213"/>
      <c r="F25" s="213"/>
      <c r="G25" s="213"/>
      <c r="H25" s="213"/>
      <c r="I25" s="213"/>
      <c r="J25" s="213"/>
      <c r="K25" s="213"/>
      <c r="L25" s="292" t="s">
        <v>519</v>
      </c>
      <c r="S25"/>
      <c r="T25"/>
      <c r="U25"/>
      <c r="V25"/>
      <c r="AB25" s="112" t="s">
        <v>245</v>
      </c>
      <c r="AC25" s="164">
        <f>AG3/AH3</f>
        <v>0.20437074126313579</v>
      </c>
      <c r="AD25" s="164">
        <f>AG4/AH4</f>
        <v>0.20431786401625687</v>
      </c>
      <c r="AE25" s="164">
        <f>AG5/AH5</f>
        <v>0.11326441451618216</v>
      </c>
      <c r="AF25" s="164">
        <f>AG6/AH6</f>
        <v>0.10633399148303176</v>
      </c>
      <c r="AG25" s="164">
        <f>AG7/AH7</f>
        <v>0.1157132942227259</v>
      </c>
      <c r="AH25" s="164">
        <f>AG8/AH8</f>
        <v>0.21026430954555878</v>
      </c>
    </row>
    <row r="26" spans="2:34" ht="15.75" thickBot="1">
      <c r="E26" s="213"/>
      <c r="F26" s="213"/>
      <c r="G26" s="213"/>
      <c r="H26" s="213"/>
      <c r="I26" s="213"/>
      <c r="J26" s="213"/>
      <c r="K26" s="213"/>
      <c r="L26" s="291">
        <v>0.9</v>
      </c>
      <c r="S26"/>
      <c r="T26"/>
      <c r="U26"/>
      <c r="V26"/>
    </row>
    <row r="27" spans="2:34">
      <c r="E27" s="213"/>
      <c r="F27" s="213"/>
      <c r="G27" s="213"/>
      <c r="H27" s="213"/>
      <c r="I27" s="213"/>
      <c r="J27" s="213"/>
      <c r="K27" s="213"/>
      <c r="S27"/>
      <c r="T27"/>
      <c r="U27"/>
      <c r="V27"/>
    </row>
    <row r="28" spans="2:34">
      <c r="S28"/>
      <c r="T28"/>
      <c r="U28"/>
      <c r="V28"/>
    </row>
    <row r="29" spans="2:34">
      <c r="S29"/>
      <c r="T29"/>
      <c r="U29"/>
      <c r="V29"/>
    </row>
    <row r="30" spans="2:34">
      <c r="S30"/>
      <c r="T30"/>
      <c r="U30"/>
      <c r="V30"/>
    </row>
    <row r="31" spans="2:34">
      <c r="S31"/>
      <c r="T31"/>
      <c r="U31"/>
      <c r="V31"/>
    </row>
    <row r="32" spans="2:34">
      <c r="S32"/>
      <c r="T32"/>
      <c r="U32"/>
      <c r="V32"/>
    </row>
  </sheetData>
  <mergeCells count="85">
    <mergeCell ref="E7:E8"/>
    <mergeCell ref="E11:E15"/>
    <mergeCell ref="E16:E21"/>
    <mergeCell ref="H4:H6"/>
    <mergeCell ref="H7:H8"/>
    <mergeCell ref="H11:H15"/>
    <mergeCell ref="H16:H21"/>
    <mergeCell ref="F4:F6"/>
    <mergeCell ref="F7:F8"/>
    <mergeCell ref="F11:F15"/>
    <mergeCell ref="F16:F21"/>
    <mergeCell ref="G4:G6"/>
    <mergeCell ref="G7:G8"/>
    <mergeCell ref="G11:G15"/>
    <mergeCell ref="G16:G21"/>
    <mergeCell ref="P7:P8"/>
    <mergeCell ref="Q7:Q8"/>
    <mergeCell ref="R7:R8"/>
    <mergeCell ref="O7:O8"/>
    <mergeCell ref="Q16:Q18"/>
    <mergeCell ref="R16:R18"/>
    <mergeCell ref="O11:O12"/>
    <mergeCell ref="P11:P12"/>
    <mergeCell ref="Q11:Q12"/>
    <mergeCell ref="R11:R12"/>
    <mergeCell ref="O16:O18"/>
    <mergeCell ref="P16:P18"/>
    <mergeCell ref="O13:O15"/>
    <mergeCell ref="P13:P15"/>
    <mergeCell ref="Q13:Q15"/>
    <mergeCell ref="R13:R15"/>
    <mergeCell ref="S2:T2"/>
    <mergeCell ref="O4:O6"/>
    <mergeCell ref="P4:P6"/>
    <mergeCell ref="Q4:Q6"/>
    <mergeCell ref="R4:R6"/>
    <mergeCell ref="B4:B6"/>
    <mergeCell ref="C4:C6"/>
    <mergeCell ref="D4:D6"/>
    <mergeCell ref="M4:M6"/>
    <mergeCell ref="N4:N6"/>
    <mergeCell ref="I4:I6"/>
    <mergeCell ref="L4:L8"/>
    <mergeCell ref="I7:I8"/>
    <mergeCell ref="B7:B8"/>
    <mergeCell ref="C7:C8"/>
    <mergeCell ref="D7:D8"/>
    <mergeCell ref="M7:M8"/>
    <mergeCell ref="N7:N8"/>
    <mergeCell ref="K4:K6"/>
    <mergeCell ref="K7:K8"/>
    <mergeCell ref="E4:E6"/>
    <mergeCell ref="B16:B18"/>
    <mergeCell ref="C16:C18"/>
    <mergeCell ref="D16:D18"/>
    <mergeCell ref="M16:M18"/>
    <mergeCell ref="N16:N18"/>
    <mergeCell ref="I16:I21"/>
    <mergeCell ref="K16:K21"/>
    <mergeCell ref="L16:L18"/>
    <mergeCell ref="J16:J21"/>
    <mergeCell ref="B11:B12"/>
    <mergeCell ref="C11:C12"/>
    <mergeCell ref="D11:D12"/>
    <mergeCell ref="M11:M12"/>
    <mergeCell ref="N11:N12"/>
    <mergeCell ref="I11:I15"/>
    <mergeCell ref="B13:B15"/>
    <mergeCell ref="C13:C15"/>
    <mergeCell ref="D13:D15"/>
    <mergeCell ref="K11:K15"/>
    <mergeCell ref="M13:M15"/>
    <mergeCell ref="N13:N15"/>
    <mergeCell ref="L11:L15"/>
    <mergeCell ref="J11:J15"/>
    <mergeCell ref="P19:P21"/>
    <mergeCell ref="Q19:Q21"/>
    <mergeCell ref="R19:R21"/>
    <mergeCell ref="O19:O21"/>
    <mergeCell ref="B19:B21"/>
    <mergeCell ref="C19:C21"/>
    <mergeCell ref="D19:D21"/>
    <mergeCell ref="M19:M21"/>
    <mergeCell ref="N19:N21"/>
    <mergeCell ref="L19:L21"/>
  </mergeCells>
  <pageMargins left="0.31496062992125984" right="0.31496062992125984" top="0.74803149606299213" bottom="0.74803149606299213" header="0.31496062992125984" footer="0.31496062992125984"/>
  <pageSetup paperSize="8" scale="88" orientation="landscape" verticalDpi="0" r:id="rId1"/>
</worksheet>
</file>

<file path=xl/worksheets/sheet6.xml><?xml version="1.0" encoding="utf-8"?>
<worksheet xmlns="http://schemas.openxmlformats.org/spreadsheetml/2006/main" xmlns:r="http://schemas.openxmlformats.org/officeDocument/2006/relationships">
  <sheetPr>
    <pageSetUpPr fitToPage="1"/>
  </sheetPr>
  <dimension ref="B1:Z28"/>
  <sheetViews>
    <sheetView zoomScale="115" zoomScaleNormal="115" workbookViewId="0">
      <selection activeCell="A28" sqref="A28"/>
    </sheetView>
  </sheetViews>
  <sheetFormatPr defaultRowHeight="15"/>
  <cols>
    <col min="1" max="1" width="4.28515625" customWidth="1"/>
    <col min="2" max="2" width="13.85546875" bestFit="1" customWidth="1"/>
    <col min="3" max="3" width="16.5703125" customWidth="1"/>
    <col min="4" max="4" width="14.28515625" customWidth="1"/>
    <col min="5" max="8" width="6" bestFit="1" customWidth="1"/>
    <col min="9" max="9" width="7.85546875" bestFit="1" customWidth="1"/>
    <col min="10" max="10" width="10.140625" bestFit="1" customWidth="1"/>
    <col min="11" max="11" width="18" customWidth="1"/>
    <col min="12" max="16" width="6.7109375" bestFit="1" customWidth="1"/>
    <col min="17" max="17" width="7.85546875" bestFit="1" customWidth="1"/>
    <col min="18" max="19" width="9.42578125" style="215" customWidth="1"/>
    <col min="21" max="21" width="11.42578125" bestFit="1" customWidth="1"/>
    <col min="22" max="26" width="11.42578125" customWidth="1"/>
  </cols>
  <sheetData>
    <row r="1" spans="2:26" ht="8.25" customHeight="1"/>
    <row r="2" spans="2:26" ht="38.25">
      <c r="B2" s="1" t="s">
        <v>12</v>
      </c>
      <c r="C2" s="1" t="s">
        <v>13</v>
      </c>
      <c r="D2" s="2" t="s">
        <v>4</v>
      </c>
      <c r="E2" s="100" t="s">
        <v>477</v>
      </c>
      <c r="F2" s="100" t="s">
        <v>478</v>
      </c>
      <c r="G2" s="100" t="s">
        <v>479</v>
      </c>
      <c r="H2" s="100" t="s">
        <v>522</v>
      </c>
      <c r="I2" s="100" t="s">
        <v>491</v>
      </c>
      <c r="J2" s="100" t="s">
        <v>546</v>
      </c>
      <c r="K2" s="100" t="s">
        <v>305</v>
      </c>
      <c r="L2" s="3" t="s">
        <v>14</v>
      </c>
      <c r="M2" s="3" t="s">
        <v>15</v>
      </c>
      <c r="N2" s="3" t="s">
        <v>16</v>
      </c>
      <c r="O2" s="3" t="s">
        <v>17</v>
      </c>
      <c r="P2" s="3" t="s">
        <v>18</v>
      </c>
      <c r="Q2" s="105" t="s">
        <v>230</v>
      </c>
      <c r="R2" s="416" t="s">
        <v>251</v>
      </c>
      <c r="S2" s="417"/>
      <c r="U2" s="106"/>
      <c r="V2" s="119" t="s">
        <v>241</v>
      </c>
      <c r="W2" s="119" t="s">
        <v>242</v>
      </c>
      <c r="X2" s="119" t="s">
        <v>243</v>
      </c>
      <c r="Y2" s="119" t="s">
        <v>244</v>
      </c>
      <c r="Z2" s="119" t="s">
        <v>245</v>
      </c>
    </row>
    <row r="3" spans="2:26" ht="25.5" customHeight="1">
      <c r="B3" s="407" t="s">
        <v>516</v>
      </c>
      <c r="C3" s="409" t="s">
        <v>7</v>
      </c>
      <c r="D3" s="409" t="s">
        <v>5</v>
      </c>
      <c r="E3" s="401">
        <v>13774</v>
      </c>
      <c r="F3" s="401">
        <v>10736</v>
      </c>
      <c r="G3" s="401">
        <v>10873</v>
      </c>
      <c r="H3" s="401">
        <v>10173</v>
      </c>
      <c r="I3" s="401">
        <v>10698</v>
      </c>
      <c r="J3" s="401">
        <f>AVERAGE(E3:I6)</f>
        <v>11250.8</v>
      </c>
      <c r="K3" s="409" t="s">
        <v>306</v>
      </c>
      <c r="L3" s="401">
        <f>$J3</f>
        <v>11250.8</v>
      </c>
      <c r="M3" s="401">
        <f>$J3</f>
        <v>11250.8</v>
      </c>
      <c r="N3" s="401">
        <f>$J3</f>
        <v>11250.8</v>
      </c>
      <c r="O3" s="401">
        <f>$J3</f>
        <v>11250.8</v>
      </c>
      <c r="P3" s="401">
        <f>$J3</f>
        <v>11250.8</v>
      </c>
      <c r="Q3" s="401">
        <f>SUM(L3:P6)</f>
        <v>56254</v>
      </c>
      <c r="R3" s="252" t="s">
        <v>226</v>
      </c>
      <c r="S3" s="120">
        <f>'Hardware Configurations'!I23</f>
        <v>0.47399999999999998</v>
      </c>
      <c r="U3" s="3" t="s">
        <v>224</v>
      </c>
      <c r="V3" s="114">
        <f t="shared" ref="V3:Z4" si="0">$S7*L$7</f>
        <v>1256.4136000000001</v>
      </c>
      <c r="W3" s="114">
        <f t="shared" si="0"/>
        <v>1256.4136000000001</v>
      </c>
      <c r="X3" s="114">
        <f t="shared" si="0"/>
        <v>1256.4136000000001</v>
      </c>
      <c r="Y3" s="114">
        <f t="shared" si="0"/>
        <v>1256.4136000000001</v>
      </c>
      <c r="Z3" s="114">
        <f t="shared" si="0"/>
        <v>1256.4136000000001</v>
      </c>
    </row>
    <row r="4" spans="2:26">
      <c r="B4" s="411"/>
      <c r="C4" s="412"/>
      <c r="D4" s="412"/>
      <c r="E4" s="413"/>
      <c r="F4" s="413"/>
      <c r="G4" s="413"/>
      <c r="H4" s="413"/>
      <c r="I4" s="413"/>
      <c r="J4" s="413"/>
      <c r="K4" s="412"/>
      <c r="L4" s="413"/>
      <c r="M4" s="413"/>
      <c r="N4" s="413"/>
      <c r="O4" s="413"/>
      <c r="P4" s="413"/>
      <c r="Q4" s="413"/>
      <c r="R4" s="252" t="s">
        <v>227</v>
      </c>
      <c r="S4" s="120">
        <f>'Hardware Configurations'!J23</f>
        <v>0.2</v>
      </c>
      <c r="U4" s="3" t="s">
        <v>225</v>
      </c>
      <c r="V4" s="114">
        <f t="shared" si="0"/>
        <v>602.18640000000005</v>
      </c>
      <c r="W4" s="114">
        <f t="shared" si="0"/>
        <v>602.18640000000005</v>
      </c>
      <c r="X4" s="114">
        <f t="shared" si="0"/>
        <v>602.18640000000005</v>
      </c>
      <c r="Y4" s="114">
        <f t="shared" si="0"/>
        <v>602.18640000000005</v>
      </c>
      <c r="Z4" s="114">
        <f t="shared" si="0"/>
        <v>602.18640000000005</v>
      </c>
    </row>
    <row r="5" spans="2:26">
      <c r="B5" s="411"/>
      <c r="C5" s="412"/>
      <c r="D5" s="412"/>
      <c r="E5" s="413"/>
      <c r="F5" s="413"/>
      <c r="G5" s="413"/>
      <c r="H5" s="413"/>
      <c r="I5" s="413"/>
      <c r="J5" s="413"/>
      <c r="K5" s="412"/>
      <c r="L5" s="413"/>
      <c r="M5" s="413"/>
      <c r="N5" s="413"/>
      <c r="O5" s="413"/>
      <c r="P5" s="413"/>
      <c r="Q5" s="413"/>
      <c r="R5" s="252" t="s">
        <v>228</v>
      </c>
      <c r="S5" s="120">
        <f>'Hardware Configurations'!K23</f>
        <v>0.32400000000000007</v>
      </c>
      <c r="U5" s="3" t="s">
        <v>226</v>
      </c>
      <c r="V5" s="114">
        <f t="shared" ref="V5:Z8" si="1">$S3*L$3</f>
        <v>5332.8791999999994</v>
      </c>
      <c r="W5" s="114">
        <f t="shared" si="1"/>
        <v>5332.8791999999994</v>
      </c>
      <c r="X5" s="114">
        <f t="shared" si="1"/>
        <v>5332.8791999999994</v>
      </c>
      <c r="Y5" s="114">
        <f t="shared" si="1"/>
        <v>5332.8791999999994</v>
      </c>
      <c r="Z5" s="114">
        <f t="shared" si="1"/>
        <v>5332.8791999999994</v>
      </c>
    </row>
    <row r="6" spans="2:26">
      <c r="B6" s="408"/>
      <c r="C6" s="410"/>
      <c r="D6" s="410"/>
      <c r="E6" s="402"/>
      <c r="F6" s="402"/>
      <c r="G6" s="402"/>
      <c r="H6" s="402"/>
      <c r="I6" s="402"/>
      <c r="J6" s="402"/>
      <c r="K6" s="410"/>
      <c r="L6" s="402"/>
      <c r="M6" s="402"/>
      <c r="N6" s="402"/>
      <c r="O6" s="402"/>
      <c r="P6" s="402"/>
      <c r="Q6" s="402"/>
      <c r="R6" s="252" t="s">
        <v>229</v>
      </c>
      <c r="S6" s="120">
        <f>'Hardware Configurations'!L23</f>
        <v>2E-3</v>
      </c>
      <c r="U6" s="3" t="s">
        <v>227</v>
      </c>
      <c r="V6" s="114">
        <f t="shared" si="1"/>
        <v>2250.16</v>
      </c>
      <c r="W6" s="114">
        <f t="shared" si="1"/>
        <v>2250.16</v>
      </c>
      <c r="X6" s="114">
        <f t="shared" si="1"/>
        <v>2250.16</v>
      </c>
      <c r="Y6" s="114">
        <f t="shared" si="1"/>
        <v>2250.16</v>
      </c>
      <c r="Z6" s="114">
        <f t="shared" si="1"/>
        <v>2250.16</v>
      </c>
    </row>
    <row r="7" spans="2:26" ht="51.75" customHeight="1">
      <c r="B7" s="407" t="s">
        <v>516</v>
      </c>
      <c r="C7" s="409" t="s">
        <v>547</v>
      </c>
      <c r="D7" s="409" t="s">
        <v>5</v>
      </c>
      <c r="E7" s="401">
        <v>880</v>
      </c>
      <c r="F7" s="401">
        <v>1668</v>
      </c>
      <c r="G7" s="401">
        <v>3684</v>
      </c>
      <c r="H7" s="401">
        <v>1291</v>
      </c>
      <c r="I7" s="401">
        <v>1770</v>
      </c>
      <c r="J7" s="401">
        <f>AVERAGE(E7:I8)</f>
        <v>1858.6</v>
      </c>
      <c r="K7" s="409" t="s">
        <v>306</v>
      </c>
      <c r="L7" s="401">
        <f>$J7</f>
        <v>1858.6</v>
      </c>
      <c r="M7" s="401">
        <f>$J7</f>
        <v>1858.6</v>
      </c>
      <c r="N7" s="401">
        <f>$J7</f>
        <v>1858.6</v>
      </c>
      <c r="O7" s="401">
        <f>$J7</f>
        <v>1858.6</v>
      </c>
      <c r="P7" s="401">
        <f>$J7</f>
        <v>1858.6</v>
      </c>
      <c r="Q7" s="401">
        <f>SUM(L7:P8)</f>
        <v>9293</v>
      </c>
      <c r="R7" s="252" t="s">
        <v>224</v>
      </c>
      <c r="S7" s="120">
        <f>'Hardware Configurations'!G23</f>
        <v>0.67600000000000005</v>
      </c>
      <c r="U7" s="3" t="s">
        <v>228</v>
      </c>
      <c r="V7" s="114">
        <f t="shared" si="1"/>
        <v>3645.2592000000004</v>
      </c>
      <c r="W7" s="114">
        <f t="shared" si="1"/>
        <v>3645.2592000000004</v>
      </c>
      <c r="X7" s="114">
        <f t="shared" si="1"/>
        <v>3645.2592000000004</v>
      </c>
      <c r="Y7" s="114">
        <f t="shared" si="1"/>
        <v>3645.2592000000004</v>
      </c>
      <c r="Z7" s="114">
        <f t="shared" si="1"/>
        <v>3645.2592000000004</v>
      </c>
    </row>
    <row r="8" spans="2:26" ht="51.75" customHeight="1">
      <c r="B8" s="408"/>
      <c r="C8" s="410"/>
      <c r="D8" s="410"/>
      <c r="E8" s="402"/>
      <c r="F8" s="402"/>
      <c r="G8" s="402"/>
      <c r="H8" s="402"/>
      <c r="I8" s="402"/>
      <c r="J8" s="402"/>
      <c r="K8" s="410"/>
      <c r="L8" s="402"/>
      <c r="M8" s="402"/>
      <c r="N8" s="402"/>
      <c r="O8" s="402"/>
      <c r="P8" s="402"/>
      <c r="Q8" s="402"/>
      <c r="R8" s="252" t="s">
        <v>225</v>
      </c>
      <c r="S8" s="120">
        <f>'Hardware Configurations'!H23</f>
        <v>0.32400000000000007</v>
      </c>
      <c r="U8" s="3" t="s">
        <v>229</v>
      </c>
      <c r="V8" s="114">
        <f t="shared" si="1"/>
        <v>22.5016</v>
      </c>
      <c r="W8" s="114">
        <f t="shared" si="1"/>
        <v>22.5016</v>
      </c>
      <c r="X8" s="114">
        <f t="shared" si="1"/>
        <v>22.5016</v>
      </c>
      <c r="Y8" s="114">
        <f t="shared" si="1"/>
        <v>22.5016</v>
      </c>
      <c r="Z8" s="114">
        <f t="shared" si="1"/>
        <v>22.5016</v>
      </c>
    </row>
    <row r="9" spans="2:26" ht="15.75">
      <c r="B9" s="106"/>
      <c r="C9" s="106"/>
      <c r="D9" s="106"/>
      <c r="E9" s="106"/>
      <c r="F9" s="106"/>
      <c r="G9" s="106"/>
      <c r="H9" s="106"/>
      <c r="I9" s="106"/>
      <c r="J9" s="106"/>
      <c r="K9" s="106"/>
      <c r="L9" s="107">
        <f t="shared" ref="L9:Q9" si="2">L3+L7</f>
        <v>13109.4</v>
      </c>
      <c r="M9" s="107">
        <f t="shared" si="2"/>
        <v>13109.4</v>
      </c>
      <c r="N9" s="107">
        <f t="shared" si="2"/>
        <v>13109.4</v>
      </c>
      <c r="O9" s="107">
        <f t="shared" si="2"/>
        <v>13109.4</v>
      </c>
      <c r="P9" s="107">
        <f t="shared" si="2"/>
        <v>13109.4</v>
      </c>
      <c r="Q9" s="107">
        <f t="shared" si="2"/>
        <v>65547</v>
      </c>
      <c r="R9" s="106"/>
      <c r="S9" s="106"/>
      <c r="U9" s="119" t="s">
        <v>221</v>
      </c>
      <c r="V9" s="9">
        <f>SUM(V3:V8)</f>
        <v>13109.4</v>
      </c>
      <c r="W9" s="9">
        <f>SUM(W3:W8)</f>
        <v>13109.4</v>
      </c>
      <c r="X9" s="9">
        <f>SUM(X3:X8)</f>
        <v>13109.4</v>
      </c>
      <c r="Y9" s="9">
        <f>SUM(Y3:Y8)</f>
        <v>13109.4</v>
      </c>
      <c r="Z9" s="9">
        <f>SUM(Z3:Z8)</f>
        <v>13109.4</v>
      </c>
    </row>
    <row r="10" spans="2:26" ht="8.25" customHeight="1">
      <c r="B10" s="106"/>
      <c r="C10" s="106"/>
      <c r="D10" s="106"/>
      <c r="E10" s="106"/>
      <c r="F10" s="106"/>
      <c r="G10" s="106"/>
      <c r="H10" s="106"/>
      <c r="I10" s="106"/>
      <c r="J10" s="106"/>
      <c r="K10" s="106"/>
      <c r="L10" s="106"/>
      <c r="M10" s="106"/>
      <c r="N10" s="106"/>
      <c r="O10" s="106"/>
      <c r="P10" s="106"/>
      <c r="Q10" s="106"/>
      <c r="R10" s="106"/>
      <c r="S10" s="106"/>
      <c r="U10" s="106"/>
      <c r="V10" s="121"/>
      <c r="W10" s="121"/>
      <c r="X10" s="121"/>
      <c r="Y10" s="121"/>
      <c r="Z10" s="121"/>
    </row>
    <row r="11" spans="2:26" ht="38.25">
      <c r="B11" s="106"/>
      <c r="C11" s="106"/>
      <c r="D11" s="106"/>
      <c r="E11" s="106"/>
      <c r="F11" s="106"/>
      <c r="G11" s="106"/>
      <c r="H11" s="106"/>
      <c r="I11" s="106"/>
      <c r="J11" s="106"/>
      <c r="K11" s="106"/>
      <c r="L11" s="106"/>
      <c r="M11" s="106"/>
      <c r="N11" s="106"/>
      <c r="O11" s="106"/>
      <c r="P11" s="106"/>
      <c r="Q11" s="106"/>
      <c r="R11" s="106"/>
      <c r="S11" s="106"/>
      <c r="U11" s="106" t="s">
        <v>285</v>
      </c>
      <c r="V11" s="119" t="s">
        <v>246</v>
      </c>
      <c r="W11" s="119" t="s">
        <v>247</v>
      </c>
      <c r="X11" s="119" t="s">
        <v>248</v>
      </c>
      <c r="Y11" s="119" t="s">
        <v>249</v>
      </c>
      <c r="Z11" s="119" t="s">
        <v>250</v>
      </c>
    </row>
    <row r="12" spans="2:26">
      <c r="B12" s="106"/>
      <c r="C12" s="106"/>
      <c r="D12" s="106"/>
      <c r="E12" s="106"/>
      <c r="F12" s="106"/>
      <c r="G12" s="106"/>
      <c r="H12" s="106"/>
      <c r="I12" s="106"/>
      <c r="J12" s="106"/>
      <c r="K12" s="106"/>
      <c r="L12" s="106"/>
      <c r="M12" s="106"/>
      <c r="N12" s="106"/>
      <c r="O12" s="106"/>
      <c r="P12" s="106"/>
      <c r="Q12" s="106"/>
      <c r="R12" s="106"/>
      <c r="S12" s="106"/>
      <c r="U12" s="3" t="s">
        <v>224</v>
      </c>
      <c r="V12" s="117">
        <f>V3*'Meter Hardware Price'!$E4</f>
        <v>28269.306</v>
      </c>
      <c r="W12" s="117">
        <f>W3*'Meter Hardware Price'!$E4</f>
        <v>28269.306</v>
      </c>
      <c r="X12" s="117">
        <f>X3*'Meter Hardware Price'!$E4</f>
        <v>28269.306</v>
      </c>
      <c r="Y12" s="117">
        <f>Y3*'Meter Hardware Price'!$E4</f>
        <v>28269.306</v>
      </c>
      <c r="Z12" s="117">
        <f>Z3*'Meter Hardware Price'!$E4</f>
        <v>28269.306</v>
      </c>
    </row>
    <row r="13" spans="2:26">
      <c r="B13" s="106"/>
      <c r="C13" s="106"/>
      <c r="D13" s="106"/>
      <c r="E13" s="106"/>
      <c r="F13" s="106"/>
      <c r="G13" s="106"/>
      <c r="H13" s="106"/>
      <c r="I13" s="106"/>
      <c r="J13" s="106"/>
      <c r="K13" s="106"/>
      <c r="L13" s="106"/>
      <c r="M13" s="106"/>
      <c r="N13" s="106"/>
      <c r="O13" s="106"/>
      <c r="P13" s="106"/>
      <c r="Q13" s="106"/>
      <c r="R13" s="106"/>
      <c r="S13" s="106"/>
      <c r="U13" s="3" t="s">
        <v>225</v>
      </c>
      <c r="V13" s="117">
        <f>V4*'Meter Hardware Price'!$E5</f>
        <v>56454.975000000006</v>
      </c>
      <c r="W13" s="117">
        <f>W4*'Meter Hardware Price'!$E5</f>
        <v>56454.975000000006</v>
      </c>
      <c r="X13" s="117">
        <f>X4*'Meter Hardware Price'!$E5</f>
        <v>56454.975000000006</v>
      </c>
      <c r="Y13" s="117">
        <f>Y4*'Meter Hardware Price'!$E5</f>
        <v>56454.975000000006</v>
      </c>
      <c r="Z13" s="117">
        <f>Z4*'Meter Hardware Price'!$E5</f>
        <v>56454.975000000006</v>
      </c>
    </row>
    <row r="14" spans="2:26">
      <c r="B14" s="106"/>
      <c r="C14" s="106"/>
      <c r="D14" s="106"/>
      <c r="E14" s="106"/>
      <c r="F14" s="106"/>
      <c r="G14" s="106"/>
      <c r="H14" s="106"/>
      <c r="I14" s="106"/>
      <c r="J14" s="106"/>
      <c r="K14" s="106"/>
      <c r="L14" s="106"/>
      <c r="M14" s="106"/>
      <c r="N14" s="106"/>
      <c r="O14" s="106"/>
      <c r="P14" s="106"/>
      <c r="Q14" s="106"/>
      <c r="R14" s="106"/>
      <c r="S14" s="106"/>
      <c r="U14" s="3" t="s">
        <v>226</v>
      </c>
      <c r="V14" s="117">
        <f>V5*'Meter Hardware Price'!$E6</f>
        <v>461294.05079999997</v>
      </c>
      <c r="W14" s="117">
        <f>W5*'Meter Hardware Price'!$E6</f>
        <v>461294.05079999997</v>
      </c>
      <c r="X14" s="117">
        <f>X5*'Meter Hardware Price'!$E6</f>
        <v>461294.05079999997</v>
      </c>
      <c r="Y14" s="117">
        <f>Y5*'Meter Hardware Price'!$E6</f>
        <v>461294.05079999997</v>
      </c>
      <c r="Z14" s="117">
        <f>Z5*'Meter Hardware Price'!$E6</f>
        <v>461294.05079999997</v>
      </c>
    </row>
    <row r="15" spans="2:26">
      <c r="B15" s="106"/>
      <c r="C15" s="106"/>
      <c r="D15" s="106"/>
      <c r="E15" s="106"/>
      <c r="F15" s="106"/>
      <c r="G15" s="106"/>
      <c r="H15" s="106"/>
      <c r="I15" s="106"/>
      <c r="J15" s="106"/>
      <c r="K15" s="106"/>
      <c r="L15" s="106"/>
      <c r="M15" s="106"/>
      <c r="N15" s="106"/>
      <c r="O15" s="106"/>
      <c r="P15" s="106"/>
      <c r="Q15" s="106"/>
      <c r="R15" s="106"/>
      <c r="S15" s="106"/>
      <c r="U15" s="3" t="s">
        <v>227</v>
      </c>
      <c r="V15" s="117">
        <f>V6*'Meter Hardware Price'!$E7</f>
        <v>323272.98666666663</v>
      </c>
      <c r="W15" s="117">
        <f>W6*'Meter Hardware Price'!$E7</f>
        <v>323272.98666666663</v>
      </c>
      <c r="X15" s="117">
        <f>X6*'Meter Hardware Price'!$E7</f>
        <v>323272.98666666663</v>
      </c>
      <c r="Y15" s="117">
        <f>Y6*'Meter Hardware Price'!$E7</f>
        <v>323272.98666666663</v>
      </c>
      <c r="Z15" s="117">
        <f>Z6*'Meter Hardware Price'!$E7</f>
        <v>323272.98666666663</v>
      </c>
    </row>
    <row r="16" spans="2:26">
      <c r="B16" s="106"/>
      <c r="C16" s="106"/>
      <c r="D16" s="106"/>
      <c r="E16" s="106"/>
      <c r="F16" s="106"/>
      <c r="G16" s="106"/>
      <c r="H16" s="106"/>
      <c r="I16" s="106"/>
      <c r="J16" s="106"/>
      <c r="K16" s="106"/>
      <c r="L16" s="106"/>
      <c r="M16" s="106"/>
      <c r="N16" s="106"/>
      <c r="O16" s="106"/>
      <c r="P16" s="106"/>
      <c r="Q16" s="106"/>
      <c r="R16" s="106"/>
      <c r="S16" s="106"/>
      <c r="U16" s="3" t="s">
        <v>228</v>
      </c>
      <c r="V16" s="117">
        <f>V7*'Meter Hardware Price'!$E8</f>
        <v>736342.35840000003</v>
      </c>
      <c r="W16" s="117">
        <f>W7*'Meter Hardware Price'!$E8</f>
        <v>736342.35840000003</v>
      </c>
      <c r="X16" s="117">
        <f>X7*'Meter Hardware Price'!$E8</f>
        <v>736342.35840000003</v>
      </c>
      <c r="Y16" s="117">
        <f>Y7*'Meter Hardware Price'!$E8</f>
        <v>736342.35840000003</v>
      </c>
      <c r="Z16" s="117">
        <f>Z7*'Meter Hardware Price'!$E8</f>
        <v>736342.35840000003</v>
      </c>
    </row>
    <row r="17" spans="2:26">
      <c r="B17" s="106"/>
      <c r="C17" s="106"/>
      <c r="D17" s="106"/>
      <c r="E17" s="106"/>
      <c r="F17" s="106"/>
      <c r="G17" s="106"/>
      <c r="H17" s="106"/>
      <c r="I17" s="106"/>
      <c r="J17" s="106"/>
      <c r="K17" s="106"/>
      <c r="L17" s="106"/>
      <c r="M17" s="106"/>
      <c r="N17" s="106"/>
      <c r="O17" s="106"/>
      <c r="P17" s="106"/>
      <c r="Q17" s="106"/>
      <c r="R17" s="106"/>
      <c r="S17" s="106"/>
      <c r="U17" s="3" t="s">
        <v>229</v>
      </c>
      <c r="V17" s="117">
        <f>V8*'Meter Hardware Price'!$E9</f>
        <v>11678.330400000001</v>
      </c>
      <c r="W17" s="117">
        <f>W8*'Meter Hardware Price'!$E9</f>
        <v>11678.330400000001</v>
      </c>
      <c r="X17" s="117">
        <f>X8*'Meter Hardware Price'!$E9</f>
        <v>11678.330400000001</v>
      </c>
      <c r="Y17" s="117">
        <f>Y8*'Meter Hardware Price'!$E9</f>
        <v>11678.330400000001</v>
      </c>
      <c r="Z17" s="117">
        <f>Z8*'Meter Hardware Price'!$E9</f>
        <v>11678.330400000001</v>
      </c>
    </row>
    <row r="18" spans="2:26">
      <c r="B18" s="106"/>
      <c r="C18" s="106"/>
      <c r="D18" s="106"/>
      <c r="E18" s="106"/>
      <c r="F18" s="106"/>
      <c r="G18" s="106"/>
      <c r="H18" s="106"/>
      <c r="I18" s="106"/>
      <c r="J18" s="106"/>
      <c r="K18" s="106"/>
      <c r="L18" s="106"/>
      <c r="M18" s="106"/>
      <c r="N18" s="106"/>
      <c r="O18" s="106"/>
      <c r="P18" s="106"/>
      <c r="Q18" s="106"/>
      <c r="R18" s="106"/>
      <c r="S18" s="106"/>
      <c r="U18" s="119" t="s">
        <v>221</v>
      </c>
      <c r="V18" s="122">
        <f>SUM(V12:V17)</f>
        <v>1617312.0072666667</v>
      </c>
      <c r="W18" s="122">
        <f>SUM(W12:W17)</f>
        <v>1617312.0072666667</v>
      </c>
      <c r="X18" s="122">
        <f>SUM(X12:X17)</f>
        <v>1617312.0072666667</v>
      </c>
      <c r="Y18" s="122">
        <f>SUM(Y12:Y17)</f>
        <v>1617312.0072666667</v>
      </c>
      <c r="Z18" s="122">
        <f>SUM(Z12:Z17)</f>
        <v>1617312.0072666667</v>
      </c>
    </row>
    <row r="19" spans="2:26" ht="7.5" customHeight="1">
      <c r="B19" s="106"/>
      <c r="C19" s="106"/>
      <c r="D19" s="106"/>
      <c r="E19" s="106"/>
      <c r="F19" s="106"/>
      <c r="G19" s="106"/>
      <c r="H19" s="106"/>
      <c r="I19" s="106"/>
      <c r="J19" s="106"/>
      <c r="K19" s="106"/>
      <c r="L19" s="106"/>
      <c r="M19" s="106"/>
      <c r="N19" s="106"/>
      <c r="O19" s="106"/>
      <c r="P19" s="106"/>
      <c r="Q19" s="106"/>
      <c r="R19" s="106"/>
      <c r="S19" s="106"/>
      <c r="U19" s="106"/>
      <c r="V19" s="121"/>
      <c r="W19" s="121"/>
      <c r="X19" s="121"/>
      <c r="Y19" s="121"/>
      <c r="Z19" s="121"/>
    </row>
    <row r="20" spans="2:26" ht="31.5" customHeight="1">
      <c r="B20" s="1" t="s">
        <v>12</v>
      </c>
      <c r="C20" s="1" t="s">
        <v>13</v>
      </c>
      <c r="D20" s="2" t="s">
        <v>4</v>
      </c>
      <c r="E20" s="100" t="s">
        <v>206</v>
      </c>
      <c r="F20" s="100" t="s">
        <v>206</v>
      </c>
      <c r="G20" s="100" t="s">
        <v>206</v>
      </c>
      <c r="H20" s="100" t="s">
        <v>206</v>
      </c>
      <c r="I20" s="100" t="s">
        <v>206</v>
      </c>
      <c r="J20" s="100" t="s">
        <v>206</v>
      </c>
      <c r="K20" s="100" t="s">
        <v>305</v>
      </c>
      <c r="L20" s="3" t="s">
        <v>14</v>
      </c>
      <c r="M20" s="3" t="s">
        <v>15</v>
      </c>
      <c r="N20" s="3" t="s">
        <v>16</v>
      </c>
      <c r="O20" s="3" t="s">
        <v>17</v>
      </c>
      <c r="P20" s="3" t="s">
        <v>18</v>
      </c>
      <c r="Q20" s="105" t="s">
        <v>230</v>
      </c>
      <c r="R20" s="416" t="s">
        <v>251</v>
      </c>
      <c r="S20" s="417"/>
      <c r="U20" s="106"/>
      <c r="V20" s="108" t="s">
        <v>241</v>
      </c>
      <c r="W20" s="108" t="s">
        <v>242</v>
      </c>
      <c r="X20" s="108" t="s">
        <v>243</v>
      </c>
      <c r="Y20" s="108" t="s">
        <v>244</v>
      </c>
      <c r="Z20" s="108" t="s">
        <v>245</v>
      </c>
    </row>
    <row r="21" spans="2:26" ht="27" customHeight="1">
      <c r="B21" s="403" t="s">
        <v>517</v>
      </c>
      <c r="C21" s="405" t="s">
        <v>6</v>
      </c>
      <c r="D21" s="405" t="s">
        <v>5</v>
      </c>
      <c r="E21" s="405" t="s">
        <v>206</v>
      </c>
      <c r="F21" s="405" t="s">
        <v>206</v>
      </c>
      <c r="G21" s="405" t="s">
        <v>206</v>
      </c>
      <c r="H21" s="405" t="s">
        <v>206</v>
      </c>
      <c r="I21" s="405" t="s">
        <v>206</v>
      </c>
      <c r="J21" s="405" t="s">
        <v>206</v>
      </c>
      <c r="K21" s="405" t="s">
        <v>307</v>
      </c>
      <c r="L21" s="399">
        <f>'Projected Proactive Replacement'!AB7</f>
        <v>15000</v>
      </c>
      <c r="M21" s="399">
        <f>'Projected Proactive Replacement'!AB8</f>
        <v>27631.428571428522</v>
      </c>
      <c r="N21" s="399">
        <f>'Projected Proactive Replacement'!AB9</f>
        <v>50000</v>
      </c>
      <c r="O21" s="399">
        <f>'Projected Proactive Replacement'!AB10</f>
        <v>50000</v>
      </c>
      <c r="P21" s="399">
        <f>'Projected Proactive Replacement'!AB11</f>
        <v>50000</v>
      </c>
      <c r="Q21" s="414">
        <f>SUM(L21:P22)</f>
        <v>192631.42857142852</v>
      </c>
      <c r="R21" s="253" t="s">
        <v>224</v>
      </c>
      <c r="S21" s="254">
        <f>'Hardware Configurations'!E25</f>
        <v>1.1738601001217697</v>
      </c>
      <c r="U21" s="3" t="s">
        <v>224</v>
      </c>
      <c r="V21" s="114">
        <f>$S$21*L21</f>
        <v>17607.901501826545</v>
      </c>
      <c r="W21" s="114">
        <f t="shared" ref="W21:Z21" si="3">$S$21*M21</f>
        <v>32435.431509364611</v>
      </c>
      <c r="X21" s="114">
        <f t="shared" si="3"/>
        <v>58693.005006088482</v>
      </c>
      <c r="Y21" s="114">
        <f t="shared" si="3"/>
        <v>58693.005006088482</v>
      </c>
      <c r="Z21" s="114">
        <f t="shared" si="3"/>
        <v>58693.005006088482</v>
      </c>
    </row>
    <row r="22" spans="2:26" ht="27" customHeight="1">
      <c r="B22" s="404"/>
      <c r="C22" s="406"/>
      <c r="D22" s="406"/>
      <c r="E22" s="406"/>
      <c r="F22" s="406"/>
      <c r="G22" s="406"/>
      <c r="H22" s="406"/>
      <c r="I22" s="406"/>
      <c r="J22" s="406"/>
      <c r="K22" s="406"/>
      <c r="L22" s="400"/>
      <c r="M22" s="400"/>
      <c r="N22" s="400"/>
      <c r="O22" s="400"/>
      <c r="P22" s="400"/>
      <c r="Q22" s="415"/>
      <c r="R22" s="11" t="s">
        <v>225</v>
      </c>
      <c r="S22" s="123">
        <f>'Hardware Configurations'!E27</f>
        <v>0.1524376493934064</v>
      </c>
      <c r="U22" s="3" t="s">
        <v>225</v>
      </c>
      <c r="V22" s="114">
        <f>$S$22*L21</f>
        <v>2286.5647409010958</v>
      </c>
      <c r="W22" s="114">
        <f t="shared" ref="W22:Z22" si="4">$S$22*M21</f>
        <v>4212.0700208103735</v>
      </c>
      <c r="X22" s="114">
        <f t="shared" si="4"/>
        <v>7621.8824696703196</v>
      </c>
      <c r="Y22" s="114">
        <f t="shared" si="4"/>
        <v>7621.8824696703196</v>
      </c>
      <c r="Z22" s="114">
        <f t="shared" si="4"/>
        <v>7621.8824696703196</v>
      </c>
    </row>
    <row r="23" spans="2:26" ht="15" customHeight="1">
      <c r="U23" s="108" t="s">
        <v>221</v>
      </c>
      <c r="V23" s="11">
        <f>SUM(V21:V22)</f>
        <v>19894.466242727642</v>
      </c>
      <c r="W23" s="11">
        <f t="shared" ref="W23:Z23" si="5">SUM(W21:W22)</f>
        <v>36647.501530174981</v>
      </c>
      <c r="X23" s="11">
        <f t="shared" si="5"/>
        <v>66314.887475758806</v>
      </c>
      <c r="Y23" s="11">
        <f t="shared" si="5"/>
        <v>66314.887475758806</v>
      </c>
      <c r="Z23" s="11">
        <f t="shared" si="5"/>
        <v>66314.887475758806</v>
      </c>
    </row>
    <row r="25" spans="2:26" ht="38.25">
      <c r="U25" s="106" t="s">
        <v>285</v>
      </c>
      <c r="V25" s="108" t="s">
        <v>246</v>
      </c>
      <c r="W25" s="108" t="s">
        <v>247</v>
      </c>
      <c r="X25" s="108" t="s">
        <v>248</v>
      </c>
      <c r="Y25" s="108" t="s">
        <v>249</v>
      </c>
      <c r="Z25" s="108" t="s">
        <v>250</v>
      </c>
    </row>
    <row r="26" spans="2:26">
      <c r="U26" s="3" t="s">
        <v>224</v>
      </c>
      <c r="V26" s="117">
        <f>V21*'Meter Hardware Price'!$E4</f>
        <v>396177.78379109729</v>
      </c>
      <c r="W26" s="117">
        <f>W21*'Meter Hardware Price'!$E4</f>
        <v>729797.20896070369</v>
      </c>
      <c r="X26" s="117">
        <f>X21*'Meter Hardware Price'!$E4</f>
        <v>1320592.6126369908</v>
      </c>
      <c r="Y26" s="117">
        <f>Y21*'Meter Hardware Price'!$E4</f>
        <v>1320592.6126369908</v>
      </c>
      <c r="Z26" s="117">
        <f>Z21*'Meter Hardware Price'!$E4</f>
        <v>1320592.6126369908</v>
      </c>
    </row>
    <row r="27" spans="2:26">
      <c r="U27" s="3" t="s">
        <v>225</v>
      </c>
      <c r="V27" s="117">
        <f>V22*'Meter Hardware Price'!$E5</f>
        <v>214365.44445947773</v>
      </c>
      <c r="W27" s="117">
        <f>W22*'Meter Hardware Price'!$E5</f>
        <v>394881.56445097254</v>
      </c>
      <c r="X27" s="117">
        <f>X22*'Meter Hardware Price'!$E5</f>
        <v>714551.48153159244</v>
      </c>
      <c r="Y27" s="117">
        <f>Y22*'Meter Hardware Price'!$E5</f>
        <v>714551.48153159244</v>
      </c>
      <c r="Z27" s="117">
        <f>Z22*'Meter Hardware Price'!$E5</f>
        <v>714551.48153159244</v>
      </c>
    </row>
    <row r="28" spans="2:26">
      <c r="U28" s="108" t="s">
        <v>221</v>
      </c>
      <c r="V28" s="124">
        <f>SUM(V26:V27)</f>
        <v>610543.22825057502</v>
      </c>
      <c r="W28" s="124">
        <f>SUM(W26:W27)</f>
        <v>1124678.7734116763</v>
      </c>
      <c r="X28" s="124">
        <f>SUM(X26:X27)</f>
        <v>2035144.0941685834</v>
      </c>
      <c r="Y28" s="124">
        <f>SUM(Y26:Y27)</f>
        <v>2035144.0941685834</v>
      </c>
      <c r="Z28" s="124">
        <f>SUM(Z26:Z27)</f>
        <v>2035144.0941685834</v>
      </c>
    </row>
  </sheetData>
  <mergeCells count="50">
    <mergeCell ref="Q21:Q22"/>
    <mergeCell ref="R2:S2"/>
    <mergeCell ref="R20:S20"/>
    <mergeCell ref="N3:N6"/>
    <mergeCell ref="O3:O6"/>
    <mergeCell ref="P3:P6"/>
    <mergeCell ref="Q3:Q6"/>
    <mergeCell ref="Q7:Q8"/>
    <mergeCell ref="B3:B6"/>
    <mergeCell ref="C3:C6"/>
    <mergeCell ref="D3:D6"/>
    <mergeCell ref="L3:L6"/>
    <mergeCell ref="M3:M6"/>
    <mergeCell ref="J3:J6"/>
    <mergeCell ref="K3:K6"/>
    <mergeCell ref="E3:E6"/>
    <mergeCell ref="F3:F6"/>
    <mergeCell ref="G3:G6"/>
    <mergeCell ref="H3:H6"/>
    <mergeCell ref="I3:I6"/>
    <mergeCell ref="B7:B8"/>
    <mergeCell ref="C7:C8"/>
    <mergeCell ref="D7:D8"/>
    <mergeCell ref="L7:L8"/>
    <mergeCell ref="M7:M8"/>
    <mergeCell ref="J7:J8"/>
    <mergeCell ref="K7:K8"/>
    <mergeCell ref="E7:E8"/>
    <mergeCell ref="F7:F8"/>
    <mergeCell ref="G7:G8"/>
    <mergeCell ref="H7:H8"/>
    <mergeCell ref="I7:I8"/>
    <mergeCell ref="B21:B22"/>
    <mergeCell ref="C21:C22"/>
    <mergeCell ref="D21:D22"/>
    <mergeCell ref="J21:J22"/>
    <mergeCell ref="K21:K22"/>
    <mergeCell ref="I21:I22"/>
    <mergeCell ref="H21:H22"/>
    <mergeCell ref="G21:G22"/>
    <mergeCell ref="F21:F22"/>
    <mergeCell ref="E21:E22"/>
    <mergeCell ref="L21:L22"/>
    <mergeCell ref="M21:M22"/>
    <mergeCell ref="N7:N8"/>
    <mergeCell ref="O7:O8"/>
    <mergeCell ref="P7:P8"/>
    <mergeCell ref="N21:N22"/>
    <mergeCell ref="O21:O22"/>
    <mergeCell ref="P21:P22"/>
  </mergeCells>
  <pageMargins left="0.70866141732283472" right="0.70866141732283472" top="0.74803149606299213" bottom="0.74803149606299213" header="0.31496062992125984" footer="0.31496062992125984"/>
  <pageSetup paperSize="8" orientation="landscape" verticalDpi="0" r:id="rId1"/>
  <headerFooter>
    <oddHeader>&amp;A</oddHeader>
    <oddFooter>&amp;F</oddFooter>
  </headerFooter>
  <legacyDrawing r:id="rId2"/>
</worksheet>
</file>

<file path=xl/worksheets/sheet7.xml><?xml version="1.0" encoding="utf-8"?>
<worksheet xmlns="http://schemas.openxmlformats.org/spreadsheetml/2006/main" xmlns:r="http://schemas.openxmlformats.org/officeDocument/2006/relationships">
  <dimension ref="B2:I17"/>
  <sheetViews>
    <sheetView zoomScale="130" zoomScaleNormal="130" workbookViewId="0">
      <selection activeCell="E36" sqref="E36"/>
    </sheetView>
  </sheetViews>
  <sheetFormatPr defaultRowHeight="15"/>
  <cols>
    <col min="1" max="1" width="4.42578125" customWidth="1"/>
    <col min="2" max="2" width="23.28515625" customWidth="1"/>
    <col min="3" max="7" width="11.85546875" customWidth="1"/>
    <col min="8" max="8" width="26.85546875" customWidth="1"/>
    <col min="9" max="9" width="11.7109375" bestFit="1" customWidth="1"/>
  </cols>
  <sheetData>
    <row r="2" spans="2:9">
      <c r="B2" s="78" t="s">
        <v>209</v>
      </c>
      <c r="C2" s="78" t="s">
        <v>210</v>
      </c>
      <c r="D2" s="78" t="s">
        <v>211</v>
      </c>
      <c r="E2" s="78" t="s">
        <v>212</v>
      </c>
      <c r="F2" s="78" t="s">
        <v>213</v>
      </c>
      <c r="G2" s="78" t="s">
        <v>214</v>
      </c>
      <c r="H2" s="79" t="s">
        <v>215</v>
      </c>
    </row>
    <row r="3" spans="2:9">
      <c r="B3" s="418" t="s">
        <v>216</v>
      </c>
      <c r="C3" s="80">
        <f>'NEW&amp;UPGRADE'!AC9</f>
        <v>49180.911941442209</v>
      </c>
      <c r="D3" s="80">
        <f>'NEW&amp;UPGRADE'!AD9</f>
        <v>54137.086545023041</v>
      </c>
      <c r="E3" s="80">
        <f>'NEW&amp;UPGRADE'!AE9</f>
        <v>82945.247215514042</v>
      </c>
      <c r="F3" s="80">
        <f>'NEW&amp;UPGRADE'!AF9</f>
        <v>84083.482007188752</v>
      </c>
      <c r="G3" s="80">
        <f>'NEW&amp;UPGRADE'!AG9</f>
        <v>57060.755752590921</v>
      </c>
      <c r="H3" s="81" t="s">
        <v>217</v>
      </c>
    </row>
    <row r="4" spans="2:9">
      <c r="B4" s="419"/>
      <c r="C4" s="82">
        <f>C3/(C$3+C$7+C$11)</f>
        <v>0.59841874648893645</v>
      </c>
      <c r="D4" s="82">
        <f>D3/(D$3+D$7+D$11)</f>
        <v>0.52108006967485787</v>
      </c>
      <c r="E4" s="82">
        <f>E3/(E$3+E$7+E$11)</f>
        <v>0.51084242726460338</v>
      </c>
      <c r="F4" s="82">
        <f>F3/(F$3+F$7+F$11)</f>
        <v>0.51424762427548087</v>
      </c>
      <c r="G4" s="82">
        <f>G3/(G$3+G$7+G$11)</f>
        <v>0.41807332439441003</v>
      </c>
      <c r="H4" s="81" t="s">
        <v>218</v>
      </c>
    </row>
    <row r="5" spans="2:9">
      <c r="B5" s="419"/>
      <c r="C5" s="83">
        <f>'NEW&amp;UPGRADE'!AC18</f>
        <v>3291085.8632831788</v>
      </c>
      <c r="D5" s="83">
        <f>'NEW&amp;UPGRADE'!AD18</f>
        <v>3641520.9888386694</v>
      </c>
      <c r="E5" s="83">
        <f>'NEW&amp;UPGRADE'!AE18</f>
        <v>6898520.6956136329</v>
      </c>
      <c r="F5" s="83">
        <f>'NEW&amp;UPGRADE'!AF18</f>
        <v>6964026.7376186457</v>
      </c>
      <c r="G5" s="83">
        <f>'NEW&amp;UPGRADE'!AG18</f>
        <v>3809779.7692946056</v>
      </c>
      <c r="H5" s="84" t="s">
        <v>237</v>
      </c>
    </row>
    <row r="6" spans="2:9">
      <c r="B6" s="420"/>
      <c r="C6" s="85">
        <f>C5/(C$5+C$9+C$13)</f>
        <v>0.59632560021314929</v>
      </c>
      <c r="D6" s="85">
        <f>D5/(D$5+D$9+D$13)</f>
        <v>0.57045731570949909</v>
      </c>
      <c r="E6" s="85">
        <f>E5/(E$5+E$9+E$13)</f>
        <v>0.65382768138995007</v>
      </c>
      <c r="F6" s="85">
        <f>F5/(F$5+F$9+F$13)</f>
        <v>0.655963640990471</v>
      </c>
      <c r="G6" s="85">
        <f>G5/(G$5+G$9+G$13)</f>
        <v>0.51054132237205518</v>
      </c>
      <c r="H6" s="84" t="s">
        <v>220</v>
      </c>
    </row>
    <row r="7" spans="2:9">
      <c r="B7" s="421" t="s">
        <v>10</v>
      </c>
      <c r="C7" s="9">
        <f>REPLACEMENT!V9</f>
        <v>13109.4</v>
      </c>
      <c r="D7" s="9">
        <f>REPLACEMENT!W9</f>
        <v>13109.4</v>
      </c>
      <c r="E7" s="9">
        <f>REPLACEMENT!X9</f>
        <v>13109.4</v>
      </c>
      <c r="F7" s="9">
        <f>REPLACEMENT!Y9</f>
        <v>13109.4</v>
      </c>
      <c r="G7" s="9">
        <f>REPLACEMENT!Z9</f>
        <v>13109.4</v>
      </c>
      <c r="H7" s="86" t="s">
        <v>217</v>
      </c>
    </row>
    <row r="8" spans="2:9">
      <c r="B8" s="421"/>
      <c r="C8" s="87">
        <f>C7/(C$3+C$7+C$11)</f>
        <v>0.15951129016401103</v>
      </c>
      <c r="D8" s="87">
        <f>D7/(D$3+D$7+D$11)</f>
        <v>0.12618054463855474</v>
      </c>
      <c r="E8" s="87">
        <f>E7/(E$3+E$7+E$11)</f>
        <v>8.0738052399583649E-2</v>
      </c>
      <c r="F8" s="87">
        <f>F7/(F$3+F$7+F$11)</f>
        <v>8.0176006568098881E-2</v>
      </c>
      <c r="G8" s="87">
        <f>G7/(G$3+G$7+G$11)</f>
        <v>9.6050084975736069E-2</v>
      </c>
      <c r="H8" s="86" t="s">
        <v>218</v>
      </c>
    </row>
    <row r="9" spans="2:9">
      <c r="B9" s="421"/>
      <c r="C9" s="88">
        <f>REPLACEMENT!V18</f>
        <v>1617312.0072666667</v>
      </c>
      <c r="D9" s="88">
        <f>REPLACEMENT!W18</f>
        <v>1617312.0072666667</v>
      </c>
      <c r="E9" s="88">
        <f>REPLACEMENT!X18</f>
        <v>1617312.0072666667</v>
      </c>
      <c r="F9" s="88">
        <f>REPLACEMENT!Y18</f>
        <v>1617312.0072666667</v>
      </c>
      <c r="G9" s="88">
        <f>REPLACEMENT!Z18</f>
        <v>1617312.0072666667</v>
      </c>
      <c r="H9" s="89" t="s">
        <v>237</v>
      </c>
    </row>
    <row r="10" spans="2:9">
      <c r="B10" s="421"/>
      <c r="C10" s="90">
        <f>C9/(C$5+C$9+C$13)</f>
        <v>0.29304752094893721</v>
      </c>
      <c r="D10" s="90">
        <f>D9/(D$5+D$9+D$13)</f>
        <v>0.25335772309370014</v>
      </c>
      <c r="E10" s="90">
        <f>E9/(E$5+E$9+E$13)</f>
        <v>0.15328552402077408</v>
      </c>
      <c r="F10" s="90">
        <f>F9/(F$5+F$9+F$13)</f>
        <v>0.15233971850990116</v>
      </c>
      <c r="G10" s="90">
        <f>G9/(G$5+G$9+G$13)</f>
        <v>0.21673289819348512</v>
      </c>
      <c r="H10" s="89" t="s">
        <v>220</v>
      </c>
    </row>
    <row r="11" spans="2:9">
      <c r="B11" s="422" t="s">
        <v>11</v>
      </c>
      <c r="C11" s="11">
        <f>REPLACEMENT!V23</f>
        <v>19894.466242727642</v>
      </c>
      <c r="D11" s="11">
        <f>REPLACEMENT!W23</f>
        <v>36647.501530174981</v>
      </c>
      <c r="E11" s="11">
        <f>REPLACEMENT!X23</f>
        <v>66314.887475758806</v>
      </c>
      <c r="F11" s="11">
        <f>REPLACEMENT!Y23</f>
        <v>66314.887475758806</v>
      </c>
      <c r="G11" s="11">
        <f>REPLACEMENT!Z23</f>
        <v>66314.887475758806</v>
      </c>
      <c r="H11" s="91" t="s">
        <v>217</v>
      </c>
    </row>
    <row r="12" spans="2:9">
      <c r="B12" s="422"/>
      <c r="C12" s="92">
        <f>C11/(C$3+C$7+C$11)</f>
        <v>0.24206996334705258</v>
      </c>
      <c r="D12" s="92">
        <f>D11/(D$3+D$7+D$11)</f>
        <v>0.35273938568658736</v>
      </c>
      <c r="E12" s="92">
        <f>E11/(E$3+E$7+E$11)</f>
        <v>0.40841952033581308</v>
      </c>
      <c r="F12" s="92">
        <f>F11/(F$3+F$7+F$11)</f>
        <v>0.40557636915642031</v>
      </c>
      <c r="G12" s="92">
        <f>G11/(G$3+G$7+G$11)</f>
        <v>0.48587659062985405</v>
      </c>
      <c r="H12" s="91" t="s">
        <v>218</v>
      </c>
    </row>
    <row r="13" spans="2:9">
      <c r="B13" s="422"/>
      <c r="C13" s="93">
        <f>REPLACEMENT!V28</f>
        <v>610543.22825057502</v>
      </c>
      <c r="D13" s="93">
        <f>REPLACEMENT!W28</f>
        <v>1124678.7734116763</v>
      </c>
      <c r="E13" s="93">
        <f>REPLACEMENT!X28</f>
        <v>2035144.0941685834</v>
      </c>
      <c r="F13" s="93">
        <f>REPLACEMENT!Y28</f>
        <v>2035144.0941685834</v>
      </c>
      <c r="G13" s="93">
        <f>REPLACEMENT!Z28</f>
        <v>2035144.0941685834</v>
      </c>
      <c r="H13" s="94" t="s">
        <v>237</v>
      </c>
    </row>
    <row r="14" spans="2:9">
      <c r="B14" s="422"/>
      <c r="C14" s="95">
        <f>C13/(C$5+C$9+C$13)</f>
        <v>0.11062687883791344</v>
      </c>
      <c r="D14" s="95">
        <f>D13/(D$5+D$9+D$13)</f>
        <v>0.17618496119680085</v>
      </c>
      <c r="E14" s="95">
        <f>E13/(E$5+E$9+E$13)</f>
        <v>0.19288679458927582</v>
      </c>
      <c r="F14" s="95">
        <f>F13/(F$5+F$9+F$13)</f>
        <v>0.1916966404996279</v>
      </c>
      <c r="G14" s="95">
        <f>G13/(G$5+G$9+G$13)</f>
        <v>0.27272577943445958</v>
      </c>
      <c r="H14" s="94" t="s">
        <v>220</v>
      </c>
    </row>
    <row r="16" spans="2:9">
      <c r="B16" s="423" t="s">
        <v>221</v>
      </c>
      <c r="C16" s="96">
        <f>C3+C7+C11</f>
        <v>82184.778184169845</v>
      </c>
      <c r="D16" s="96">
        <f>D3+D7+D11</f>
        <v>103893.98807519802</v>
      </c>
      <c r="E16" s="96">
        <f>E3+E7+E11</f>
        <v>162369.53469127283</v>
      </c>
      <c r="F16" s="96">
        <f>F3+F7+F11</f>
        <v>163507.76948294754</v>
      </c>
      <c r="G16" s="96">
        <f>G3+G7+G11</f>
        <v>136485.04322834971</v>
      </c>
      <c r="H16" s="97" t="s">
        <v>217</v>
      </c>
      <c r="I16" s="96">
        <f>SUM(C16:G16)</f>
        <v>648441.11366193788</v>
      </c>
    </row>
    <row r="17" spans="2:9">
      <c r="B17" s="423"/>
      <c r="C17" s="98">
        <f>C5+C9+C13</f>
        <v>5518941.0988004208</v>
      </c>
      <c r="D17" s="98">
        <f>D5+D9+D13</f>
        <v>6383511.7695170119</v>
      </c>
      <c r="E17" s="98">
        <f>E5+E9+E13</f>
        <v>10550976.797048884</v>
      </c>
      <c r="F17" s="98">
        <f>F5+F9+F13</f>
        <v>10616482.839053895</v>
      </c>
      <c r="G17" s="98">
        <f>G5+G9+G13</f>
        <v>7462235.8707298562</v>
      </c>
      <c r="H17" s="97" t="s">
        <v>219</v>
      </c>
      <c r="I17" s="98">
        <f>SUM(C17:G17)</f>
        <v>40532148.37515007</v>
      </c>
    </row>
  </sheetData>
  <mergeCells count="4">
    <mergeCell ref="B3:B6"/>
    <mergeCell ref="B7:B10"/>
    <mergeCell ref="B11:B14"/>
    <mergeCell ref="B16:B17"/>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J81"/>
  <sheetViews>
    <sheetView topLeftCell="D1" zoomScale="80" zoomScaleNormal="80" workbookViewId="0">
      <selection activeCell="AD21" sqref="AD21"/>
    </sheetView>
  </sheetViews>
  <sheetFormatPr defaultColWidth="10.28515625" defaultRowHeight="12.75" outlineLevelCol="1"/>
  <cols>
    <col min="1" max="2" width="9.140625" style="21" hidden="1" customWidth="1" outlineLevel="1"/>
    <col min="3" max="3" width="40.28515625" style="21" hidden="1" customWidth="1" outlineLevel="1"/>
    <col min="4" max="4" width="18.7109375" style="21" customWidth="1" collapsed="1"/>
    <col min="5" max="5" width="37.28515625" style="21" customWidth="1"/>
    <col min="6" max="6" width="1" style="22" customWidth="1"/>
    <col min="7" max="10" width="9.42578125" style="21" customWidth="1"/>
    <col min="11" max="11" width="1" style="22" customWidth="1"/>
    <col min="12" max="15" width="9.42578125" style="21" hidden="1" customWidth="1"/>
    <col min="16" max="16" width="1" style="22" customWidth="1"/>
    <col min="17" max="20" width="9.42578125" style="21" customWidth="1"/>
    <col min="21" max="21" width="1" style="22" customWidth="1"/>
    <col min="22" max="25" width="9.42578125" style="21" customWidth="1"/>
    <col min="26" max="26" width="1" style="22" customWidth="1"/>
    <col min="27" max="30" width="10.7109375" style="21" customWidth="1"/>
    <col min="31" max="31" width="0.85546875" style="21" customWidth="1"/>
    <col min="32" max="32" width="13.5703125" style="21" customWidth="1"/>
    <col min="33" max="33" width="13.28515625" style="21" customWidth="1"/>
    <col min="34" max="34" width="5.28515625" style="21" customWidth="1"/>
    <col min="35" max="35" width="48" style="21" bestFit="1" customWidth="1"/>
    <col min="36" max="36" width="16" style="21" bestFit="1" customWidth="1"/>
    <col min="37" max="16384" width="10.28515625" style="21"/>
  </cols>
  <sheetData>
    <row r="1" spans="1:36" s="29" customFormat="1">
      <c r="A1" s="21"/>
      <c r="B1" s="21"/>
      <c r="C1" s="21"/>
      <c r="F1" s="22"/>
      <c r="G1" s="21"/>
      <c r="H1" s="21"/>
      <c r="I1" s="21"/>
      <c r="J1" s="21"/>
      <c r="K1" s="22"/>
      <c r="L1" s="21"/>
      <c r="M1" s="21"/>
      <c r="N1" s="21"/>
      <c r="O1" s="21"/>
      <c r="P1" s="22"/>
      <c r="Q1" s="21"/>
      <c r="R1" s="21"/>
      <c r="S1" s="21"/>
      <c r="T1" s="21"/>
      <c r="U1" s="22"/>
      <c r="V1" s="21"/>
      <c r="W1" s="21"/>
      <c r="X1" s="21"/>
      <c r="Y1" s="21"/>
      <c r="Z1" s="22"/>
      <c r="AA1" s="21"/>
      <c r="AB1" s="21"/>
      <c r="AC1" s="21"/>
      <c r="AD1" s="21"/>
    </row>
    <row r="2" spans="1:36" s="32" customFormat="1" ht="15">
      <c r="A2" s="30"/>
      <c r="B2" s="30"/>
      <c r="C2" s="31"/>
      <c r="D2" s="424" t="s">
        <v>176</v>
      </c>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row>
    <row r="3" spans="1:36" s="32" customFormat="1" ht="15">
      <c r="A3" s="30"/>
      <c r="B3" s="30"/>
      <c r="C3" s="31"/>
      <c r="D3" s="425" t="s">
        <v>48</v>
      </c>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row>
    <row r="5" spans="1:36" s="29" customFormat="1">
      <c r="C5" s="21"/>
      <c r="D5" s="33"/>
      <c r="E5" s="33"/>
      <c r="F5" s="34"/>
      <c r="G5" s="35" t="s">
        <v>49</v>
      </c>
      <c r="H5" s="33"/>
      <c r="I5" s="33"/>
      <c r="J5" s="33"/>
      <c r="K5" s="34"/>
      <c r="L5" s="35" t="s">
        <v>50</v>
      </c>
      <c r="M5" s="33"/>
      <c r="N5" s="33"/>
      <c r="O5" s="33"/>
      <c r="P5" s="34"/>
      <c r="Q5" s="35" t="s">
        <v>51</v>
      </c>
      <c r="R5" s="33"/>
      <c r="S5" s="33"/>
      <c r="T5" s="33"/>
      <c r="U5" s="34"/>
      <c r="V5" s="35" t="s">
        <v>46</v>
      </c>
      <c r="W5" s="33"/>
      <c r="X5" s="33"/>
      <c r="Y5" s="33"/>
      <c r="Z5" s="34"/>
      <c r="AA5" s="35" t="s">
        <v>46</v>
      </c>
      <c r="AB5" s="33"/>
      <c r="AC5" s="33"/>
      <c r="AD5" s="33"/>
    </row>
    <row r="6" spans="1:36" s="29" customFormat="1">
      <c r="B6" s="22"/>
      <c r="C6" s="22"/>
      <c r="D6" s="33"/>
      <c r="E6" s="33"/>
      <c r="F6" s="34"/>
      <c r="G6" s="426" t="s">
        <v>52</v>
      </c>
      <c r="H6" s="426"/>
      <c r="I6" s="426"/>
      <c r="J6" s="426"/>
      <c r="K6" s="34"/>
      <c r="L6" s="426" t="s">
        <v>53</v>
      </c>
      <c r="M6" s="426"/>
      <c r="N6" s="426"/>
      <c r="O6" s="426"/>
      <c r="P6" s="34"/>
      <c r="Q6" s="426" t="s">
        <v>54</v>
      </c>
      <c r="R6" s="426"/>
      <c r="S6" s="426"/>
      <c r="T6" s="426"/>
      <c r="U6" s="34"/>
      <c r="V6" s="426" t="s">
        <v>55</v>
      </c>
      <c r="W6" s="426"/>
      <c r="X6" s="426"/>
      <c r="Y6" s="426"/>
      <c r="Z6" s="34"/>
      <c r="AA6" s="426" t="s">
        <v>56</v>
      </c>
      <c r="AB6" s="426"/>
      <c r="AC6" s="426"/>
      <c r="AD6" s="426"/>
    </row>
    <row r="7" spans="1:36" s="29" customFormat="1">
      <c r="B7" s="22"/>
      <c r="C7" s="22"/>
      <c r="D7" s="33"/>
      <c r="E7" s="33"/>
      <c r="F7" s="34"/>
      <c r="G7" s="36" t="s">
        <v>27</v>
      </c>
      <c r="H7" s="36" t="s">
        <v>28</v>
      </c>
      <c r="I7" s="429" t="s">
        <v>57</v>
      </c>
      <c r="J7" s="36" t="s">
        <v>28</v>
      </c>
      <c r="K7" s="34"/>
      <c r="L7" s="36" t="s">
        <v>27</v>
      </c>
      <c r="M7" s="36" t="s">
        <v>28</v>
      </c>
      <c r="N7" s="429" t="s">
        <v>57</v>
      </c>
      <c r="O7" s="36" t="s">
        <v>28</v>
      </c>
      <c r="P7" s="34"/>
      <c r="Q7" s="36" t="s">
        <v>27</v>
      </c>
      <c r="R7" s="36" t="s">
        <v>28</v>
      </c>
      <c r="S7" s="429" t="s">
        <v>57</v>
      </c>
      <c r="T7" s="36" t="s">
        <v>28</v>
      </c>
      <c r="U7" s="34"/>
      <c r="V7" s="36" t="s">
        <v>27</v>
      </c>
      <c r="W7" s="36" t="s">
        <v>28</v>
      </c>
      <c r="X7" s="429" t="s">
        <v>57</v>
      </c>
      <c r="Y7" s="36" t="s">
        <v>28</v>
      </c>
      <c r="Z7" s="34"/>
      <c r="AA7" s="36" t="s">
        <v>27</v>
      </c>
      <c r="AB7" s="36" t="s">
        <v>28</v>
      </c>
      <c r="AC7" s="429" t="s">
        <v>57</v>
      </c>
      <c r="AD7" s="36" t="s">
        <v>28</v>
      </c>
      <c r="AF7" s="427" t="s">
        <v>58</v>
      </c>
      <c r="AG7" s="427" t="s">
        <v>59</v>
      </c>
    </row>
    <row r="8" spans="1:36" s="37" customFormat="1">
      <c r="B8" s="38"/>
      <c r="C8" s="38"/>
      <c r="D8" s="428" t="s">
        <v>60</v>
      </c>
      <c r="E8" s="428"/>
      <c r="F8" s="39"/>
      <c r="G8" s="40" t="s">
        <v>61</v>
      </c>
      <c r="H8" s="40" t="s">
        <v>61</v>
      </c>
      <c r="I8" s="429"/>
      <c r="J8" s="40" t="s">
        <v>62</v>
      </c>
      <c r="K8" s="39"/>
      <c r="L8" s="40" t="s">
        <v>61</v>
      </c>
      <c r="M8" s="40" t="s">
        <v>61</v>
      </c>
      <c r="N8" s="429"/>
      <c r="O8" s="40" t="s">
        <v>62</v>
      </c>
      <c r="P8" s="39"/>
      <c r="Q8" s="40" t="s">
        <v>61</v>
      </c>
      <c r="R8" s="40" t="s">
        <v>61</v>
      </c>
      <c r="S8" s="429"/>
      <c r="T8" s="40" t="s">
        <v>62</v>
      </c>
      <c r="U8" s="39"/>
      <c r="V8" s="40" t="s">
        <v>61</v>
      </c>
      <c r="W8" s="40" t="s">
        <v>61</v>
      </c>
      <c r="X8" s="429"/>
      <c r="Y8" s="40" t="s">
        <v>62</v>
      </c>
      <c r="Z8" s="39"/>
      <c r="AA8" s="40" t="s">
        <v>63</v>
      </c>
      <c r="AB8" s="40" t="s">
        <v>63</v>
      </c>
      <c r="AC8" s="429"/>
      <c r="AD8" s="40" t="s">
        <v>62</v>
      </c>
      <c r="AF8" s="427"/>
      <c r="AG8" s="427"/>
    </row>
    <row r="9" spans="1:36" s="29" customFormat="1">
      <c r="A9" s="21"/>
      <c r="B9" s="22"/>
      <c r="C9" s="22"/>
      <c r="D9" s="41"/>
      <c r="E9" s="41"/>
      <c r="F9" s="42"/>
      <c r="G9" s="41"/>
      <c r="H9" s="41"/>
      <c r="I9" s="41"/>
      <c r="J9" s="41"/>
      <c r="K9" s="42"/>
      <c r="L9" s="41"/>
      <c r="M9" s="41"/>
      <c r="N9" s="41"/>
      <c r="O9" s="41"/>
      <c r="P9" s="42"/>
      <c r="Q9" s="41"/>
      <c r="R9" s="41"/>
      <c r="S9" s="41"/>
      <c r="T9" s="41"/>
      <c r="U9" s="42"/>
      <c r="V9" s="41"/>
      <c r="W9" s="41"/>
      <c r="X9" s="41"/>
      <c r="Y9" s="41"/>
      <c r="Z9" s="42"/>
      <c r="AA9" s="41"/>
      <c r="AB9" s="41"/>
      <c r="AC9" s="41"/>
      <c r="AD9" s="41"/>
    </row>
    <row r="10" spans="1:36" s="22" customFormat="1">
      <c r="D10" s="43"/>
      <c r="E10" s="44"/>
      <c r="F10" s="45"/>
      <c r="G10" s="46"/>
      <c r="H10" s="46"/>
      <c r="I10" s="46"/>
      <c r="J10" s="46"/>
      <c r="K10" s="46"/>
      <c r="L10" s="46"/>
      <c r="M10" s="46"/>
      <c r="N10" s="46"/>
      <c r="O10" s="46"/>
      <c r="P10" s="46"/>
      <c r="Q10" s="46"/>
      <c r="R10" s="46"/>
      <c r="S10" s="46"/>
      <c r="T10" s="46"/>
      <c r="U10" s="46"/>
      <c r="V10" s="46"/>
      <c r="W10" s="46"/>
      <c r="X10" s="46"/>
      <c r="Y10" s="46"/>
      <c r="Z10" s="46"/>
      <c r="AA10" s="47"/>
      <c r="AB10" s="47"/>
      <c r="AC10" s="48"/>
      <c r="AD10" s="47"/>
    </row>
    <row r="11" spans="1:36" s="22" customFormat="1">
      <c r="D11" s="49" t="s">
        <v>64</v>
      </c>
      <c r="E11" s="44"/>
      <c r="F11" s="45"/>
      <c r="G11" s="46"/>
      <c r="H11" s="46"/>
      <c r="I11" s="46"/>
      <c r="J11" s="46"/>
      <c r="K11" s="46"/>
      <c r="L11" s="46"/>
      <c r="M11" s="46"/>
      <c r="N11" s="46"/>
      <c r="O11" s="46"/>
      <c r="P11" s="46"/>
      <c r="Q11" s="46"/>
      <c r="R11" s="46"/>
      <c r="S11" s="46"/>
      <c r="T11" s="46"/>
      <c r="U11" s="46"/>
      <c r="V11" s="46"/>
      <c r="W11" s="46"/>
      <c r="X11" s="46"/>
      <c r="Y11" s="46"/>
      <c r="Z11" s="46"/>
      <c r="AA11" s="47"/>
      <c r="AB11" s="47"/>
      <c r="AC11" s="48"/>
      <c r="AD11" s="47"/>
      <c r="AI11" s="156" t="s">
        <v>284</v>
      </c>
      <c r="AJ11" s="51">
        <f>AF13+AF14+AF15+AF16+AF17+AF19+AF20+AF42</f>
        <v>1761047.7300000007</v>
      </c>
    </row>
    <row r="12" spans="1:36" s="22" customFormat="1">
      <c r="D12" s="43"/>
      <c r="E12" s="44"/>
      <c r="F12" s="45"/>
      <c r="G12" s="46"/>
      <c r="H12" s="46"/>
      <c r="I12" s="46"/>
      <c r="J12" s="46"/>
      <c r="K12" s="46"/>
      <c r="L12" s="46"/>
      <c r="M12" s="46"/>
      <c r="N12" s="46"/>
      <c r="O12" s="46"/>
      <c r="P12" s="46"/>
      <c r="Q12" s="46"/>
      <c r="R12" s="46"/>
      <c r="S12" s="46"/>
      <c r="T12" s="46"/>
      <c r="U12" s="46"/>
      <c r="V12" s="46"/>
      <c r="W12" s="46"/>
      <c r="X12" s="46"/>
      <c r="Y12" s="46"/>
      <c r="Z12" s="46"/>
      <c r="AA12" s="47"/>
      <c r="AB12" s="47"/>
      <c r="AC12" s="48"/>
      <c r="AD12" s="47"/>
    </row>
    <row r="13" spans="1:36" s="22" customFormat="1">
      <c r="D13" s="43" t="s">
        <v>65</v>
      </c>
      <c r="E13" s="44" t="s">
        <v>66</v>
      </c>
      <c r="F13" s="45"/>
      <c r="G13" s="50">
        <v>8067.22</v>
      </c>
      <c r="H13" s="50"/>
      <c r="I13" s="50">
        <v>-8067.22</v>
      </c>
      <c r="J13" s="50"/>
      <c r="K13" s="46"/>
      <c r="L13" s="50">
        <v>0</v>
      </c>
      <c r="M13" s="50"/>
      <c r="N13" s="50">
        <v>0</v>
      </c>
      <c r="O13" s="50"/>
      <c r="P13" s="46"/>
      <c r="Q13" s="50">
        <v>0</v>
      </c>
      <c r="R13" s="50"/>
      <c r="S13" s="50">
        <v>0</v>
      </c>
      <c r="T13" s="50"/>
      <c r="U13" s="46"/>
      <c r="V13" s="50">
        <v>701.49999999999909</v>
      </c>
      <c r="W13" s="50"/>
      <c r="X13" s="50">
        <v>-701.49999999999909</v>
      </c>
      <c r="Y13" s="50"/>
      <c r="Z13" s="46"/>
      <c r="AA13" s="47">
        <v>8768.7199999999993</v>
      </c>
      <c r="AB13" s="47"/>
      <c r="AC13" s="48">
        <v>-8768.7199999999993</v>
      </c>
      <c r="AD13" s="47"/>
      <c r="AF13" s="51">
        <v>26306.159999999996</v>
      </c>
      <c r="AG13" s="52">
        <v>22.785779999999999</v>
      </c>
      <c r="AI13" s="22" t="s">
        <v>555</v>
      </c>
      <c r="AJ13" s="51">
        <f>G29*3</f>
        <v>469817.13000000006</v>
      </c>
    </row>
    <row r="14" spans="1:36" s="22" customFormat="1">
      <c r="D14" s="43" t="s">
        <v>67</v>
      </c>
      <c r="E14" s="44" t="s">
        <v>68</v>
      </c>
      <c r="F14" s="45"/>
      <c r="G14" s="50">
        <v>4602.82</v>
      </c>
      <c r="H14" s="50"/>
      <c r="I14" s="50">
        <v>-4602.82</v>
      </c>
      <c r="J14" s="50"/>
      <c r="K14" s="46"/>
      <c r="L14" s="50">
        <v>0</v>
      </c>
      <c r="M14" s="50"/>
      <c r="N14" s="50">
        <v>0</v>
      </c>
      <c r="O14" s="50"/>
      <c r="P14" s="46"/>
      <c r="Q14" s="50">
        <v>0</v>
      </c>
      <c r="R14" s="50"/>
      <c r="S14" s="50">
        <v>0</v>
      </c>
      <c r="T14" s="50"/>
      <c r="U14" s="46"/>
      <c r="V14" s="50">
        <v>429.38000000000011</v>
      </c>
      <c r="W14" s="50"/>
      <c r="X14" s="50">
        <v>-429.38000000000011</v>
      </c>
      <c r="Y14" s="50"/>
      <c r="Z14" s="46"/>
      <c r="AA14" s="47">
        <v>5032.2</v>
      </c>
      <c r="AB14" s="47"/>
      <c r="AC14" s="48">
        <v>-5032.2</v>
      </c>
      <c r="AD14" s="47"/>
      <c r="AF14" s="51">
        <v>15096.599999999999</v>
      </c>
      <c r="AG14" s="52">
        <v>16.60643</v>
      </c>
    </row>
    <row r="15" spans="1:36" s="22" customFormat="1">
      <c r="C15" s="22" t="s">
        <v>69</v>
      </c>
      <c r="D15" s="43" t="s">
        <v>70</v>
      </c>
      <c r="E15" s="44" t="s">
        <v>71</v>
      </c>
      <c r="F15" s="45"/>
      <c r="G15" s="50">
        <v>8949.19</v>
      </c>
      <c r="H15" s="50">
        <v>197518.19</v>
      </c>
      <c r="I15" s="50">
        <v>188569</v>
      </c>
      <c r="J15" s="50">
        <v>571455.44999999984</v>
      </c>
      <c r="K15" s="46"/>
      <c r="L15" s="50">
        <v>0</v>
      </c>
      <c r="M15" s="50">
        <v>0</v>
      </c>
      <c r="N15" s="50">
        <v>0</v>
      </c>
      <c r="O15" s="50">
        <v>0</v>
      </c>
      <c r="P15" s="46"/>
      <c r="Q15" s="50">
        <v>0</v>
      </c>
      <c r="R15" s="50">
        <v>0</v>
      </c>
      <c r="S15" s="50">
        <v>0</v>
      </c>
      <c r="T15" s="50">
        <v>0</v>
      </c>
      <c r="U15" s="46"/>
      <c r="V15" s="50">
        <v>926.88999999999942</v>
      </c>
      <c r="W15" s="50">
        <v>24238.290000000008</v>
      </c>
      <c r="X15" s="50">
        <v>23311.400000000009</v>
      </c>
      <c r="Y15" s="50">
        <v>69410.90000000014</v>
      </c>
      <c r="Z15" s="46"/>
      <c r="AA15" s="47">
        <v>9876.08</v>
      </c>
      <c r="AB15" s="47">
        <v>221756.48</v>
      </c>
      <c r="AC15" s="48">
        <v>211880.40000000002</v>
      </c>
      <c r="AD15" s="47">
        <v>640866.35</v>
      </c>
      <c r="AF15" s="51">
        <v>29628.239999999998</v>
      </c>
      <c r="AG15" s="52">
        <v>19.34291</v>
      </c>
      <c r="AI15" s="22" t="s">
        <v>208</v>
      </c>
      <c r="AJ15" s="51">
        <f>G25+G36+G37+G38+G39+G40+G44+G45+G46+G47+G48+G50+G51+G52+G53+V25+V36+V37+V38+V39+V40+V44+V45+V46+V47+V48+V50+V51+V52+V53</f>
        <v>2232362.8800000008</v>
      </c>
    </row>
    <row r="16" spans="1:36" s="22" customFormat="1">
      <c r="D16" s="43" t="s">
        <v>72</v>
      </c>
      <c r="E16" s="44" t="s">
        <v>73</v>
      </c>
      <c r="F16" s="45"/>
      <c r="G16" s="50">
        <v>52147.149999999994</v>
      </c>
      <c r="H16" s="50"/>
      <c r="I16" s="50">
        <v>-52147.149999999994</v>
      </c>
      <c r="J16" s="50"/>
      <c r="K16" s="46"/>
      <c r="L16" s="50">
        <v>0</v>
      </c>
      <c r="M16" s="50"/>
      <c r="N16" s="50">
        <v>0</v>
      </c>
      <c r="O16" s="50"/>
      <c r="P16" s="46"/>
      <c r="Q16" s="50">
        <v>0</v>
      </c>
      <c r="R16" s="50"/>
      <c r="S16" s="50">
        <v>0</v>
      </c>
      <c r="T16" s="50"/>
      <c r="U16" s="46"/>
      <c r="V16" s="50">
        <v>6184.6900000000096</v>
      </c>
      <c r="W16" s="50"/>
      <c r="X16" s="50">
        <v>-6184.6900000000096</v>
      </c>
      <c r="Y16" s="50"/>
      <c r="Z16" s="46"/>
      <c r="AA16" s="47">
        <v>58331.840000000004</v>
      </c>
      <c r="AB16" s="47"/>
      <c r="AC16" s="48">
        <v>-58331.840000000004</v>
      </c>
      <c r="AD16" s="47"/>
      <c r="AF16" s="51">
        <v>174995.52000000002</v>
      </c>
      <c r="AG16" s="52">
        <v>211.90610999999996</v>
      </c>
    </row>
    <row r="17" spans="3:36" s="22" customFormat="1">
      <c r="C17" s="22" t="s">
        <v>74</v>
      </c>
      <c r="D17" s="43" t="s">
        <v>75</v>
      </c>
      <c r="E17" s="44" t="s">
        <v>76</v>
      </c>
      <c r="F17" s="45"/>
      <c r="G17" s="50">
        <v>313788.8600000001</v>
      </c>
      <c r="H17" s="50">
        <v>553050.91999999993</v>
      </c>
      <c r="I17" s="50">
        <v>239262.05999999982</v>
      </c>
      <c r="J17" s="50">
        <v>1600075.2299999995</v>
      </c>
      <c r="K17" s="46"/>
      <c r="L17" s="50">
        <v>0</v>
      </c>
      <c r="M17" s="50">
        <v>0</v>
      </c>
      <c r="N17" s="50">
        <v>0</v>
      </c>
      <c r="O17" s="50">
        <v>0</v>
      </c>
      <c r="P17" s="46"/>
      <c r="Q17" s="50">
        <v>1475</v>
      </c>
      <c r="R17" s="50">
        <v>0</v>
      </c>
      <c r="S17" s="50">
        <v>-1475</v>
      </c>
      <c r="T17" s="50">
        <v>0</v>
      </c>
      <c r="U17" s="46"/>
      <c r="V17" s="50">
        <v>30804.23000000004</v>
      </c>
      <c r="W17" s="50">
        <v>67867.199999999953</v>
      </c>
      <c r="X17" s="50">
        <v>37062.969999999914</v>
      </c>
      <c r="Y17" s="50">
        <v>194350.53000000026</v>
      </c>
      <c r="Z17" s="46"/>
      <c r="AA17" s="47">
        <v>346068.09000000014</v>
      </c>
      <c r="AB17" s="47">
        <v>620918.11999999988</v>
      </c>
      <c r="AC17" s="48">
        <v>274850.02999999974</v>
      </c>
      <c r="AD17" s="47">
        <v>1794425.7599999998</v>
      </c>
      <c r="AF17" s="51">
        <v>1038204.2700000005</v>
      </c>
      <c r="AG17" s="52">
        <v>895.48603000000003</v>
      </c>
      <c r="AI17" s="22" t="s">
        <v>207</v>
      </c>
      <c r="AJ17" s="22">
        <f>4625+4434</f>
        <v>9059</v>
      </c>
    </row>
    <row r="18" spans="3:36" s="22" customFormat="1">
      <c r="D18" s="43"/>
      <c r="E18" s="44"/>
      <c r="F18" s="45"/>
      <c r="G18" s="50"/>
      <c r="H18" s="50"/>
      <c r="I18" s="50"/>
      <c r="J18" s="50"/>
      <c r="K18" s="46"/>
      <c r="L18" s="50"/>
      <c r="M18" s="50"/>
      <c r="N18" s="50"/>
      <c r="O18" s="50"/>
      <c r="P18" s="46"/>
      <c r="Q18" s="50"/>
      <c r="R18" s="50"/>
      <c r="S18" s="50"/>
      <c r="T18" s="50"/>
      <c r="U18" s="46"/>
      <c r="V18" s="50"/>
      <c r="W18" s="50"/>
      <c r="X18" s="50"/>
      <c r="Y18" s="50"/>
      <c r="Z18" s="46"/>
      <c r="AA18" s="47"/>
      <c r="AB18" s="47"/>
      <c r="AC18" s="48"/>
      <c r="AD18" s="47"/>
      <c r="AF18" s="51">
        <v>0</v>
      </c>
      <c r="AG18" s="52"/>
    </row>
    <row r="19" spans="3:36" s="22" customFormat="1">
      <c r="D19" s="43" t="s">
        <v>77</v>
      </c>
      <c r="E19" s="44" t="s">
        <v>78</v>
      </c>
      <c r="F19" s="45"/>
      <c r="G19" s="50">
        <v>9739.6099999999988</v>
      </c>
      <c r="H19" s="50"/>
      <c r="I19" s="50">
        <v>-9739.6099999999988</v>
      </c>
      <c r="J19" s="50"/>
      <c r="K19" s="46"/>
      <c r="L19" s="50">
        <v>0</v>
      </c>
      <c r="M19" s="50"/>
      <c r="N19" s="50">
        <v>0</v>
      </c>
      <c r="O19" s="50"/>
      <c r="P19" s="46"/>
      <c r="Q19" s="50">
        <v>0</v>
      </c>
      <c r="R19" s="50"/>
      <c r="S19" s="50">
        <v>0</v>
      </c>
      <c r="T19" s="50"/>
      <c r="U19" s="46"/>
      <c r="V19" s="50">
        <v>932.57999999999993</v>
      </c>
      <c r="W19" s="50"/>
      <c r="X19" s="50">
        <v>-932.57999999999993</v>
      </c>
      <c r="Y19" s="50"/>
      <c r="Z19" s="46"/>
      <c r="AA19" s="47">
        <v>10672.189999999999</v>
      </c>
      <c r="AB19" s="47"/>
      <c r="AC19" s="48">
        <v>-10672.189999999999</v>
      </c>
      <c r="AD19" s="47"/>
      <c r="AF19" s="51">
        <v>32016.569999999996</v>
      </c>
      <c r="AG19" s="52">
        <v>22.248520000000003</v>
      </c>
      <c r="AJ19" s="69">
        <f>(AJ15)/AJ17</f>
        <v>246.42486808698541</v>
      </c>
    </row>
    <row r="20" spans="3:36" s="22" customFormat="1">
      <c r="D20" s="43" t="s">
        <v>79</v>
      </c>
      <c r="E20" s="44" t="s">
        <v>80</v>
      </c>
      <c r="F20" s="45"/>
      <c r="G20" s="50">
        <v>4482.59</v>
      </c>
      <c r="H20" s="50"/>
      <c r="I20" s="50">
        <v>-4482.59</v>
      </c>
      <c r="J20" s="50"/>
      <c r="K20" s="46"/>
      <c r="L20" s="50">
        <v>0</v>
      </c>
      <c r="M20" s="50"/>
      <c r="N20" s="50">
        <v>0</v>
      </c>
      <c r="O20" s="50"/>
      <c r="P20" s="46"/>
      <c r="Q20" s="50">
        <v>0</v>
      </c>
      <c r="R20" s="50"/>
      <c r="S20" s="50">
        <v>0</v>
      </c>
      <c r="T20" s="50"/>
      <c r="U20" s="46"/>
      <c r="V20" s="50">
        <v>487.86999999999989</v>
      </c>
      <c r="W20" s="50"/>
      <c r="X20" s="50">
        <v>-487.86999999999989</v>
      </c>
      <c r="Y20" s="50"/>
      <c r="Z20" s="46"/>
      <c r="AA20" s="47">
        <v>4970.46</v>
      </c>
      <c r="AB20" s="47"/>
      <c r="AC20" s="48">
        <v>-4970.46</v>
      </c>
      <c r="AD20" s="47"/>
      <c r="AF20" s="51">
        <v>14911.380000000001</v>
      </c>
      <c r="AG20" s="52">
        <v>200.285</v>
      </c>
    </row>
    <row r="21" spans="3:36" s="22" customFormat="1">
      <c r="D21" s="43" t="s">
        <v>81</v>
      </c>
      <c r="E21" s="44" t="s">
        <v>82</v>
      </c>
      <c r="F21" s="45"/>
      <c r="G21" s="50">
        <v>0</v>
      </c>
      <c r="H21" s="50"/>
      <c r="I21" s="50">
        <v>0</v>
      </c>
      <c r="J21" s="50"/>
      <c r="K21" s="46"/>
      <c r="L21" s="50">
        <v>0</v>
      </c>
      <c r="M21" s="50"/>
      <c r="N21" s="50">
        <v>0</v>
      </c>
      <c r="O21" s="50"/>
      <c r="P21" s="46"/>
      <c r="Q21" s="50">
        <v>0</v>
      </c>
      <c r="R21" s="50"/>
      <c r="S21" s="50">
        <v>0</v>
      </c>
      <c r="T21" s="50"/>
      <c r="U21" s="46"/>
      <c r="V21" s="50">
        <v>0</v>
      </c>
      <c r="W21" s="50"/>
      <c r="X21" s="50">
        <v>0</v>
      </c>
      <c r="Y21" s="50"/>
      <c r="Z21" s="46"/>
      <c r="AA21" s="47">
        <v>0</v>
      </c>
      <c r="AB21" s="47"/>
      <c r="AC21" s="48">
        <v>0</v>
      </c>
      <c r="AD21" s="47"/>
      <c r="AF21" s="51">
        <v>0</v>
      </c>
      <c r="AG21" s="52">
        <v>0.17244999999999999</v>
      </c>
    </row>
    <row r="22" spans="3:36" s="22" customFormat="1">
      <c r="D22" s="43" t="s">
        <v>83</v>
      </c>
      <c r="E22" s="44" t="s">
        <v>84</v>
      </c>
      <c r="F22" s="45"/>
      <c r="G22" s="50">
        <v>0</v>
      </c>
      <c r="H22" s="50"/>
      <c r="I22" s="50">
        <v>0</v>
      </c>
      <c r="J22" s="50"/>
      <c r="K22" s="46"/>
      <c r="L22" s="50">
        <v>0</v>
      </c>
      <c r="M22" s="50"/>
      <c r="N22" s="50">
        <v>0</v>
      </c>
      <c r="O22" s="50"/>
      <c r="P22" s="46"/>
      <c r="Q22" s="50">
        <v>0</v>
      </c>
      <c r="R22" s="50"/>
      <c r="S22" s="50">
        <v>0</v>
      </c>
      <c r="T22" s="50"/>
      <c r="U22" s="46"/>
      <c r="V22" s="50">
        <v>0</v>
      </c>
      <c r="W22" s="50"/>
      <c r="X22" s="50">
        <v>0</v>
      </c>
      <c r="Y22" s="50"/>
      <c r="Z22" s="46"/>
      <c r="AA22" s="47">
        <v>0</v>
      </c>
      <c r="AB22" s="47"/>
      <c r="AC22" s="48">
        <v>0</v>
      </c>
      <c r="AD22" s="47"/>
      <c r="AF22" s="51">
        <v>0</v>
      </c>
      <c r="AG22" s="52">
        <v>3.81141</v>
      </c>
      <c r="AI22" s="22" t="s">
        <v>521</v>
      </c>
      <c r="AJ22" s="22">
        <v>101.52</v>
      </c>
    </row>
    <row r="23" spans="3:36" s="22" customFormat="1">
      <c r="D23" s="43" t="s">
        <v>85</v>
      </c>
      <c r="E23" s="44" t="s">
        <v>86</v>
      </c>
      <c r="F23" s="45"/>
      <c r="G23" s="50">
        <v>0</v>
      </c>
      <c r="H23" s="50"/>
      <c r="I23" s="50">
        <v>0</v>
      </c>
      <c r="J23" s="50"/>
      <c r="K23" s="46"/>
      <c r="L23" s="50">
        <v>0</v>
      </c>
      <c r="M23" s="50"/>
      <c r="N23" s="50">
        <v>0</v>
      </c>
      <c r="O23" s="50"/>
      <c r="P23" s="46"/>
      <c r="Q23" s="50">
        <v>0</v>
      </c>
      <c r="R23" s="50"/>
      <c r="S23" s="50">
        <v>0</v>
      </c>
      <c r="T23" s="50"/>
      <c r="U23" s="46"/>
      <c r="V23" s="50">
        <v>0</v>
      </c>
      <c r="W23" s="50"/>
      <c r="X23" s="50">
        <v>0</v>
      </c>
      <c r="Y23" s="50"/>
      <c r="Z23" s="46"/>
      <c r="AA23" s="47">
        <v>0</v>
      </c>
      <c r="AB23" s="47"/>
      <c r="AC23" s="48">
        <v>0</v>
      </c>
      <c r="AD23" s="47"/>
      <c r="AF23" s="51">
        <v>0</v>
      </c>
      <c r="AG23" s="52">
        <v>0</v>
      </c>
      <c r="AI23" s="22" t="s">
        <v>571</v>
      </c>
    </row>
    <row r="24" spans="3:36" s="22" customFormat="1">
      <c r="D24" s="43"/>
      <c r="E24" s="44"/>
      <c r="F24" s="45"/>
      <c r="G24" s="50"/>
      <c r="H24" s="50"/>
      <c r="I24" s="50"/>
      <c r="J24" s="50"/>
      <c r="K24" s="46"/>
      <c r="L24" s="50"/>
      <c r="M24" s="50"/>
      <c r="N24" s="50"/>
      <c r="O24" s="50"/>
      <c r="P24" s="46"/>
      <c r="Q24" s="50"/>
      <c r="R24" s="50"/>
      <c r="S24" s="50"/>
      <c r="T24" s="50"/>
      <c r="U24" s="46"/>
      <c r="V24" s="50"/>
      <c r="W24" s="50"/>
      <c r="X24" s="50"/>
      <c r="Y24" s="50"/>
      <c r="Z24" s="46"/>
      <c r="AA24" s="47"/>
      <c r="AB24" s="47"/>
      <c r="AC24" s="48"/>
      <c r="AD24" s="47"/>
      <c r="AF24" s="51">
        <v>0</v>
      </c>
      <c r="AG24" s="52"/>
      <c r="AI24" s="340" t="s">
        <v>572</v>
      </c>
    </row>
    <row r="25" spans="3:36" s="22" customFormat="1">
      <c r="D25" s="43" t="s">
        <v>87</v>
      </c>
      <c r="E25" s="44" t="s">
        <v>88</v>
      </c>
      <c r="F25" s="45"/>
      <c r="G25" s="50">
        <v>32658.609999999997</v>
      </c>
      <c r="H25" s="50"/>
      <c r="I25" s="50">
        <v>-32658.609999999997</v>
      </c>
      <c r="J25" s="50"/>
      <c r="K25" s="46"/>
      <c r="L25" s="50">
        <v>1200</v>
      </c>
      <c r="M25" s="50"/>
      <c r="N25" s="50">
        <v>-1200</v>
      </c>
      <c r="O25" s="50"/>
      <c r="P25" s="46"/>
      <c r="Q25" s="50">
        <v>14000</v>
      </c>
      <c r="R25" s="50"/>
      <c r="S25" s="50">
        <v>-14000</v>
      </c>
      <c r="T25" s="50"/>
      <c r="U25" s="46"/>
      <c r="V25" s="50">
        <v>5141.9099999999926</v>
      </c>
      <c r="W25" s="50"/>
      <c r="X25" s="50">
        <v>-5141.9099999999926</v>
      </c>
      <c r="Y25" s="50"/>
      <c r="Z25" s="46"/>
      <c r="AA25" s="47">
        <v>53000.51999999999</v>
      </c>
      <c r="AB25" s="47"/>
      <c r="AC25" s="48">
        <v>-53000.51999999999</v>
      </c>
      <c r="AD25" s="47"/>
      <c r="AF25" s="51">
        <v>159001.55999999997</v>
      </c>
      <c r="AG25" s="52">
        <v>282.32324</v>
      </c>
      <c r="AI25" s="340" t="s">
        <v>573</v>
      </c>
    </row>
    <row r="26" spans="3:36" s="22" customFormat="1">
      <c r="D26" s="43" t="s">
        <v>89</v>
      </c>
      <c r="E26" s="44" t="s">
        <v>90</v>
      </c>
      <c r="F26" s="45"/>
      <c r="G26" s="50">
        <v>26667.299999999996</v>
      </c>
      <c r="H26" s="50"/>
      <c r="I26" s="50">
        <v>-26667.299999999996</v>
      </c>
      <c r="J26" s="50"/>
      <c r="K26" s="46"/>
      <c r="L26" s="50">
        <v>0</v>
      </c>
      <c r="M26" s="50"/>
      <c r="N26" s="50">
        <v>0</v>
      </c>
      <c r="O26" s="50"/>
      <c r="P26" s="46"/>
      <c r="Q26" s="50">
        <v>0</v>
      </c>
      <c r="R26" s="50"/>
      <c r="S26" s="50">
        <v>0</v>
      </c>
      <c r="T26" s="50"/>
      <c r="U26" s="46"/>
      <c r="V26" s="50">
        <v>4873.7900000000009</v>
      </c>
      <c r="W26" s="50"/>
      <c r="X26" s="50">
        <v>-4873.7900000000009</v>
      </c>
      <c r="Y26" s="50"/>
      <c r="Z26" s="46"/>
      <c r="AA26" s="47">
        <v>31541.089999999997</v>
      </c>
      <c r="AB26" s="47"/>
      <c r="AC26" s="48">
        <v>-31541.089999999997</v>
      </c>
      <c r="AD26" s="47"/>
      <c r="AF26" s="51">
        <v>94623.26999999999</v>
      </c>
      <c r="AG26" s="52">
        <v>442.98268999999993</v>
      </c>
    </row>
    <row r="27" spans="3:36" s="22" customFormat="1">
      <c r="C27" s="22" t="s">
        <v>91</v>
      </c>
      <c r="D27" s="43" t="s">
        <v>92</v>
      </c>
      <c r="E27" s="44" t="s">
        <v>93</v>
      </c>
      <c r="F27" s="45"/>
      <c r="G27" s="50">
        <v>0</v>
      </c>
      <c r="H27" s="50">
        <v>0</v>
      </c>
      <c r="I27" s="50">
        <v>0</v>
      </c>
      <c r="J27" s="50">
        <v>0</v>
      </c>
      <c r="K27" s="46"/>
      <c r="L27" s="50">
        <v>0</v>
      </c>
      <c r="M27" s="50">
        <v>0</v>
      </c>
      <c r="N27" s="50">
        <v>0</v>
      </c>
      <c r="O27" s="50">
        <v>0</v>
      </c>
      <c r="P27" s="46"/>
      <c r="Q27" s="50">
        <v>1279800.96</v>
      </c>
      <c r="R27" s="50">
        <v>1826586.21</v>
      </c>
      <c r="S27" s="50">
        <v>546785.25</v>
      </c>
      <c r="T27" s="50">
        <v>5921483.8300000001</v>
      </c>
      <c r="U27" s="46"/>
      <c r="V27" s="50">
        <v>188507.49000000022</v>
      </c>
      <c r="W27" s="50">
        <v>0</v>
      </c>
      <c r="X27" s="50">
        <v>-188507.49000000022</v>
      </c>
      <c r="Y27" s="50">
        <v>0</v>
      </c>
      <c r="Z27" s="46"/>
      <c r="AA27" s="47">
        <v>1468308.4500000002</v>
      </c>
      <c r="AB27" s="47">
        <v>1826586.21</v>
      </c>
      <c r="AC27" s="48">
        <v>358277.75999999978</v>
      </c>
      <c r="AD27" s="47">
        <v>5921483.8300000001</v>
      </c>
      <c r="AF27" s="51">
        <v>4404925.3500000006</v>
      </c>
      <c r="AG27" s="52">
        <v>3659.8636900000001</v>
      </c>
    </row>
    <row r="28" spans="3:36" s="22" customFormat="1">
      <c r="D28" s="43" t="s">
        <v>94</v>
      </c>
      <c r="E28" s="44" t="s">
        <v>95</v>
      </c>
      <c r="F28" s="45"/>
      <c r="G28" s="50">
        <v>0</v>
      </c>
      <c r="H28" s="50"/>
      <c r="I28" s="50">
        <v>0</v>
      </c>
      <c r="J28" s="50"/>
      <c r="K28" s="46"/>
      <c r="L28" s="50">
        <v>0</v>
      </c>
      <c r="M28" s="50"/>
      <c r="N28" s="50">
        <v>0</v>
      </c>
      <c r="O28" s="50"/>
      <c r="P28" s="46"/>
      <c r="Q28" s="50">
        <v>-150251</v>
      </c>
      <c r="R28" s="50"/>
      <c r="S28" s="50">
        <v>150251</v>
      </c>
      <c r="T28" s="50"/>
      <c r="U28" s="46"/>
      <c r="V28" s="50">
        <v>0</v>
      </c>
      <c r="W28" s="50"/>
      <c r="X28" s="50">
        <v>0</v>
      </c>
      <c r="Y28" s="50"/>
      <c r="Z28" s="46"/>
      <c r="AA28" s="47">
        <v>-150251</v>
      </c>
      <c r="AB28" s="47"/>
      <c r="AC28" s="48">
        <v>150251</v>
      </c>
      <c r="AD28" s="47"/>
      <c r="AF28" s="51">
        <v>-450753</v>
      </c>
      <c r="AG28" s="52">
        <v>-299.77466000000004</v>
      </c>
    </row>
    <row r="29" spans="3:36" s="22" customFormat="1">
      <c r="C29" s="22" t="s">
        <v>96</v>
      </c>
      <c r="D29" s="43" t="s">
        <v>97</v>
      </c>
      <c r="E29" s="44" t="s">
        <v>98</v>
      </c>
      <c r="F29" s="45"/>
      <c r="G29" s="50">
        <v>156605.71000000002</v>
      </c>
      <c r="H29" s="50">
        <v>0</v>
      </c>
      <c r="I29" s="50">
        <v>-156605.71000000002</v>
      </c>
      <c r="J29" s="50">
        <v>0</v>
      </c>
      <c r="K29" s="46"/>
      <c r="L29" s="50">
        <v>0</v>
      </c>
      <c r="M29" s="50">
        <v>0</v>
      </c>
      <c r="N29" s="50">
        <v>0</v>
      </c>
      <c r="O29" s="50">
        <v>0</v>
      </c>
      <c r="P29" s="46"/>
      <c r="Q29" s="50">
        <v>909037.40999999992</v>
      </c>
      <c r="R29" s="50">
        <v>1146446.3999999999</v>
      </c>
      <c r="S29" s="50">
        <v>237408.99</v>
      </c>
      <c r="T29" s="50">
        <v>3507024.7700000005</v>
      </c>
      <c r="U29" s="46"/>
      <c r="V29" s="50">
        <v>119461.16000000038</v>
      </c>
      <c r="W29" s="50">
        <v>0</v>
      </c>
      <c r="X29" s="50">
        <v>-119461.16000000038</v>
      </c>
      <c r="Y29" s="50">
        <v>0</v>
      </c>
      <c r="Z29" s="46"/>
      <c r="AA29" s="47">
        <v>1185104.2800000003</v>
      </c>
      <c r="AB29" s="47">
        <v>1146446.3999999999</v>
      </c>
      <c r="AC29" s="48">
        <v>-38657.880000000354</v>
      </c>
      <c r="AD29" s="47">
        <v>3507024.7700000005</v>
      </c>
      <c r="AF29" s="51">
        <v>3555312.8400000008</v>
      </c>
      <c r="AG29" s="52">
        <v>3823.7333300000009</v>
      </c>
    </row>
    <row r="30" spans="3:36" s="22" customFormat="1">
      <c r="D30" s="43"/>
      <c r="E30" s="44"/>
      <c r="F30" s="45"/>
      <c r="G30" s="50"/>
      <c r="H30" s="50"/>
      <c r="I30" s="50"/>
      <c r="J30" s="50"/>
      <c r="K30" s="46"/>
      <c r="L30" s="50"/>
      <c r="M30" s="50"/>
      <c r="N30" s="50"/>
      <c r="O30" s="50"/>
      <c r="P30" s="46"/>
      <c r="Q30" s="50"/>
      <c r="R30" s="50"/>
      <c r="S30" s="50"/>
      <c r="T30" s="50"/>
      <c r="U30" s="46"/>
      <c r="V30" s="50"/>
      <c r="W30" s="50"/>
      <c r="X30" s="50"/>
      <c r="Y30" s="50"/>
      <c r="Z30" s="46"/>
      <c r="AA30" s="47"/>
      <c r="AB30" s="47"/>
      <c r="AC30" s="48"/>
      <c r="AD30" s="47"/>
      <c r="AF30" s="51">
        <v>0</v>
      </c>
      <c r="AG30" s="52"/>
    </row>
    <row r="31" spans="3:36" s="22" customFormat="1">
      <c r="D31" s="43" t="s">
        <v>99</v>
      </c>
      <c r="E31" s="44" t="s">
        <v>100</v>
      </c>
      <c r="F31" s="45"/>
      <c r="G31" s="50">
        <v>11387.310000000001</v>
      </c>
      <c r="H31" s="50"/>
      <c r="I31" s="50">
        <v>-11387.310000000001</v>
      </c>
      <c r="J31" s="50"/>
      <c r="K31" s="46"/>
      <c r="L31" s="50">
        <v>0</v>
      </c>
      <c r="M31" s="50"/>
      <c r="N31" s="50">
        <v>0</v>
      </c>
      <c r="O31" s="50"/>
      <c r="P31" s="46"/>
      <c r="Q31" s="50">
        <v>0</v>
      </c>
      <c r="R31" s="50"/>
      <c r="S31" s="50">
        <v>0</v>
      </c>
      <c r="T31" s="50"/>
      <c r="U31" s="46"/>
      <c r="V31" s="50">
        <v>1881.8599999999988</v>
      </c>
      <c r="W31" s="50"/>
      <c r="X31" s="50">
        <v>-1881.8599999999988</v>
      </c>
      <c r="Y31" s="50"/>
      <c r="Z31" s="46"/>
      <c r="AA31" s="47">
        <v>13269.17</v>
      </c>
      <c r="AB31" s="47"/>
      <c r="AC31" s="48">
        <v>-13269.17</v>
      </c>
      <c r="AD31" s="47"/>
      <c r="AF31" s="51">
        <v>39807.51</v>
      </c>
      <c r="AG31" s="52">
        <v>27.467829999999996</v>
      </c>
    </row>
    <row r="32" spans="3:36" s="22" customFormat="1">
      <c r="D32" s="43" t="s">
        <v>101</v>
      </c>
      <c r="E32" s="44" t="s">
        <v>102</v>
      </c>
      <c r="F32" s="45"/>
      <c r="G32" s="50">
        <v>7677.6500000000005</v>
      </c>
      <c r="H32" s="50"/>
      <c r="I32" s="50">
        <v>-7677.6500000000005</v>
      </c>
      <c r="J32" s="50"/>
      <c r="K32" s="46"/>
      <c r="L32" s="50">
        <v>0</v>
      </c>
      <c r="M32" s="50"/>
      <c r="N32" s="50">
        <v>0</v>
      </c>
      <c r="O32" s="50"/>
      <c r="P32" s="46"/>
      <c r="Q32" s="50">
        <v>0</v>
      </c>
      <c r="R32" s="50"/>
      <c r="S32" s="50">
        <v>0</v>
      </c>
      <c r="T32" s="50"/>
      <c r="U32" s="46"/>
      <c r="V32" s="50">
        <v>1216.0999999999995</v>
      </c>
      <c r="W32" s="50"/>
      <c r="X32" s="50">
        <v>-1216.0999999999995</v>
      </c>
      <c r="Y32" s="50"/>
      <c r="Z32" s="46"/>
      <c r="AA32" s="47">
        <v>8893.75</v>
      </c>
      <c r="AB32" s="47"/>
      <c r="AC32" s="48">
        <v>-8893.75</v>
      </c>
      <c r="AD32" s="47"/>
      <c r="AF32" s="51">
        <v>26681.25</v>
      </c>
      <c r="AG32" s="52">
        <v>39.027770000000004</v>
      </c>
    </row>
    <row r="33" spans="3:33" s="22" customFormat="1">
      <c r="D33" s="43" t="s">
        <v>103</v>
      </c>
      <c r="E33" s="44" t="s">
        <v>104</v>
      </c>
      <c r="F33" s="45"/>
      <c r="G33" s="50">
        <v>1860.6400000000003</v>
      </c>
      <c r="H33" s="50"/>
      <c r="I33" s="50">
        <v>-1860.6400000000003</v>
      </c>
      <c r="J33" s="50"/>
      <c r="K33" s="46"/>
      <c r="L33" s="50">
        <v>0</v>
      </c>
      <c r="M33" s="50"/>
      <c r="N33" s="50">
        <v>0</v>
      </c>
      <c r="O33" s="50"/>
      <c r="P33" s="46"/>
      <c r="Q33" s="50">
        <v>1334.2</v>
      </c>
      <c r="R33" s="50"/>
      <c r="S33" s="50">
        <v>-1334.2</v>
      </c>
      <c r="T33" s="50"/>
      <c r="U33" s="46"/>
      <c r="V33" s="50">
        <v>288.61999999999966</v>
      </c>
      <c r="W33" s="50"/>
      <c r="X33" s="50">
        <v>-288.61999999999966</v>
      </c>
      <c r="Y33" s="50"/>
      <c r="Z33" s="46"/>
      <c r="AA33" s="47">
        <v>3483.46</v>
      </c>
      <c r="AB33" s="47"/>
      <c r="AC33" s="48">
        <v>-3483.46</v>
      </c>
      <c r="AD33" s="47"/>
      <c r="AF33" s="51">
        <v>10450.380000000001</v>
      </c>
      <c r="AG33" s="52">
        <v>47.90473999999999</v>
      </c>
    </row>
    <row r="34" spans="3:33" s="22" customFormat="1">
      <c r="C34" s="22" t="s">
        <v>105</v>
      </c>
      <c r="D34" s="43" t="s">
        <v>106</v>
      </c>
      <c r="E34" s="44" t="s">
        <v>107</v>
      </c>
      <c r="F34" s="45"/>
      <c r="G34" s="50">
        <v>39882.969999999994</v>
      </c>
      <c r="H34" s="50">
        <v>114474.2</v>
      </c>
      <c r="I34" s="50">
        <v>74591.23000000001</v>
      </c>
      <c r="J34" s="50">
        <v>330723.76</v>
      </c>
      <c r="K34" s="46"/>
      <c r="L34" s="50">
        <v>0</v>
      </c>
      <c r="M34" s="50">
        <v>557.5</v>
      </c>
      <c r="N34" s="50">
        <v>557.5</v>
      </c>
      <c r="O34" s="50">
        <v>1616.8699999999997</v>
      </c>
      <c r="P34" s="46"/>
      <c r="Q34" s="50">
        <v>0</v>
      </c>
      <c r="R34" s="50">
        <v>0</v>
      </c>
      <c r="S34" s="50">
        <v>0</v>
      </c>
      <c r="T34" s="50">
        <v>0</v>
      </c>
      <c r="U34" s="46"/>
      <c r="V34" s="50">
        <v>6415.3000000000029</v>
      </c>
      <c r="W34" s="50">
        <v>20378.599999999991</v>
      </c>
      <c r="X34" s="50">
        <v>13963.299999999988</v>
      </c>
      <c r="Y34" s="50">
        <v>58357.979999999974</v>
      </c>
      <c r="Z34" s="46"/>
      <c r="AA34" s="47">
        <v>46298.27</v>
      </c>
      <c r="AB34" s="47">
        <v>135410.29999999999</v>
      </c>
      <c r="AC34" s="48">
        <v>89112.03</v>
      </c>
      <c r="AD34" s="47">
        <v>390698.61</v>
      </c>
      <c r="AF34" s="51">
        <v>138894.81</v>
      </c>
      <c r="AG34" s="52">
        <v>158.65898000000001</v>
      </c>
    </row>
    <row r="35" spans="3:33" s="22" customFormat="1">
      <c r="D35" s="43"/>
      <c r="E35" s="44"/>
      <c r="F35" s="45"/>
      <c r="G35" s="50"/>
      <c r="H35" s="50"/>
      <c r="I35" s="50"/>
      <c r="J35" s="50"/>
      <c r="K35" s="46"/>
      <c r="L35" s="50"/>
      <c r="M35" s="50"/>
      <c r="N35" s="50"/>
      <c r="O35" s="50"/>
      <c r="P35" s="46"/>
      <c r="Q35" s="50"/>
      <c r="R35" s="50"/>
      <c r="S35" s="50"/>
      <c r="T35" s="50"/>
      <c r="U35" s="46"/>
      <c r="V35" s="50"/>
      <c r="W35" s="50"/>
      <c r="X35" s="50"/>
      <c r="Y35" s="50"/>
      <c r="Z35" s="46"/>
      <c r="AA35" s="47"/>
      <c r="AB35" s="47"/>
      <c r="AC35" s="48"/>
      <c r="AD35" s="47"/>
      <c r="AF35" s="51">
        <v>0</v>
      </c>
      <c r="AG35" s="52"/>
    </row>
    <row r="36" spans="3:33" s="22" customFormat="1">
      <c r="D36" s="43" t="s">
        <v>108</v>
      </c>
      <c r="E36" s="44" t="s">
        <v>109</v>
      </c>
      <c r="F36" s="45"/>
      <c r="G36" s="50">
        <v>16931.390000000003</v>
      </c>
      <c r="H36" s="50"/>
      <c r="I36" s="50">
        <v>-16931.390000000003</v>
      </c>
      <c r="J36" s="50"/>
      <c r="K36" s="46"/>
      <c r="L36" s="50">
        <v>0</v>
      </c>
      <c r="M36" s="50"/>
      <c r="N36" s="50">
        <v>0</v>
      </c>
      <c r="O36" s="50"/>
      <c r="P36" s="46"/>
      <c r="Q36" s="50">
        <v>0</v>
      </c>
      <c r="R36" s="50"/>
      <c r="S36" s="50">
        <v>0</v>
      </c>
      <c r="T36" s="50"/>
      <c r="U36" s="46"/>
      <c r="V36" s="50">
        <v>2704.9999999999964</v>
      </c>
      <c r="W36" s="50"/>
      <c r="X36" s="50">
        <v>-2704.9999999999964</v>
      </c>
      <c r="Y36" s="50"/>
      <c r="Z36" s="46"/>
      <c r="AA36" s="47">
        <v>19636.39</v>
      </c>
      <c r="AB36" s="47"/>
      <c r="AC36" s="48">
        <v>-19636.39</v>
      </c>
      <c r="AD36" s="47"/>
      <c r="AF36" s="51">
        <v>58909.17</v>
      </c>
      <c r="AG36" s="52">
        <v>99.39076</v>
      </c>
    </row>
    <row r="37" spans="3:33" s="22" customFormat="1">
      <c r="D37" s="43" t="s">
        <v>110</v>
      </c>
      <c r="E37" s="44" t="s">
        <v>111</v>
      </c>
      <c r="F37" s="45"/>
      <c r="G37" s="50">
        <v>5558.1</v>
      </c>
      <c r="H37" s="50"/>
      <c r="I37" s="50">
        <v>-5558.1</v>
      </c>
      <c r="J37" s="50"/>
      <c r="K37" s="46"/>
      <c r="L37" s="50">
        <v>0</v>
      </c>
      <c r="M37" s="50"/>
      <c r="N37" s="50">
        <v>0</v>
      </c>
      <c r="O37" s="50"/>
      <c r="P37" s="46"/>
      <c r="Q37" s="50">
        <v>0</v>
      </c>
      <c r="R37" s="50"/>
      <c r="S37" s="50">
        <v>0</v>
      </c>
      <c r="T37" s="50"/>
      <c r="U37" s="46"/>
      <c r="V37" s="50">
        <v>930.19999999999982</v>
      </c>
      <c r="W37" s="50"/>
      <c r="X37" s="50">
        <v>-930.19999999999982</v>
      </c>
      <c r="Y37" s="50"/>
      <c r="Z37" s="46"/>
      <c r="AA37" s="47">
        <v>6488.3</v>
      </c>
      <c r="AB37" s="47"/>
      <c r="AC37" s="48">
        <v>-6488.3</v>
      </c>
      <c r="AD37" s="47"/>
      <c r="AF37" s="51">
        <v>19464.900000000001</v>
      </c>
      <c r="AG37" s="52">
        <v>34.676590000000004</v>
      </c>
    </row>
    <row r="38" spans="3:33" s="22" customFormat="1">
      <c r="D38" s="43" t="s">
        <v>112</v>
      </c>
      <c r="E38" s="44" t="s">
        <v>113</v>
      </c>
      <c r="F38" s="45"/>
      <c r="G38" s="50">
        <v>3558.67</v>
      </c>
      <c r="H38" s="50"/>
      <c r="I38" s="50">
        <v>-3558.67</v>
      </c>
      <c r="J38" s="50"/>
      <c r="K38" s="46"/>
      <c r="L38" s="50">
        <v>0</v>
      </c>
      <c r="M38" s="50"/>
      <c r="N38" s="50">
        <v>0</v>
      </c>
      <c r="O38" s="50"/>
      <c r="P38" s="46"/>
      <c r="Q38" s="50">
        <v>31082.63</v>
      </c>
      <c r="R38" s="50"/>
      <c r="S38" s="50">
        <v>-31082.63</v>
      </c>
      <c r="T38" s="50"/>
      <c r="U38" s="46"/>
      <c r="V38" s="50">
        <v>5221.6200000000063</v>
      </c>
      <c r="W38" s="50"/>
      <c r="X38" s="50">
        <v>-5221.6200000000063</v>
      </c>
      <c r="Y38" s="50"/>
      <c r="Z38" s="46"/>
      <c r="AA38" s="47">
        <v>39862.920000000006</v>
      </c>
      <c r="AB38" s="47"/>
      <c r="AC38" s="48">
        <v>-39862.920000000006</v>
      </c>
      <c r="AD38" s="47"/>
      <c r="AF38" s="51">
        <v>119588.76000000001</v>
      </c>
      <c r="AG38" s="52">
        <v>29.665519999999997</v>
      </c>
    </row>
    <row r="39" spans="3:33" s="22" customFormat="1">
      <c r="D39" s="43" t="s">
        <v>114</v>
      </c>
      <c r="E39" s="44" t="s">
        <v>115</v>
      </c>
      <c r="F39" s="45"/>
      <c r="G39" s="50">
        <v>517.61</v>
      </c>
      <c r="H39" s="50"/>
      <c r="I39" s="50">
        <v>-517.61</v>
      </c>
      <c r="J39" s="50"/>
      <c r="K39" s="46"/>
      <c r="L39" s="50">
        <v>0</v>
      </c>
      <c r="M39" s="50"/>
      <c r="N39" s="50">
        <v>0</v>
      </c>
      <c r="O39" s="50"/>
      <c r="P39" s="46"/>
      <c r="Q39" s="50">
        <v>519.61</v>
      </c>
      <c r="R39" s="50"/>
      <c r="S39" s="50">
        <v>-519.61</v>
      </c>
      <c r="T39" s="50"/>
      <c r="U39" s="46"/>
      <c r="V39" s="50">
        <v>67.579999999999927</v>
      </c>
      <c r="W39" s="50"/>
      <c r="X39" s="50">
        <v>-67.579999999999927</v>
      </c>
      <c r="Y39" s="50"/>
      <c r="Z39" s="46"/>
      <c r="AA39" s="47">
        <v>1104.8</v>
      </c>
      <c r="AB39" s="47"/>
      <c r="AC39" s="48">
        <v>-1104.8</v>
      </c>
      <c r="AD39" s="47"/>
      <c r="AF39" s="51">
        <v>3314.3999999999996</v>
      </c>
      <c r="AG39" s="52">
        <v>11.97297</v>
      </c>
    </row>
    <row r="40" spans="3:33" s="22" customFormat="1">
      <c r="C40" s="22" t="s">
        <v>116</v>
      </c>
      <c r="D40" s="43" t="s">
        <v>117</v>
      </c>
      <c r="E40" s="44" t="s">
        <v>118</v>
      </c>
      <c r="F40" s="45"/>
      <c r="G40" s="50">
        <v>6000.45</v>
      </c>
      <c r="H40" s="50">
        <v>228948.39</v>
      </c>
      <c r="I40" s="50">
        <v>222947.94</v>
      </c>
      <c r="J40" s="50">
        <v>661447.52999999991</v>
      </c>
      <c r="K40" s="46"/>
      <c r="L40" s="50">
        <v>0</v>
      </c>
      <c r="M40" s="50">
        <v>1114.99</v>
      </c>
      <c r="N40" s="50">
        <v>1114.99</v>
      </c>
      <c r="O40" s="50">
        <v>3233.7300000000005</v>
      </c>
      <c r="P40" s="46"/>
      <c r="Q40" s="50">
        <v>0</v>
      </c>
      <c r="R40" s="50">
        <v>0</v>
      </c>
      <c r="S40" s="50">
        <v>0</v>
      </c>
      <c r="T40" s="50">
        <v>0</v>
      </c>
      <c r="U40" s="46"/>
      <c r="V40" s="50">
        <v>871.82999999999902</v>
      </c>
      <c r="W40" s="50">
        <v>40757.219999999965</v>
      </c>
      <c r="X40" s="50">
        <v>39885.389999999963</v>
      </c>
      <c r="Y40" s="50">
        <v>116715.96000000018</v>
      </c>
      <c r="Z40" s="46"/>
      <c r="AA40" s="47">
        <v>6872.2799999999988</v>
      </c>
      <c r="AB40" s="47">
        <v>270820.59999999998</v>
      </c>
      <c r="AC40" s="48">
        <v>263948.31999999995</v>
      </c>
      <c r="AD40" s="47">
        <v>781397.22000000009</v>
      </c>
      <c r="AF40" s="51">
        <v>20616.839999999997</v>
      </c>
      <c r="AG40" s="52">
        <v>11.239499999999998</v>
      </c>
    </row>
    <row r="41" spans="3:33" s="22" customFormat="1">
      <c r="D41" s="43"/>
      <c r="E41" s="44"/>
      <c r="F41" s="45"/>
      <c r="G41" s="50"/>
      <c r="H41" s="50"/>
      <c r="I41" s="50"/>
      <c r="J41" s="50"/>
      <c r="K41" s="46"/>
      <c r="L41" s="50"/>
      <c r="M41" s="50"/>
      <c r="N41" s="50"/>
      <c r="O41" s="50"/>
      <c r="P41" s="46"/>
      <c r="Q41" s="50"/>
      <c r="R41" s="50"/>
      <c r="S41" s="50"/>
      <c r="T41" s="50"/>
      <c r="U41" s="46"/>
      <c r="V41" s="50"/>
      <c r="W41" s="50"/>
      <c r="X41" s="50"/>
      <c r="Y41" s="50"/>
      <c r="Z41" s="46"/>
      <c r="AA41" s="47"/>
      <c r="AB41" s="47"/>
      <c r="AC41" s="48"/>
      <c r="AD41" s="47"/>
      <c r="AF41" s="51">
        <v>0</v>
      </c>
      <c r="AG41" s="52"/>
    </row>
    <row r="42" spans="3:33" s="22" customFormat="1">
      <c r="D42" s="43" t="s">
        <v>119</v>
      </c>
      <c r="E42" s="44" t="s">
        <v>120</v>
      </c>
      <c r="F42" s="45"/>
      <c r="G42" s="50">
        <v>207803.50000000006</v>
      </c>
      <c r="H42" s="50"/>
      <c r="I42" s="50">
        <v>-207803.50000000006</v>
      </c>
      <c r="J42" s="50"/>
      <c r="K42" s="46"/>
      <c r="L42" s="50">
        <v>0</v>
      </c>
      <c r="M42" s="50"/>
      <c r="N42" s="50">
        <v>0</v>
      </c>
      <c r="O42" s="50"/>
      <c r="P42" s="46"/>
      <c r="Q42" s="50">
        <v>-93961</v>
      </c>
      <c r="R42" s="50"/>
      <c r="S42" s="50">
        <v>93961</v>
      </c>
      <c r="T42" s="50"/>
      <c r="U42" s="46"/>
      <c r="V42" s="50">
        <v>29453.830000000016</v>
      </c>
      <c r="W42" s="50"/>
      <c r="X42" s="50">
        <v>-29453.830000000016</v>
      </c>
      <c r="Y42" s="50"/>
      <c r="Z42" s="46"/>
      <c r="AA42" s="47">
        <v>143296.33000000007</v>
      </c>
      <c r="AB42" s="47"/>
      <c r="AC42" s="48">
        <v>-143296.33000000007</v>
      </c>
      <c r="AD42" s="47"/>
      <c r="AF42" s="51">
        <v>429888.99000000022</v>
      </c>
      <c r="AG42" s="52">
        <v>825.64002000000016</v>
      </c>
    </row>
    <row r="43" spans="3:33" s="22" customFormat="1">
      <c r="D43" s="43"/>
      <c r="E43" s="44"/>
      <c r="F43" s="45"/>
      <c r="G43" s="50"/>
      <c r="H43" s="50"/>
      <c r="I43" s="50"/>
      <c r="J43" s="50"/>
      <c r="K43" s="46"/>
      <c r="L43" s="50"/>
      <c r="M43" s="50"/>
      <c r="N43" s="50"/>
      <c r="O43" s="50"/>
      <c r="P43" s="46"/>
      <c r="Q43" s="50"/>
      <c r="R43" s="50"/>
      <c r="S43" s="50"/>
      <c r="T43" s="50"/>
      <c r="U43" s="46"/>
      <c r="V43" s="50"/>
      <c r="W43" s="50"/>
      <c r="X43" s="50"/>
      <c r="Y43" s="50"/>
      <c r="Z43" s="46"/>
      <c r="AA43" s="47"/>
      <c r="AB43" s="47"/>
      <c r="AC43" s="48"/>
      <c r="AD43" s="47"/>
      <c r="AF43" s="51">
        <v>0</v>
      </c>
      <c r="AG43" s="52"/>
    </row>
    <row r="44" spans="3:33" s="22" customFormat="1">
      <c r="D44" s="43" t="s">
        <v>121</v>
      </c>
      <c r="E44" s="44" t="s">
        <v>122</v>
      </c>
      <c r="F44" s="45"/>
      <c r="G44" s="50">
        <v>226332.97</v>
      </c>
      <c r="H44" s="50"/>
      <c r="I44" s="50">
        <v>-226332.97</v>
      </c>
      <c r="J44" s="50"/>
      <c r="K44" s="46"/>
      <c r="L44" s="50">
        <v>0</v>
      </c>
      <c r="M44" s="50"/>
      <c r="N44" s="50">
        <v>0</v>
      </c>
      <c r="O44" s="50"/>
      <c r="P44" s="46"/>
      <c r="Q44" s="50">
        <v>11524.27</v>
      </c>
      <c r="R44" s="50"/>
      <c r="S44" s="50">
        <v>-11524.27</v>
      </c>
      <c r="T44" s="50"/>
      <c r="U44" s="46"/>
      <c r="V44" s="50">
        <v>36613.069999999934</v>
      </c>
      <c r="W44" s="50"/>
      <c r="X44" s="50">
        <v>-36613.069999999934</v>
      </c>
      <c r="Y44" s="50"/>
      <c r="Z44" s="46"/>
      <c r="AA44" s="47">
        <v>274470.30999999994</v>
      </c>
      <c r="AB44" s="47"/>
      <c r="AC44" s="48">
        <v>-274470.30999999994</v>
      </c>
      <c r="AD44" s="47"/>
      <c r="AF44" s="51">
        <v>823410.92999999982</v>
      </c>
      <c r="AG44" s="52">
        <v>584.79723000000001</v>
      </c>
    </row>
    <row r="45" spans="3:33" s="22" customFormat="1">
      <c r="D45" s="43" t="s">
        <v>123</v>
      </c>
      <c r="E45" s="44" t="s">
        <v>124</v>
      </c>
      <c r="F45" s="45"/>
      <c r="G45" s="50">
        <v>297270.87000000011</v>
      </c>
      <c r="H45" s="50"/>
      <c r="I45" s="50">
        <v>-297270.87000000011</v>
      </c>
      <c r="J45" s="50"/>
      <c r="K45" s="46"/>
      <c r="L45" s="50">
        <v>0</v>
      </c>
      <c r="M45" s="50"/>
      <c r="N45" s="50">
        <v>0</v>
      </c>
      <c r="O45" s="50"/>
      <c r="P45" s="46"/>
      <c r="Q45" s="50">
        <v>0</v>
      </c>
      <c r="R45" s="50"/>
      <c r="S45" s="50">
        <v>0</v>
      </c>
      <c r="T45" s="50"/>
      <c r="U45" s="46"/>
      <c r="V45" s="50">
        <v>46878.579999999958</v>
      </c>
      <c r="W45" s="50"/>
      <c r="X45" s="50">
        <v>-46878.579999999958</v>
      </c>
      <c r="Y45" s="50"/>
      <c r="Z45" s="46"/>
      <c r="AA45" s="47">
        <v>344149.45000000007</v>
      </c>
      <c r="AB45" s="47"/>
      <c r="AC45" s="48">
        <v>-344149.45000000007</v>
      </c>
      <c r="AD45" s="47"/>
      <c r="AF45" s="51">
        <v>1032448.3500000002</v>
      </c>
      <c r="AG45" s="52">
        <v>306.31671000000006</v>
      </c>
    </row>
    <row r="46" spans="3:33" s="22" customFormat="1">
      <c r="D46" s="43" t="s">
        <v>125</v>
      </c>
      <c r="E46" s="44" t="s">
        <v>126</v>
      </c>
      <c r="F46" s="45"/>
      <c r="G46" s="50">
        <v>170614.58000000002</v>
      </c>
      <c r="H46" s="50"/>
      <c r="I46" s="50">
        <v>-170614.58000000002</v>
      </c>
      <c r="J46" s="50"/>
      <c r="K46" s="46"/>
      <c r="L46" s="50">
        <v>0</v>
      </c>
      <c r="M46" s="50"/>
      <c r="N46" s="50">
        <v>0</v>
      </c>
      <c r="O46" s="50"/>
      <c r="P46" s="46"/>
      <c r="Q46" s="50">
        <v>28338.37</v>
      </c>
      <c r="R46" s="50"/>
      <c r="S46" s="50">
        <v>-28338.37</v>
      </c>
      <c r="T46" s="50"/>
      <c r="U46" s="46"/>
      <c r="V46" s="50">
        <v>29203.040000000005</v>
      </c>
      <c r="W46" s="50"/>
      <c r="X46" s="50">
        <v>-29203.040000000005</v>
      </c>
      <c r="Y46" s="50"/>
      <c r="Z46" s="46"/>
      <c r="AA46" s="47">
        <v>228155.99000000002</v>
      </c>
      <c r="AB46" s="47"/>
      <c r="AC46" s="48">
        <v>-228155.99000000002</v>
      </c>
      <c r="AD46" s="47"/>
      <c r="AF46" s="51">
        <v>684467.97000000009</v>
      </c>
      <c r="AG46" s="52">
        <v>586.97967999999992</v>
      </c>
    </row>
    <row r="47" spans="3:33" s="22" customFormat="1">
      <c r="D47" s="43" t="s">
        <v>127</v>
      </c>
      <c r="E47" s="44" t="s">
        <v>128</v>
      </c>
      <c r="F47" s="45"/>
      <c r="G47" s="50">
        <v>313387.0400000001</v>
      </c>
      <c r="H47" s="50"/>
      <c r="I47" s="50">
        <v>-313387.0400000001</v>
      </c>
      <c r="J47" s="50"/>
      <c r="K47" s="46"/>
      <c r="L47" s="50">
        <v>0</v>
      </c>
      <c r="M47" s="50"/>
      <c r="N47" s="50">
        <v>0</v>
      </c>
      <c r="O47" s="50"/>
      <c r="P47" s="46"/>
      <c r="Q47" s="50">
        <v>0</v>
      </c>
      <c r="R47" s="50"/>
      <c r="S47" s="50">
        <v>0</v>
      </c>
      <c r="T47" s="50"/>
      <c r="U47" s="46"/>
      <c r="V47" s="50">
        <v>48507.19</v>
      </c>
      <c r="W47" s="50"/>
      <c r="X47" s="50">
        <v>-48507.19</v>
      </c>
      <c r="Y47" s="50"/>
      <c r="Z47" s="46"/>
      <c r="AA47" s="47">
        <v>361894.2300000001</v>
      </c>
      <c r="AB47" s="47"/>
      <c r="AC47" s="48">
        <v>-361894.2300000001</v>
      </c>
      <c r="AD47" s="47"/>
      <c r="AF47" s="51">
        <v>1085682.6900000004</v>
      </c>
      <c r="AG47" s="52">
        <v>618.08825999999988</v>
      </c>
    </row>
    <row r="48" spans="3:33" s="22" customFormat="1">
      <c r="C48" s="22" t="s">
        <v>129</v>
      </c>
      <c r="D48" s="43" t="s">
        <v>130</v>
      </c>
      <c r="E48" s="44" t="s">
        <v>131</v>
      </c>
      <c r="F48" s="45"/>
      <c r="G48" s="50">
        <v>32949.06</v>
      </c>
      <c r="H48" s="50">
        <v>1430927.4100000001</v>
      </c>
      <c r="I48" s="50">
        <v>1397978.35</v>
      </c>
      <c r="J48" s="50">
        <v>4134047.0200000005</v>
      </c>
      <c r="K48" s="46"/>
      <c r="L48" s="50">
        <v>0</v>
      </c>
      <c r="M48" s="50">
        <v>6968.7000000000007</v>
      </c>
      <c r="N48" s="50">
        <v>6968.7000000000007</v>
      </c>
      <c r="O48" s="50">
        <v>20210.84</v>
      </c>
      <c r="P48" s="46"/>
      <c r="Q48" s="50">
        <v>0</v>
      </c>
      <c r="R48" s="50">
        <v>0</v>
      </c>
      <c r="S48" s="50">
        <v>0</v>
      </c>
      <c r="T48" s="50">
        <v>0</v>
      </c>
      <c r="U48" s="46"/>
      <c r="V48" s="50">
        <v>5164.7200000000012</v>
      </c>
      <c r="W48" s="50">
        <v>254732.56999999977</v>
      </c>
      <c r="X48" s="50">
        <v>249567.84999999977</v>
      </c>
      <c r="Y48" s="50">
        <v>729474.7299999994</v>
      </c>
      <c r="Z48" s="46"/>
      <c r="AA48" s="47">
        <v>38113.78</v>
      </c>
      <c r="AB48" s="47">
        <v>1692628.68</v>
      </c>
      <c r="AC48" s="48">
        <v>1654514.9</v>
      </c>
      <c r="AD48" s="47">
        <v>4883732.59</v>
      </c>
      <c r="AF48" s="51">
        <v>114341.34</v>
      </c>
      <c r="AG48" s="52">
        <v>2.0699999999999998</v>
      </c>
    </row>
    <row r="49" spans="2:36" s="22" customFormat="1">
      <c r="D49" s="43"/>
      <c r="E49" s="44"/>
      <c r="F49" s="45"/>
      <c r="G49" s="50"/>
      <c r="H49" s="50"/>
      <c r="I49" s="50"/>
      <c r="J49" s="50"/>
      <c r="K49" s="46"/>
      <c r="L49" s="50"/>
      <c r="M49" s="50"/>
      <c r="N49" s="50"/>
      <c r="O49" s="50"/>
      <c r="P49" s="46"/>
      <c r="Q49" s="50"/>
      <c r="R49" s="50"/>
      <c r="S49" s="50"/>
      <c r="T49" s="50"/>
      <c r="U49" s="46"/>
      <c r="V49" s="50"/>
      <c r="W49" s="50"/>
      <c r="X49" s="50"/>
      <c r="Y49" s="50"/>
      <c r="Z49" s="46"/>
      <c r="AA49" s="47"/>
      <c r="AB49" s="47"/>
      <c r="AC49" s="48"/>
      <c r="AD49" s="47"/>
      <c r="AF49" s="51">
        <v>0</v>
      </c>
      <c r="AG49" s="52"/>
    </row>
    <row r="50" spans="2:36" s="22" customFormat="1">
      <c r="D50" s="43" t="s">
        <v>132</v>
      </c>
      <c r="E50" s="44" t="s">
        <v>133</v>
      </c>
      <c r="F50" s="45"/>
      <c r="G50" s="50">
        <v>170532.41000000003</v>
      </c>
      <c r="H50" s="50"/>
      <c r="I50" s="50">
        <v>-170532.41000000003</v>
      </c>
      <c r="J50" s="50"/>
      <c r="K50" s="46"/>
      <c r="L50" s="50">
        <v>0</v>
      </c>
      <c r="M50" s="50"/>
      <c r="N50" s="50">
        <v>0</v>
      </c>
      <c r="O50" s="50"/>
      <c r="P50" s="46"/>
      <c r="Q50" s="50">
        <v>4400.0200000000004</v>
      </c>
      <c r="R50" s="50"/>
      <c r="S50" s="50">
        <v>-4400.0200000000004</v>
      </c>
      <c r="T50" s="50"/>
      <c r="U50" s="46"/>
      <c r="V50" s="50">
        <v>27089.020000000008</v>
      </c>
      <c r="W50" s="50"/>
      <c r="X50" s="50">
        <v>-27089.020000000008</v>
      </c>
      <c r="Y50" s="50"/>
      <c r="Z50" s="46"/>
      <c r="AA50" s="47">
        <v>202021.45000000004</v>
      </c>
      <c r="AB50" s="47"/>
      <c r="AC50" s="48">
        <v>-202021.45000000004</v>
      </c>
      <c r="AD50" s="47"/>
      <c r="AF50" s="51">
        <v>606064.35000000009</v>
      </c>
      <c r="AG50" s="52">
        <v>601.72617999999989</v>
      </c>
    </row>
    <row r="51" spans="2:36" s="22" customFormat="1">
      <c r="D51" s="43" t="s">
        <v>134</v>
      </c>
      <c r="E51" s="44" t="s">
        <v>135</v>
      </c>
      <c r="F51" s="45"/>
      <c r="G51" s="50">
        <v>196166.77000000002</v>
      </c>
      <c r="H51" s="50"/>
      <c r="I51" s="50">
        <v>-196166.77000000002</v>
      </c>
      <c r="J51" s="50"/>
      <c r="K51" s="46"/>
      <c r="L51" s="50">
        <v>0</v>
      </c>
      <c r="M51" s="50"/>
      <c r="N51" s="50">
        <v>0</v>
      </c>
      <c r="O51" s="50"/>
      <c r="P51" s="46"/>
      <c r="Q51" s="50">
        <v>0</v>
      </c>
      <c r="R51" s="50"/>
      <c r="S51" s="50">
        <v>0</v>
      </c>
      <c r="T51" s="50"/>
      <c r="U51" s="46"/>
      <c r="V51" s="50">
        <v>30808.829999999987</v>
      </c>
      <c r="W51" s="50"/>
      <c r="X51" s="50">
        <v>-30808.829999999987</v>
      </c>
      <c r="Y51" s="50"/>
      <c r="Z51" s="46"/>
      <c r="AA51" s="47">
        <v>226975.6</v>
      </c>
      <c r="AB51" s="47"/>
      <c r="AC51" s="48">
        <v>-226975.6</v>
      </c>
      <c r="AD51" s="47"/>
      <c r="AF51" s="51">
        <v>680926.8</v>
      </c>
      <c r="AG51" s="52">
        <v>658.03910000000008</v>
      </c>
    </row>
    <row r="52" spans="2:36" s="22" customFormat="1">
      <c r="D52" s="43" t="s">
        <v>136</v>
      </c>
      <c r="E52" s="44" t="s">
        <v>137</v>
      </c>
      <c r="F52" s="45"/>
      <c r="G52" s="50">
        <v>182084.52000000002</v>
      </c>
      <c r="H52" s="50"/>
      <c r="I52" s="50">
        <v>-182084.52000000002</v>
      </c>
      <c r="J52" s="50"/>
      <c r="K52" s="46"/>
      <c r="L52" s="50">
        <v>0</v>
      </c>
      <c r="M52" s="50"/>
      <c r="N52" s="50">
        <v>0</v>
      </c>
      <c r="O52" s="50"/>
      <c r="P52" s="46"/>
      <c r="Q52" s="50">
        <v>19087.53</v>
      </c>
      <c r="R52" s="50"/>
      <c r="S52" s="50">
        <v>-19087.53</v>
      </c>
      <c r="T52" s="50"/>
      <c r="U52" s="46"/>
      <c r="V52" s="50">
        <v>30283.770000000019</v>
      </c>
      <c r="W52" s="50"/>
      <c r="X52" s="50">
        <v>-30283.770000000019</v>
      </c>
      <c r="Y52" s="50"/>
      <c r="Z52" s="46"/>
      <c r="AA52" s="47">
        <v>231455.82000000004</v>
      </c>
      <c r="AB52" s="47"/>
      <c r="AC52" s="48">
        <v>-231455.82000000004</v>
      </c>
      <c r="AD52" s="47"/>
      <c r="AF52" s="51">
        <v>694367.46000000008</v>
      </c>
      <c r="AG52" s="52">
        <v>714.58215000000018</v>
      </c>
    </row>
    <row r="53" spans="2:36" s="22" customFormat="1">
      <c r="C53" s="22" t="s">
        <v>138</v>
      </c>
      <c r="D53" s="43" t="s">
        <v>139</v>
      </c>
      <c r="E53" s="44" t="s">
        <v>140</v>
      </c>
      <c r="F53" s="45"/>
      <c r="G53" s="50">
        <v>266202.5199999999</v>
      </c>
      <c r="H53" s="50">
        <v>572370.97</v>
      </c>
      <c r="I53" s="50">
        <v>306168.45000000007</v>
      </c>
      <c r="J53" s="50">
        <v>1653618.81</v>
      </c>
      <c r="K53" s="46"/>
      <c r="L53" s="50">
        <v>0</v>
      </c>
      <c r="M53" s="50">
        <v>2787.48</v>
      </c>
      <c r="N53" s="50">
        <v>2787.48</v>
      </c>
      <c r="O53" s="50">
        <v>8084.34</v>
      </c>
      <c r="P53" s="46"/>
      <c r="Q53" s="50">
        <v>0</v>
      </c>
      <c r="R53" s="50">
        <v>0</v>
      </c>
      <c r="S53" s="50">
        <v>0</v>
      </c>
      <c r="T53" s="50">
        <v>0</v>
      </c>
      <c r="U53" s="46"/>
      <c r="V53" s="50">
        <v>42110.95000000007</v>
      </c>
      <c r="W53" s="50">
        <v>101893.03000000001</v>
      </c>
      <c r="X53" s="50">
        <v>59782.079999999944</v>
      </c>
      <c r="Y53" s="50">
        <v>291789.88999999996</v>
      </c>
      <c r="Z53" s="46"/>
      <c r="AA53" s="47">
        <v>308313.46999999997</v>
      </c>
      <c r="AB53" s="47">
        <v>677051.48</v>
      </c>
      <c r="AC53" s="48">
        <v>368738.01</v>
      </c>
      <c r="AD53" s="47">
        <v>1953493.04</v>
      </c>
      <c r="AF53" s="51">
        <v>924940.40999999992</v>
      </c>
      <c r="AG53" s="52">
        <v>878.59570000000008</v>
      </c>
    </row>
    <row r="54" spans="2:36" s="22" customFormat="1">
      <c r="D54" s="43"/>
      <c r="E54" s="44"/>
      <c r="F54" s="45"/>
      <c r="G54" s="50"/>
      <c r="H54" s="50"/>
      <c r="I54" s="50"/>
      <c r="J54" s="50"/>
      <c r="K54" s="46"/>
      <c r="L54" s="50"/>
      <c r="M54" s="50"/>
      <c r="N54" s="50"/>
      <c r="O54" s="50"/>
      <c r="P54" s="46"/>
      <c r="Q54" s="50"/>
      <c r="R54" s="50"/>
      <c r="S54" s="50"/>
      <c r="T54" s="50"/>
      <c r="U54" s="46"/>
      <c r="V54" s="50"/>
      <c r="W54" s="50"/>
      <c r="X54" s="50"/>
      <c r="Y54" s="50"/>
      <c r="Z54" s="46"/>
      <c r="AA54" s="47"/>
      <c r="AB54" s="47"/>
      <c r="AC54" s="48"/>
      <c r="AD54" s="47"/>
    </row>
    <row r="55" spans="2:36" s="29" customFormat="1">
      <c r="B55" s="22"/>
      <c r="C55" s="22"/>
      <c r="D55" s="53" t="s">
        <v>141</v>
      </c>
      <c r="E55" s="54"/>
      <c r="F55" s="55"/>
      <c r="G55" s="54">
        <v>2774428.0900000003</v>
      </c>
      <c r="H55" s="54">
        <v>3097290.08</v>
      </c>
      <c r="I55" s="54">
        <v>322861.98999999964</v>
      </c>
      <c r="J55" s="54">
        <v>8951367.8000000007</v>
      </c>
      <c r="K55" s="55"/>
      <c r="L55" s="54">
        <v>1200</v>
      </c>
      <c r="M55" s="54">
        <v>11428.67</v>
      </c>
      <c r="N55" s="54">
        <v>10228.67</v>
      </c>
      <c r="O55" s="54">
        <v>33145.78</v>
      </c>
      <c r="P55" s="55"/>
      <c r="Q55" s="54">
        <v>2056388</v>
      </c>
      <c r="R55" s="54">
        <v>2973032.61</v>
      </c>
      <c r="S55" s="54">
        <v>916644.61</v>
      </c>
      <c r="T55" s="54">
        <v>9428508.6000000015</v>
      </c>
      <c r="U55" s="55"/>
      <c r="V55" s="54">
        <v>704162.60000000056</v>
      </c>
      <c r="W55" s="54">
        <v>509866.90999999968</v>
      </c>
      <c r="X55" s="54">
        <v>-194295.69000000093</v>
      </c>
      <c r="Y55" s="54">
        <v>1460099.99</v>
      </c>
      <c r="Z55" s="55"/>
      <c r="AA55" s="54">
        <v>5536178.6900000013</v>
      </c>
      <c r="AB55" s="54">
        <v>6591618.2699999996</v>
      </c>
      <c r="AC55" s="54">
        <v>1055439.5799999987</v>
      </c>
      <c r="AD55" s="54">
        <v>19873122.170000002</v>
      </c>
      <c r="AE55" s="54">
        <v>0</v>
      </c>
      <c r="AF55" s="54">
        <v>16608536.070000006</v>
      </c>
      <c r="AG55" s="54">
        <v>15538612.620000003</v>
      </c>
      <c r="AI55" s="22"/>
      <c r="AJ55" s="22"/>
    </row>
    <row r="56" spans="2:36" s="22" customFormat="1">
      <c r="D56" s="56"/>
      <c r="E56" s="57"/>
      <c r="F56" s="45"/>
      <c r="G56" s="46"/>
      <c r="H56" s="46"/>
      <c r="I56" s="46"/>
      <c r="J56" s="46"/>
      <c r="K56" s="46"/>
      <c r="L56" s="46"/>
      <c r="M56" s="46"/>
      <c r="N56" s="46"/>
      <c r="O56" s="46"/>
      <c r="P56" s="46"/>
      <c r="Q56" s="46"/>
      <c r="R56" s="46"/>
      <c r="S56" s="46"/>
      <c r="T56" s="46"/>
      <c r="U56" s="46"/>
      <c r="V56" s="46"/>
      <c r="W56" s="46"/>
      <c r="X56" s="46"/>
      <c r="Y56" s="46"/>
      <c r="Z56" s="46"/>
      <c r="AA56" s="46"/>
      <c r="AB56" s="58"/>
      <c r="AC56" s="58"/>
      <c r="AD56" s="58"/>
    </row>
    <row r="57" spans="2:36" s="22" customFormat="1">
      <c r="D57" s="49" t="s">
        <v>142</v>
      </c>
      <c r="E57" s="44"/>
      <c r="F57" s="45"/>
      <c r="G57" s="50"/>
      <c r="H57" s="50"/>
      <c r="I57" s="50"/>
      <c r="J57" s="50"/>
      <c r="K57" s="46"/>
      <c r="L57" s="50"/>
      <c r="M57" s="50"/>
      <c r="N57" s="50"/>
      <c r="O57" s="50"/>
      <c r="P57" s="46"/>
      <c r="Q57" s="50"/>
      <c r="R57" s="50"/>
      <c r="S57" s="50"/>
      <c r="T57" s="50"/>
      <c r="U57" s="46"/>
      <c r="V57" s="50"/>
      <c r="W57" s="50"/>
      <c r="X57" s="50"/>
      <c r="Y57" s="50"/>
      <c r="Z57" s="46"/>
      <c r="AA57" s="47"/>
      <c r="AB57" s="47"/>
      <c r="AC57" s="48"/>
      <c r="AD57" s="47"/>
    </row>
    <row r="58" spans="2:36" s="22" customFormat="1">
      <c r="C58" s="22" t="s">
        <v>143</v>
      </c>
      <c r="D58" s="43" t="s">
        <v>144</v>
      </c>
      <c r="E58" s="44" t="s">
        <v>145</v>
      </c>
      <c r="F58" s="45"/>
      <c r="G58" s="50">
        <v>50839.259999999995</v>
      </c>
      <c r="H58" s="50">
        <v>457896.77</v>
      </c>
      <c r="I58" s="50">
        <v>407057.51</v>
      </c>
      <c r="J58" s="58">
        <v>1322895.04</v>
      </c>
      <c r="K58" s="46"/>
      <c r="L58" s="50">
        <v>0</v>
      </c>
      <c r="M58" s="50">
        <v>283494.74</v>
      </c>
      <c r="N58" s="50">
        <v>283494.74</v>
      </c>
      <c r="O58" s="58">
        <v>866867.46999999986</v>
      </c>
      <c r="P58" s="46"/>
      <c r="Q58" s="50">
        <v>340761.36000000004</v>
      </c>
      <c r="R58" s="50">
        <v>1272294.77</v>
      </c>
      <c r="S58" s="50">
        <v>931533.40999999992</v>
      </c>
      <c r="T58" s="58">
        <v>3576805.58</v>
      </c>
      <c r="U58" s="46"/>
      <c r="V58" s="50">
        <v>60339.539999999979</v>
      </c>
      <c r="W58" s="50">
        <v>81514.430000000168</v>
      </c>
      <c r="X58" s="50">
        <v>21174.890000000189</v>
      </c>
      <c r="Y58" s="58">
        <v>233431.91000000108</v>
      </c>
      <c r="Z58" s="46"/>
      <c r="AA58" s="47">
        <v>451940.16000000003</v>
      </c>
      <c r="AB58" s="47">
        <v>2095200.7100000002</v>
      </c>
      <c r="AC58" s="48">
        <v>1643260.5500000003</v>
      </c>
      <c r="AD58" s="47">
        <v>6000000.0000000009</v>
      </c>
    </row>
    <row r="59" spans="2:36" s="22" customFormat="1">
      <c r="D59" s="43" t="s">
        <v>146</v>
      </c>
      <c r="E59" s="44" t="s">
        <v>147</v>
      </c>
      <c r="F59" s="45"/>
      <c r="G59" s="50">
        <v>54875.51</v>
      </c>
      <c r="H59" s="50"/>
      <c r="I59" s="50">
        <v>-54875.51</v>
      </c>
      <c r="J59" s="50"/>
      <c r="K59" s="46"/>
      <c r="L59" s="50">
        <v>0</v>
      </c>
      <c r="M59" s="50"/>
      <c r="N59" s="50">
        <v>0</v>
      </c>
      <c r="O59" s="50"/>
      <c r="P59" s="46"/>
      <c r="Q59" s="50">
        <v>0</v>
      </c>
      <c r="R59" s="50"/>
      <c r="S59" s="50">
        <v>0</v>
      </c>
      <c r="T59" s="50"/>
      <c r="U59" s="46"/>
      <c r="V59" s="50">
        <v>8792.7900000000009</v>
      </c>
      <c r="W59" s="50"/>
      <c r="X59" s="50">
        <v>-8792.7900000000009</v>
      </c>
      <c r="Y59" s="50"/>
      <c r="Z59" s="46"/>
      <c r="AA59" s="47">
        <v>63668.3</v>
      </c>
      <c r="AB59" s="47"/>
      <c r="AC59" s="48">
        <v>-63668.3</v>
      </c>
      <c r="AD59" s="47"/>
      <c r="AI59" s="29"/>
      <c r="AJ59" s="29"/>
    </row>
    <row r="60" spans="2:36" s="22" customFormat="1">
      <c r="D60" s="43" t="s">
        <v>148</v>
      </c>
      <c r="E60" s="44" t="s">
        <v>149</v>
      </c>
      <c r="F60" s="45"/>
      <c r="G60" s="50">
        <v>0</v>
      </c>
      <c r="H60" s="50"/>
      <c r="I60" s="50">
        <v>0</v>
      </c>
      <c r="J60" s="50"/>
      <c r="K60" s="46"/>
      <c r="L60" s="50">
        <v>0</v>
      </c>
      <c r="M60" s="50"/>
      <c r="N60" s="50">
        <v>0</v>
      </c>
      <c r="O60" s="50"/>
      <c r="P60" s="46"/>
      <c r="Q60" s="50">
        <v>0</v>
      </c>
      <c r="R60" s="50"/>
      <c r="S60" s="50">
        <v>0</v>
      </c>
      <c r="T60" s="50"/>
      <c r="U60" s="46"/>
      <c r="V60" s="50">
        <v>0</v>
      </c>
      <c r="W60" s="50"/>
      <c r="X60" s="50">
        <v>0</v>
      </c>
      <c r="Y60" s="50"/>
      <c r="Z60" s="46"/>
      <c r="AA60" s="47">
        <v>0</v>
      </c>
      <c r="AB60" s="47"/>
      <c r="AC60" s="48">
        <v>0</v>
      </c>
      <c r="AD60" s="47"/>
    </row>
    <row r="61" spans="2:36" s="22" customFormat="1">
      <c r="D61" s="43" t="s">
        <v>150</v>
      </c>
      <c r="E61" s="44" t="s">
        <v>151</v>
      </c>
      <c r="F61" s="45"/>
      <c r="G61" s="50">
        <v>0</v>
      </c>
      <c r="H61" s="50"/>
      <c r="I61" s="50">
        <v>0</v>
      </c>
      <c r="J61" s="50"/>
      <c r="K61" s="46"/>
      <c r="L61" s="50">
        <v>0</v>
      </c>
      <c r="M61" s="50"/>
      <c r="N61" s="50">
        <v>0</v>
      </c>
      <c r="O61" s="50"/>
      <c r="P61" s="46"/>
      <c r="Q61" s="50">
        <v>182761</v>
      </c>
      <c r="R61" s="50"/>
      <c r="S61" s="50">
        <v>-182761</v>
      </c>
      <c r="T61" s="50"/>
      <c r="U61" s="46"/>
      <c r="V61" s="50">
        <v>32358.75</v>
      </c>
      <c r="W61" s="50"/>
      <c r="X61" s="50">
        <v>-32358.75</v>
      </c>
      <c r="Y61" s="58"/>
      <c r="Z61" s="46"/>
      <c r="AA61" s="47">
        <v>215119.75</v>
      </c>
      <c r="AB61" s="47"/>
      <c r="AC61" s="48">
        <v>-215119.75</v>
      </c>
      <c r="AD61" s="47"/>
    </row>
    <row r="62" spans="2:36" s="22" customFormat="1">
      <c r="D62" s="43" t="s">
        <v>152</v>
      </c>
      <c r="E62" s="44" t="s">
        <v>153</v>
      </c>
      <c r="F62" s="45"/>
      <c r="G62" s="50">
        <v>120713.04999999999</v>
      </c>
      <c r="H62" s="50"/>
      <c r="I62" s="50">
        <v>-120713.04999999999</v>
      </c>
      <c r="J62" s="50"/>
      <c r="K62" s="46"/>
      <c r="L62" s="50">
        <v>227.27</v>
      </c>
      <c r="M62" s="50"/>
      <c r="N62" s="50">
        <v>-227.27</v>
      </c>
      <c r="O62" s="50"/>
      <c r="P62" s="46"/>
      <c r="Q62" s="50">
        <v>2312.92</v>
      </c>
      <c r="R62" s="50"/>
      <c r="S62" s="50">
        <v>-2312.92</v>
      </c>
      <c r="T62" s="50"/>
      <c r="U62" s="46"/>
      <c r="V62" s="50">
        <v>22090.909999999974</v>
      </c>
      <c r="W62" s="50"/>
      <c r="X62" s="50">
        <v>-22090.909999999974</v>
      </c>
      <c r="Y62" s="50"/>
      <c r="Z62" s="46"/>
      <c r="AA62" s="47">
        <v>145344.14999999997</v>
      </c>
      <c r="AB62" s="47"/>
      <c r="AC62" s="48">
        <v>-145344.14999999997</v>
      </c>
      <c r="AD62" s="47"/>
    </row>
    <row r="63" spans="2:36" s="22" customFormat="1">
      <c r="D63" s="43" t="s">
        <v>154</v>
      </c>
      <c r="E63" s="44" t="s">
        <v>155</v>
      </c>
      <c r="F63" s="45"/>
      <c r="G63" s="50">
        <v>1143.45</v>
      </c>
      <c r="H63" s="50"/>
      <c r="I63" s="50">
        <v>-1143.45</v>
      </c>
      <c r="J63" s="50"/>
      <c r="K63" s="46"/>
      <c r="L63" s="50">
        <v>81558.73</v>
      </c>
      <c r="M63" s="50"/>
      <c r="N63" s="50">
        <v>-81558.73</v>
      </c>
      <c r="O63" s="50"/>
      <c r="P63" s="46"/>
      <c r="Q63" s="50">
        <v>0</v>
      </c>
      <c r="R63" s="50"/>
      <c r="S63" s="50">
        <v>0</v>
      </c>
      <c r="T63" s="50"/>
      <c r="U63" s="46"/>
      <c r="V63" s="50">
        <v>192.16000000000349</v>
      </c>
      <c r="W63" s="50"/>
      <c r="X63" s="50">
        <v>-192.16000000000349</v>
      </c>
      <c r="Y63" s="50"/>
      <c r="Z63" s="46"/>
      <c r="AA63" s="47">
        <v>82894.34</v>
      </c>
      <c r="AB63" s="47"/>
      <c r="AC63" s="48">
        <v>-82894.34</v>
      </c>
      <c r="AD63" s="47"/>
    </row>
    <row r="64" spans="2:36" s="22" customFormat="1">
      <c r="D64" s="43" t="s">
        <v>156</v>
      </c>
      <c r="E64" s="44" t="s">
        <v>157</v>
      </c>
      <c r="F64" s="45"/>
      <c r="G64" s="50">
        <v>0</v>
      </c>
      <c r="H64" s="50"/>
      <c r="I64" s="50">
        <v>0</v>
      </c>
      <c r="J64" s="50"/>
      <c r="K64" s="46"/>
      <c r="L64" s="50">
        <v>24831.120000000003</v>
      </c>
      <c r="M64" s="50"/>
      <c r="N64" s="50">
        <v>-24831.120000000003</v>
      </c>
      <c r="O64" s="50"/>
      <c r="P64" s="46"/>
      <c r="Q64" s="50">
        <v>0</v>
      </c>
      <c r="R64" s="50"/>
      <c r="S64" s="50">
        <v>0</v>
      </c>
      <c r="T64" s="50"/>
      <c r="U64" s="46"/>
      <c r="V64" s="50">
        <v>143.84999999999854</v>
      </c>
      <c r="W64" s="50"/>
      <c r="X64" s="50">
        <v>-143.84999999999854</v>
      </c>
      <c r="Y64" s="50"/>
      <c r="Z64" s="46"/>
      <c r="AA64" s="47">
        <v>24974.97</v>
      </c>
      <c r="AB64" s="47"/>
      <c r="AC64" s="48">
        <v>-24974.97</v>
      </c>
      <c r="AD64" s="47"/>
    </row>
    <row r="65" spans="1:36" s="22" customFormat="1">
      <c r="D65" s="43" t="s">
        <v>158</v>
      </c>
      <c r="E65" s="44" t="s">
        <v>159</v>
      </c>
      <c r="F65" s="45"/>
      <c r="G65" s="50">
        <v>52910.55</v>
      </c>
      <c r="H65" s="50"/>
      <c r="I65" s="50">
        <v>-52910.55</v>
      </c>
      <c r="J65" s="50"/>
      <c r="K65" s="46"/>
      <c r="L65" s="50">
        <v>83596.820000000007</v>
      </c>
      <c r="M65" s="50"/>
      <c r="N65" s="50">
        <v>-83596.820000000007</v>
      </c>
      <c r="O65" s="50"/>
      <c r="P65" s="46"/>
      <c r="Q65" s="50">
        <v>14953.05</v>
      </c>
      <c r="R65" s="50"/>
      <c r="S65" s="50">
        <v>-14953.05</v>
      </c>
      <c r="T65" s="50"/>
      <c r="U65" s="46"/>
      <c r="V65" s="50">
        <v>8691.0399999999536</v>
      </c>
      <c r="W65" s="50"/>
      <c r="X65" s="50">
        <v>-8691.0399999999536</v>
      </c>
      <c r="Y65" s="50"/>
      <c r="Z65" s="46"/>
      <c r="AA65" s="47">
        <v>160151.45999999996</v>
      </c>
      <c r="AB65" s="47"/>
      <c r="AC65" s="48">
        <v>-160151.45999999996</v>
      </c>
      <c r="AD65" s="47"/>
    </row>
    <row r="66" spans="1:36" s="22" customFormat="1">
      <c r="D66" s="43" t="s">
        <v>160</v>
      </c>
      <c r="E66" s="44" t="s">
        <v>161</v>
      </c>
      <c r="F66" s="45"/>
      <c r="G66" s="50">
        <v>13647.83</v>
      </c>
      <c r="H66" s="50"/>
      <c r="I66" s="50">
        <v>-13647.83</v>
      </c>
      <c r="J66" s="50"/>
      <c r="K66" s="46"/>
      <c r="L66" s="50">
        <v>0</v>
      </c>
      <c r="M66" s="50"/>
      <c r="N66" s="50">
        <v>0</v>
      </c>
      <c r="O66" s="50"/>
      <c r="P66" s="46"/>
      <c r="Q66" s="50">
        <v>0</v>
      </c>
      <c r="R66" s="50"/>
      <c r="S66" s="50">
        <v>0</v>
      </c>
      <c r="T66" s="50"/>
      <c r="U66" s="46"/>
      <c r="V66" s="50">
        <v>2207.2500000000018</v>
      </c>
      <c r="W66" s="50"/>
      <c r="X66" s="50">
        <v>-2207.2500000000018</v>
      </c>
      <c r="Y66" s="50"/>
      <c r="Z66" s="46"/>
      <c r="AA66" s="47">
        <v>15855.080000000002</v>
      </c>
      <c r="AB66" s="47"/>
      <c r="AC66" s="48">
        <v>-15855.080000000002</v>
      </c>
      <c r="AD66" s="47"/>
    </row>
    <row r="67" spans="1:36" s="22" customFormat="1">
      <c r="D67" s="43" t="s">
        <v>162</v>
      </c>
      <c r="E67" s="44" t="s">
        <v>163</v>
      </c>
      <c r="F67" s="45"/>
      <c r="G67" s="50">
        <v>19061.189999999999</v>
      </c>
      <c r="H67" s="50"/>
      <c r="I67" s="50">
        <v>-19061.189999999999</v>
      </c>
      <c r="J67" s="50"/>
      <c r="K67" s="46"/>
      <c r="L67" s="50">
        <v>0</v>
      </c>
      <c r="M67" s="50"/>
      <c r="N67" s="50">
        <v>0</v>
      </c>
      <c r="O67" s="50"/>
      <c r="P67" s="46"/>
      <c r="Q67" s="50">
        <v>0</v>
      </c>
      <c r="R67" s="50"/>
      <c r="S67" s="50">
        <v>0</v>
      </c>
      <c r="T67" s="50"/>
      <c r="U67" s="46"/>
      <c r="V67" s="50">
        <v>3555.2000000000007</v>
      </c>
      <c r="W67" s="50"/>
      <c r="X67" s="50">
        <v>-3555.2000000000007</v>
      </c>
      <c r="Y67" s="50"/>
      <c r="Z67" s="46"/>
      <c r="AA67" s="47">
        <v>22616.39</v>
      </c>
      <c r="AB67" s="47"/>
      <c r="AC67" s="48">
        <v>-22616.39</v>
      </c>
      <c r="AD67" s="47"/>
    </row>
    <row r="68" spans="1:36" s="22" customFormat="1">
      <c r="D68" s="43" t="s">
        <v>164</v>
      </c>
      <c r="E68" s="44" t="s">
        <v>165</v>
      </c>
      <c r="F68" s="45"/>
      <c r="G68" s="50">
        <v>39794.010000000009</v>
      </c>
      <c r="H68" s="50"/>
      <c r="I68" s="50">
        <v>-39794.010000000009</v>
      </c>
      <c r="J68" s="50"/>
      <c r="K68" s="46"/>
      <c r="L68" s="50">
        <v>0</v>
      </c>
      <c r="M68" s="50"/>
      <c r="N68" s="50">
        <v>0</v>
      </c>
      <c r="O68" s="50"/>
      <c r="P68" s="46"/>
      <c r="Q68" s="50">
        <v>2271.56</v>
      </c>
      <c r="R68" s="50"/>
      <c r="S68" s="50">
        <v>-2271.56</v>
      </c>
      <c r="T68" s="50"/>
      <c r="U68" s="46"/>
      <c r="V68" s="50">
        <v>6720.20999999999</v>
      </c>
      <c r="W68" s="50"/>
      <c r="X68" s="50">
        <v>-6720.20999999999</v>
      </c>
      <c r="Y68" s="50"/>
      <c r="Z68" s="46"/>
      <c r="AA68" s="47">
        <v>48785.78</v>
      </c>
      <c r="AB68" s="47"/>
      <c r="AC68" s="48">
        <v>-48785.78</v>
      </c>
      <c r="AD68" s="47"/>
    </row>
    <row r="69" spans="1:36" s="22" customFormat="1">
      <c r="D69" s="43" t="s">
        <v>166</v>
      </c>
      <c r="E69" s="44" t="s">
        <v>167</v>
      </c>
      <c r="F69" s="45"/>
      <c r="G69" s="50">
        <v>73130.28</v>
      </c>
      <c r="H69" s="50"/>
      <c r="I69" s="50">
        <v>-73130.28</v>
      </c>
      <c r="J69" s="50"/>
      <c r="K69" s="46"/>
      <c r="L69" s="50">
        <v>0</v>
      </c>
      <c r="M69" s="50"/>
      <c r="N69" s="50">
        <v>0</v>
      </c>
      <c r="O69" s="50"/>
      <c r="P69" s="46"/>
      <c r="Q69" s="50">
        <v>0</v>
      </c>
      <c r="R69" s="50"/>
      <c r="S69" s="50">
        <v>0</v>
      </c>
      <c r="T69" s="50"/>
      <c r="U69" s="46"/>
      <c r="V69" s="50">
        <v>11855.299999999988</v>
      </c>
      <c r="W69" s="50"/>
      <c r="X69" s="50">
        <v>-11855.299999999988</v>
      </c>
      <c r="Y69" s="50"/>
      <c r="Z69" s="46"/>
      <c r="AA69" s="47">
        <v>84985.579999999987</v>
      </c>
      <c r="AB69" s="47"/>
      <c r="AC69" s="48">
        <v>-84985.579999999987</v>
      </c>
      <c r="AD69" s="47"/>
    </row>
    <row r="70" spans="1:36" s="22" customFormat="1">
      <c r="D70" s="43" t="s">
        <v>168</v>
      </c>
      <c r="E70" s="44" t="s">
        <v>169</v>
      </c>
      <c r="F70" s="45"/>
      <c r="G70" s="50">
        <v>7837.4900000000007</v>
      </c>
      <c r="H70" s="50"/>
      <c r="I70" s="50">
        <v>-7837.4900000000007</v>
      </c>
      <c r="J70" s="50"/>
      <c r="K70" s="46"/>
      <c r="L70" s="50">
        <v>0</v>
      </c>
      <c r="M70" s="50"/>
      <c r="N70" s="50">
        <v>0</v>
      </c>
      <c r="O70" s="50"/>
      <c r="P70" s="46"/>
      <c r="Q70" s="50">
        <v>0</v>
      </c>
      <c r="R70" s="50"/>
      <c r="S70" s="50">
        <v>0</v>
      </c>
      <c r="T70" s="50"/>
      <c r="U70" s="46"/>
      <c r="V70" s="50">
        <v>1233.8800000000001</v>
      </c>
      <c r="W70" s="50"/>
      <c r="X70" s="50">
        <v>-1233.8800000000001</v>
      </c>
      <c r="Y70" s="50"/>
      <c r="Z70" s="46"/>
      <c r="AA70" s="47">
        <v>9071.3700000000008</v>
      </c>
      <c r="AB70" s="47"/>
      <c r="AC70" s="48">
        <v>-9071.3700000000008</v>
      </c>
      <c r="AD70" s="47"/>
    </row>
    <row r="71" spans="1:36" s="22" customFormat="1">
      <c r="D71" s="43" t="s">
        <v>170</v>
      </c>
      <c r="E71" s="44" t="s">
        <v>171</v>
      </c>
      <c r="F71" s="45"/>
      <c r="G71" s="50">
        <v>735.12999999999988</v>
      </c>
      <c r="H71" s="50"/>
      <c r="I71" s="50">
        <v>-735.12999999999988</v>
      </c>
      <c r="J71" s="50"/>
      <c r="K71" s="46"/>
      <c r="L71" s="50">
        <v>0</v>
      </c>
      <c r="M71" s="50"/>
      <c r="N71" s="50">
        <v>0</v>
      </c>
      <c r="O71" s="50"/>
      <c r="P71" s="46"/>
      <c r="Q71" s="50">
        <v>0</v>
      </c>
      <c r="R71" s="50"/>
      <c r="S71" s="50">
        <v>0</v>
      </c>
      <c r="T71" s="50"/>
      <c r="U71" s="46"/>
      <c r="V71" s="50">
        <v>90.460000000000036</v>
      </c>
      <c r="W71" s="50"/>
      <c r="X71" s="50">
        <v>-90.460000000000036</v>
      </c>
      <c r="Y71" s="50"/>
      <c r="Z71" s="46"/>
      <c r="AA71" s="47">
        <v>825.58999999999992</v>
      </c>
      <c r="AB71" s="47"/>
      <c r="AC71" s="48">
        <v>-825.58999999999992</v>
      </c>
      <c r="AD71" s="47"/>
    </row>
    <row r="72" spans="1:36" s="22" customFormat="1">
      <c r="D72" s="43" t="s">
        <v>172</v>
      </c>
      <c r="E72" s="44" t="s">
        <v>173</v>
      </c>
      <c r="F72" s="45"/>
      <c r="G72" s="50">
        <v>4698.6900000000005</v>
      </c>
      <c r="H72" s="50"/>
      <c r="I72" s="50">
        <v>-4698.6900000000005</v>
      </c>
      <c r="J72" s="50"/>
      <c r="K72" s="46"/>
      <c r="L72" s="50">
        <v>0</v>
      </c>
      <c r="M72" s="50"/>
      <c r="N72" s="50">
        <v>0</v>
      </c>
      <c r="O72" s="50"/>
      <c r="P72" s="46"/>
      <c r="Q72" s="50">
        <v>0</v>
      </c>
      <c r="R72" s="50"/>
      <c r="S72" s="50">
        <v>0</v>
      </c>
      <c r="T72" s="50"/>
      <c r="U72" s="46"/>
      <c r="V72" s="50">
        <v>467.85999999999967</v>
      </c>
      <c r="W72" s="50"/>
      <c r="X72" s="50">
        <v>-467.85999999999967</v>
      </c>
      <c r="Y72" s="50"/>
      <c r="Z72" s="46"/>
      <c r="AA72" s="47">
        <v>5166.55</v>
      </c>
      <c r="AB72" s="47"/>
      <c r="AC72" s="48">
        <v>-5166.55</v>
      </c>
      <c r="AD72" s="47"/>
    </row>
    <row r="73" spans="1:36" s="22" customFormat="1">
      <c r="D73" s="43"/>
      <c r="E73" s="44"/>
      <c r="F73" s="45"/>
      <c r="G73" s="50"/>
      <c r="H73" s="50"/>
      <c r="I73" s="50"/>
      <c r="J73" s="50"/>
      <c r="K73" s="46"/>
      <c r="L73" s="50"/>
      <c r="M73" s="50"/>
      <c r="N73" s="50"/>
      <c r="O73" s="50"/>
      <c r="P73" s="46"/>
      <c r="Q73" s="50"/>
      <c r="R73" s="50"/>
      <c r="S73" s="50"/>
      <c r="T73" s="50"/>
      <c r="U73" s="46"/>
      <c r="V73" s="50"/>
      <c r="W73" s="50"/>
      <c r="X73" s="50"/>
      <c r="Y73" s="50"/>
      <c r="Z73" s="46"/>
      <c r="AA73" s="47"/>
      <c r="AB73" s="47"/>
      <c r="AC73" s="48"/>
      <c r="AD73" s="47"/>
    </row>
    <row r="74" spans="1:36" s="22" customFormat="1">
      <c r="D74" s="53" t="s">
        <v>174</v>
      </c>
      <c r="E74" s="54"/>
      <c r="F74" s="45"/>
      <c r="G74" s="54">
        <v>439386.44</v>
      </c>
      <c r="H74" s="54">
        <v>457896.77</v>
      </c>
      <c r="I74" s="54">
        <v>18510.330000000009</v>
      </c>
      <c r="J74" s="54">
        <v>1322895.04</v>
      </c>
      <c r="K74" s="55"/>
      <c r="L74" s="54">
        <v>190213.94</v>
      </c>
      <c r="M74" s="54">
        <v>283494.74</v>
      </c>
      <c r="N74" s="54">
        <v>93280.799999999988</v>
      </c>
      <c r="O74" s="54">
        <v>866867.46999999986</v>
      </c>
      <c r="P74" s="55"/>
      <c r="Q74" s="54">
        <v>543059.89000000013</v>
      </c>
      <c r="R74" s="54">
        <v>1272294.77</v>
      </c>
      <c r="S74" s="54">
        <v>729234.87999999977</v>
      </c>
      <c r="T74" s="54">
        <v>3576805.58</v>
      </c>
      <c r="U74" s="55"/>
      <c r="V74" s="54">
        <v>158739.1999999999</v>
      </c>
      <c r="W74" s="54">
        <v>81514.430000000168</v>
      </c>
      <c r="X74" s="54">
        <v>-77224.769999999728</v>
      </c>
      <c r="Y74" s="54">
        <v>233431.91000000108</v>
      </c>
      <c r="Z74" s="55"/>
      <c r="AA74" s="54">
        <v>1331399.4700000002</v>
      </c>
      <c r="AB74" s="54">
        <v>2095200.7100000002</v>
      </c>
      <c r="AC74" s="54">
        <v>763801.24000000034</v>
      </c>
      <c r="AD74" s="54">
        <v>6000000.0000000009</v>
      </c>
    </row>
    <row r="75" spans="1:36" s="22" customFormat="1">
      <c r="D75" s="56"/>
      <c r="E75" s="57"/>
      <c r="F75" s="45"/>
      <c r="G75" s="46"/>
      <c r="H75" s="46"/>
      <c r="I75" s="46"/>
      <c r="J75" s="46"/>
      <c r="K75" s="46"/>
      <c r="L75" s="46"/>
      <c r="M75" s="46"/>
      <c r="N75" s="46"/>
      <c r="O75" s="46"/>
      <c r="P75" s="46"/>
      <c r="Q75" s="46"/>
      <c r="R75" s="46"/>
      <c r="S75" s="46"/>
      <c r="T75" s="46"/>
      <c r="U75" s="46"/>
      <c r="V75" s="46"/>
      <c r="W75" s="46"/>
      <c r="X75" s="46"/>
      <c r="Y75" s="46"/>
      <c r="Z75" s="46"/>
      <c r="AA75" s="46"/>
      <c r="AB75" s="58"/>
      <c r="AC75" s="58"/>
      <c r="AD75" s="58"/>
    </row>
    <row r="76" spans="1:36" s="29" customFormat="1">
      <c r="A76" s="21"/>
      <c r="B76" s="22"/>
      <c r="C76" s="22"/>
      <c r="D76" s="59" t="s">
        <v>175</v>
      </c>
      <c r="E76" s="59"/>
      <c r="F76" s="60"/>
      <c r="G76" s="61">
        <v>3213814.5300000003</v>
      </c>
      <c r="H76" s="61">
        <v>3555186.85</v>
      </c>
      <c r="I76" s="61">
        <v>341372.31999999966</v>
      </c>
      <c r="J76" s="61">
        <v>10274262.84</v>
      </c>
      <c r="K76" s="60"/>
      <c r="L76" s="61">
        <v>191413.94</v>
      </c>
      <c r="M76" s="61">
        <v>294923.40999999997</v>
      </c>
      <c r="N76" s="61">
        <v>103509.46999999999</v>
      </c>
      <c r="O76" s="61">
        <v>900013.24999999988</v>
      </c>
      <c r="P76" s="60"/>
      <c r="Q76" s="61">
        <v>2599447.89</v>
      </c>
      <c r="R76" s="61">
        <v>4245327.38</v>
      </c>
      <c r="S76" s="61">
        <v>1645879.4899999998</v>
      </c>
      <c r="T76" s="61">
        <v>13005314.180000002</v>
      </c>
      <c r="U76" s="60"/>
      <c r="V76" s="61">
        <v>862901.80000000051</v>
      </c>
      <c r="W76" s="61">
        <v>591381.33999999985</v>
      </c>
      <c r="X76" s="61">
        <v>-271520.46000000066</v>
      </c>
      <c r="Y76" s="61">
        <v>1693531.9000000011</v>
      </c>
      <c r="Z76" s="60"/>
      <c r="AA76" s="61">
        <v>6867578.160000002</v>
      </c>
      <c r="AB76" s="61">
        <v>8686818.9800000004</v>
      </c>
      <c r="AC76" s="61">
        <v>1819240.8199999989</v>
      </c>
      <c r="AD76" s="61">
        <v>25873122.170000002</v>
      </c>
      <c r="AI76" s="22"/>
      <c r="AJ76" s="22"/>
    </row>
    <row r="77" spans="1:36" s="22" customFormat="1">
      <c r="D77" s="62"/>
      <c r="E77" s="62"/>
      <c r="F77" s="45"/>
      <c r="G77" s="58"/>
      <c r="H77" s="58"/>
      <c r="I77" s="58"/>
      <c r="J77" s="58"/>
      <c r="K77" s="45"/>
      <c r="L77" s="58"/>
      <c r="M77" s="58"/>
      <c r="N77" s="58"/>
      <c r="O77" s="58"/>
      <c r="P77" s="45"/>
      <c r="Q77" s="58"/>
      <c r="R77" s="58"/>
      <c r="S77" s="58"/>
      <c r="T77" s="58"/>
      <c r="U77" s="45"/>
      <c r="V77" s="58"/>
      <c r="W77" s="58"/>
      <c r="X77" s="58"/>
      <c r="Y77" s="58"/>
      <c r="Z77" s="45"/>
      <c r="AA77" s="58"/>
      <c r="AB77" s="58"/>
      <c r="AC77" s="58"/>
      <c r="AD77" s="58"/>
    </row>
    <row r="78" spans="1:36">
      <c r="AI78" s="22"/>
      <c r="AJ78" s="22"/>
    </row>
    <row r="79" spans="1:36">
      <c r="AI79" s="22"/>
      <c r="AJ79" s="22"/>
    </row>
    <row r="80" spans="1:36">
      <c r="AI80" s="29"/>
      <c r="AJ80" s="29"/>
    </row>
    <row r="81" spans="35:36">
      <c r="AI81" s="22"/>
      <c r="AJ81" s="22"/>
    </row>
  </sheetData>
  <mergeCells count="15">
    <mergeCell ref="AG7:AG8"/>
    <mergeCell ref="D8:E8"/>
    <mergeCell ref="I7:I8"/>
    <mergeCell ref="N7:N8"/>
    <mergeCell ref="S7:S8"/>
    <mergeCell ref="X7:X8"/>
    <mergeCell ref="AC7:AC8"/>
    <mergeCell ref="AF7:AF8"/>
    <mergeCell ref="D2:AD2"/>
    <mergeCell ref="D3:AD3"/>
    <mergeCell ref="G6:J6"/>
    <mergeCell ref="L6:O6"/>
    <mergeCell ref="Q6:T6"/>
    <mergeCell ref="V6:Y6"/>
    <mergeCell ref="AA6:AD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AD210"/>
  <sheetViews>
    <sheetView topLeftCell="D13" zoomScale="70" zoomScaleNormal="70" workbookViewId="0">
      <selection activeCell="S89" sqref="S89"/>
    </sheetView>
  </sheetViews>
  <sheetFormatPr defaultColWidth="10.28515625" defaultRowHeight="12.75" outlineLevelRow="1" outlineLevelCol="1"/>
  <cols>
    <col min="1" max="2" width="9.140625" style="21" hidden="1" customWidth="1" outlineLevel="1"/>
    <col min="3" max="3" width="40.28515625" style="21" hidden="1" customWidth="1" outlineLevel="1"/>
    <col min="4" max="4" width="15.85546875" style="21" customWidth="1" collapsed="1"/>
    <col min="5" max="5" width="39.5703125" style="21" customWidth="1"/>
    <col min="6" max="6" width="1" style="22" customWidth="1"/>
    <col min="7" max="10" width="10.7109375" style="21" customWidth="1"/>
    <col min="11" max="11" width="1" style="22" customWidth="1"/>
    <col min="12" max="15" width="10.7109375" style="21" customWidth="1"/>
    <col min="16" max="16" width="1" style="22" customWidth="1"/>
    <col min="17" max="20" width="10.7109375" style="21" customWidth="1"/>
    <col min="21" max="21" width="1" style="22" customWidth="1"/>
    <col min="22" max="25" width="10.7109375" style="21" customWidth="1"/>
    <col min="26" max="26" width="1" style="22" customWidth="1"/>
    <col min="27" max="30" width="10.7109375" style="21" customWidth="1"/>
    <col min="31" max="16384" width="10.28515625" style="21"/>
  </cols>
  <sheetData>
    <row r="1" spans="1:30" ht="15" hidden="1" outlineLevel="1">
      <c r="C1" t="s">
        <v>20</v>
      </c>
      <c r="D1" t="s">
        <v>21</v>
      </c>
      <c r="E1"/>
      <c r="G1" s="21" t="s">
        <v>22</v>
      </c>
      <c r="H1" s="21" t="s">
        <v>23</v>
      </c>
    </row>
    <row r="2" spans="1:30" ht="15" hidden="1" outlineLevel="1">
      <c r="C2" t="s">
        <v>24</v>
      </c>
      <c r="D2" s="23">
        <v>2013</v>
      </c>
      <c r="E2" s="23"/>
      <c r="H2" s="21" t="s">
        <v>25</v>
      </c>
    </row>
    <row r="3" spans="1:30" ht="15" hidden="1" outlineLevel="1">
      <c r="C3" t="s">
        <v>26</v>
      </c>
      <c r="D3" t="s">
        <v>27</v>
      </c>
      <c r="E3" t="s">
        <v>28</v>
      </c>
      <c r="H3" s="21" t="s">
        <v>29</v>
      </c>
    </row>
    <row r="4" spans="1:30" ht="15" hidden="1" outlineLevel="1">
      <c r="C4" t="s">
        <v>30</v>
      </c>
      <c r="D4" t="s">
        <v>31</v>
      </c>
      <c r="E4"/>
    </row>
    <row r="5" spans="1:30" ht="15" hidden="1" outlineLevel="1">
      <c r="C5" t="s">
        <v>32</v>
      </c>
      <c r="D5" t="s">
        <v>33</v>
      </c>
      <c r="E5"/>
    </row>
    <row r="6" spans="1:30" ht="15" hidden="1" outlineLevel="1">
      <c r="C6" t="s">
        <v>34</v>
      </c>
      <c r="D6" t="s">
        <v>35</v>
      </c>
      <c r="E6"/>
    </row>
    <row r="7" spans="1:30" ht="15" hidden="1" outlineLevel="1">
      <c r="C7" t="s">
        <v>36</v>
      </c>
      <c r="D7" t="s">
        <v>37</v>
      </c>
      <c r="E7"/>
    </row>
    <row r="8" spans="1:30" ht="15" hidden="1" outlineLevel="1">
      <c r="C8" t="s">
        <v>38</v>
      </c>
      <c r="D8" t="s">
        <v>39</v>
      </c>
      <c r="E8"/>
    </row>
    <row r="9" spans="1:30" ht="15" hidden="1" outlineLevel="1">
      <c r="C9" t="s">
        <v>40</v>
      </c>
      <c r="D9" s="24" t="s">
        <v>41</v>
      </c>
      <c r="E9" s="25" t="s">
        <v>42</v>
      </c>
      <c r="G9" s="21">
        <v>4613</v>
      </c>
    </row>
    <row r="10" spans="1:30" ht="15" hidden="1" outlineLevel="1">
      <c r="C10" t="s">
        <v>43</v>
      </c>
      <c r="D10" t="s">
        <v>44</v>
      </c>
      <c r="E10" t="s">
        <v>45</v>
      </c>
    </row>
    <row r="11" spans="1:30" ht="15" hidden="1" outlineLevel="1">
      <c r="C11"/>
      <c r="D11" s="26" t="s">
        <v>46</v>
      </c>
      <c r="E11" s="26"/>
      <c r="F11" s="26"/>
      <c r="G11" s="25"/>
      <c r="K11" s="26"/>
      <c r="L11" s="25"/>
      <c r="P11" s="26"/>
      <c r="Q11" s="25"/>
      <c r="U11" s="26"/>
      <c r="V11" s="25"/>
      <c r="Z11" s="26"/>
    </row>
    <row r="12" spans="1:30" s="29" customFormat="1" hidden="1" outlineLevel="1">
      <c r="A12" s="21"/>
      <c r="B12" s="21"/>
      <c r="C12" s="21"/>
      <c r="D12" s="27" t="s">
        <v>47</v>
      </c>
      <c r="E12" s="27"/>
      <c r="F12" s="22"/>
      <c r="G12" s="28"/>
      <c r="H12" s="21"/>
      <c r="I12" s="21"/>
      <c r="J12" s="21"/>
      <c r="K12" s="22"/>
      <c r="L12" s="28"/>
      <c r="M12" s="21"/>
      <c r="N12" s="21"/>
      <c r="O12" s="21"/>
      <c r="P12" s="22"/>
      <c r="Q12" s="28"/>
      <c r="R12" s="21"/>
      <c r="S12" s="21"/>
      <c r="T12" s="21"/>
      <c r="U12" s="22"/>
      <c r="V12" s="28"/>
      <c r="W12" s="21"/>
      <c r="X12" s="21"/>
      <c r="Y12" s="21"/>
      <c r="Z12" s="22"/>
      <c r="AA12" s="21"/>
      <c r="AB12" s="21"/>
      <c r="AC12" s="21"/>
      <c r="AD12" s="21"/>
    </row>
    <row r="13" spans="1:30" s="29" customFormat="1" ht="23.25" customHeight="1" collapsed="1">
      <c r="A13" s="21"/>
      <c r="B13" s="21"/>
      <c r="C13" s="21"/>
      <c r="F13" s="22"/>
      <c r="G13" s="21"/>
      <c r="H13" s="21"/>
      <c r="I13" s="21"/>
      <c r="J13" s="21"/>
      <c r="K13" s="22"/>
      <c r="L13" s="21"/>
      <c r="M13" s="21"/>
      <c r="N13" s="21"/>
      <c r="O13" s="21"/>
      <c r="P13" s="22"/>
      <c r="Q13" s="21"/>
      <c r="R13" s="21"/>
      <c r="S13" s="21"/>
      <c r="T13" s="21"/>
      <c r="U13" s="22"/>
      <c r="V13" s="21"/>
      <c r="W13" s="21"/>
      <c r="X13" s="21"/>
      <c r="Y13" s="21"/>
      <c r="Z13" s="22"/>
      <c r="AA13" s="21"/>
      <c r="AB13" s="21"/>
      <c r="AC13" s="21"/>
      <c r="AD13" s="21"/>
    </row>
    <row r="14" spans="1:30" s="32" customFormat="1" ht="15">
      <c r="A14" s="30"/>
      <c r="B14" s="30"/>
      <c r="C14" s="31"/>
      <c r="D14" s="424" t="s">
        <v>176</v>
      </c>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row>
    <row r="15" spans="1:30" s="32" customFormat="1" ht="15">
      <c r="A15" s="30"/>
      <c r="B15" s="30"/>
      <c r="C15" s="31"/>
      <c r="D15" s="425" t="s">
        <v>177</v>
      </c>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row>
    <row r="16" spans="1:30" ht="9.75" customHeight="1"/>
    <row r="17" spans="1:30" s="29" customFormat="1" ht="15" hidden="1" customHeight="1" outlineLevel="1">
      <c r="C17" s="21"/>
      <c r="D17" s="33"/>
      <c r="E17" s="33"/>
      <c r="F17" s="34"/>
      <c r="G17" s="35" t="s">
        <v>49</v>
      </c>
      <c r="H17" s="33"/>
      <c r="I17" s="33"/>
      <c r="J17" s="33"/>
      <c r="K17" s="34"/>
      <c r="L17" s="35" t="s">
        <v>50</v>
      </c>
      <c r="M17" s="33"/>
      <c r="N17" s="33"/>
      <c r="O17" s="33"/>
      <c r="P17" s="34"/>
      <c r="Q17" s="35" t="s">
        <v>51</v>
      </c>
      <c r="R17" s="33"/>
      <c r="S17" s="33"/>
      <c r="T17" s="33"/>
      <c r="U17" s="34"/>
      <c r="V17" s="35" t="s">
        <v>46</v>
      </c>
      <c r="W17" s="33"/>
      <c r="X17" s="33"/>
      <c r="Y17" s="33"/>
      <c r="Z17" s="34"/>
      <c r="AA17" s="35" t="s">
        <v>46</v>
      </c>
      <c r="AB17" s="33"/>
      <c r="AC17" s="33"/>
      <c r="AD17" s="33"/>
    </row>
    <row r="18" spans="1:30" s="29" customFormat="1" ht="14.25" customHeight="1" collapsed="1">
      <c r="B18" s="22"/>
      <c r="C18" s="22"/>
      <c r="D18" s="33"/>
      <c r="E18" s="33"/>
      <c r="F18" s="34"/>
      <c r="G18" s="426" t="s">
        <v>52</v>
      </c>
      <c r="H18" s="426"/>
      <c r="I18" s="426"/>
      <c r="J18" s="426"/>
      <c r="K18" s="34"/>
      <c r="L18" s="426" t="s">
        <v>53</v>
      </c>
      <c r="M18" s="426"/>
      <c r="N18" s="426"/>
      <c r="O18" s="426"/>
      <c r="P18" s="34"/>
      <c r="Q18" s="426" t="s">
        <v>54</v>
      </c>
      <c r="R18" s="426"/>
      <c r="S18" s="426"/>
      <c r="T18" s="426"/>
      <c r="U18" s="34"/>
      <c r="V18" s="426" t="s">
        <v>55</v>
      </c>
      <c r="W18" s="426"/>
      <c r="X18" s="426"/>
      <c r="Y18" s="426"/>
      <c r="Z18" s="34"/>
      <c r="AA18" s="426" t="s">
        <v>56</v>
      </c>
      <c r="AB18" s="426"/>
      <c r="AC18" s="426"/>
      <c r="AD18" s="426"/>
    </row>
    <row r="19" spans="1:30" s="29" customFormat="1" ht="17.25" customHeight="1">
      <c r="B19" s="22"/>
      <c r="C19" s="22"/>
      <c r="D19" s="33"/>
      <c r="E19" s="33"/>
      <c r="F19" s="34"/>
      <c r="G19" s="36" t="s">
        <v>27</v>
      </c>
      <c r="H19" s="36" t="s">
        <v>28</v>
      </c>
      <c r="I19" s="429" t="s">
        <v>57</v>
      </c>
      <c r="J19" s="36" t="s">
        <v>28</v>
      </c>
      <c r="K19" s="34"/>
      <c r="L19" s="36" t="s">
        <v>27</v>
      </c>
      <c r="M19" s="36" t="s">
        <v>28</v>
      </c>
      <c r="N19" s="429" t="s">
        <v>57</v>
      </c>
      <c r="O19" s="36" t="s">
        <v>28</v>
      </c>
      <c r="P19" s="34"/>
      <c r="Q19" s="36" t="s">
        <v>27</v>
      </c>
      <c r="R19" s="36" t="s">
        <v>28</v>
      </c>
      <c r="S19" s="429" t="s">
        <v>57</v>
      </c>
      <c r="T19" s="36" t="s">
        <v>28</v>
      </c>
      <c r="U19" s="34"/>
      <c r="V19" s="36" t="s">
        <v>27</v>
      </c>
      <c r="W19" s="36" t="s">
        <v>28</v>
      </c>
      <c r="X19" s="429" t="s">
        <v>57</v>
      </c>
      <c r="Y19" s="36" t="s">
        <v>28</v>
      </c>
      <c r="Z19" s="34"/>
      <c r="AA19" s="36" t="s">
        <v>27</v>
      </c>
      <c r="AB19" s="36" t="s">
        <v>28</v>
      </c>
      <c r="AC19" s="429" t="s">
        <v>57</v>
      </c>
      <c r="AD19" s="36" t="s">
        <v>28</v>
      </c>
    </row>
    <row r="20" spans="1:30" s="37" customFormat="1" ht="20.25" customHeight="1">
      <c r="B20" s="38"/>
      <c r="C20" s="38"/>
      <c r="D20" s="428" t="s">
        <v>60</v>
      </c>
      <c r="E20" s="428"/>
      <c r="F20" s="39"/>
      <c r="G20" s="40" t="s">
        <v>63</v>
      </c>
      <c r="H20" s="40" t="s">
        <v>63</v>
      </c>
      <c r="I20" s="429"/>
      <c r="J20" s="40" t="s">
        <v>62</v>
      </c>
      <c r="K20" s="39"/>
      <c r="L20" s="40" t="s">
        <v>63</v>
      </c>
      <c r="M20" s="40" t="s">
        <v>63</v>
      </c>
      <c r="N20" s="429"/>
      <c r="O20" s="40" t="s">
        <v>62</v>
      </c>
      <c r="P20" s="39"/>
      <c r="Q20" s="40" t="s">
        <v>63</v>
      </c>
      <c r="R20" s="40" t="s">
        <v>63</v>
      </c>
      <c r="S20" s="429"/>
      <c r="T20" s="40" t="s">
        <v>62</v>
      </c>
      <c r="U20" s="39"/>
      <c r="V20" s="40" t="s">
        <v>63</v>
      </c>
      <c r="W20" s="40" t="s">
        <v>63</v>
      </c>
      <c r="X20" s="429"/>
      <c r="Y20" s="40" t="s">
        <v>62</v>
      </c>
      <c r="Z20" s="39"/>
      <c r="AA20" s="40" t="s">
        <v>63</v>
      </c>
      <c r="AB20" s="40" t="s">
        <v>63</v>
      </c>
      <c r="AC20" s="429"/>
      <c r="AD20" s="40" t="s">
        <v>62</v>
      </c>
    </row>
    <row r="21" spans="1:30" s="29" customFormat="1" ht="9.75" customHeight="1">
      <c r="A21" s="21"/>
      <c r="B21" s="22"/>
      <c r="C21" s="22"/>
      <c r="D21" s="41"/>
      <c r="E21" s="41"/>
      <c r="F21" s="42"/>
      <c r="G21" s="41"/>
      <c r="H21" s="41"/>
      <c r="I21" s="41"/>
      <c r="J21" s="41"/>
      <c r="K21" s="42"/>
      <c r="L21" s="41"/>
      <c r="M21" s="41"/>
      <c r="N21" s="41"/>
      <c r="O21" s="41"/>
      <c r="P21" s="42"/>
      <c r="Q21" s="41"/>
      <c r="R21" s="41"/>
      <c r="S21" s="41"/>
      <c r="T21" s="41"/>
      <c r="U21" s="42"/>
      <c r="V21" s="41"/>
      <c r="W21" s="41"/>
      <c r="X21" s="41"/>
      <c r="Y21" s="41"/>
      <c r="Z21" s="42"/>
      <c r="AA21" s="41"/>
      <c r="AB21" s="41"/>
      <c r="AC21" s="41"/>
      <c r="AD21" s="41"/>
    </row>
    <row r="22" spans="1:30" s="22" customFormat="1">
      <c r="D22" s="43"/>
      <c r="E22" s="44"/>
      <c r="F22" s="45"/>
      <c r="G22" s="46"/>
      <c r="H22" s="46"/>
      <c r="I22" s="46"/>
      <c r="J22" s="46"/>
      <c r="K22" s="46"/>
      <c r="L22" s="46"/>
      <c r="M22" s="46"/>
      <c r="N22" s="46"/>
      <c r="O22" s="46"/>
      <c r="P22" s="46"/>
      <c r="Q22" s="46"/>
      <c r="R22" s="46"/>
      <c r="S22" s="46"/>
      <c r="T22" s="46"/>
      <c r="U22" s="46"/>
      <c r="V22" s="46"/>
      <c r="W22" s="46"/>
      <c r="X22" s="46"/>
      <c r="Y22" s="46"/>
      <c r="Z22" s="46"/>
      <c r="AA22" s="47"/>
      <c r="AB22" s="47"/>
      <c r="AC22" s="48"/>
      <c r="AD22" s="47"/>
    </row>
    <row r="23" spans="1:30" s="22" customFormat="1">
      <c r="D23" s="49" t="s">
        <v>64</v>
      </c>
      <c r="E23" s="44"/>
      <c r="F23" s="45"/>
      <c r="G23" s="46"/>
      <c r="H23" s="46"/>
      <c r="I23" s="46"/>
      <c r="J23" s="46"/>
      <c r="K23" s="46"/>
      <c r="L23" s="46"/>
      <c r="M23" s="46"/>
      <c r="N23" s="46"/>
      <c r="O23" s="46"/>
      <c r="P23" s="46"/>
      <c r="Q23" s="46"/>
      <c r="R23" s="46"/>
      <c r="S23" s="46"/>
      <c r="T23" s="46"/>
      <c r="U23" s="46"/>
      <c r="V23" s="46"/>
      <c r="W23" s="46"/>
      <c r="X23" s="46"/>
      <c r="Y23" s="46"/>
      <c r="Z23" s="46"/>
      <c r="AA23" s="47"/>
      <c r="AB23" s="47"/>
      <c r="AC23" s="48"/>
      <c r="AD23" s="47"/>
    </row>
    <row r="24" spans="1:30" s="22" customFormat="1">
      <c r="D24" s="43"/>
      <c r="E24" s="44"/>
      <c r="F24" s="45"/>
      <c r="G24" s="46"/>
      <c r="H24" s="46"/>
      <c r="I24" s="46"/>
      <c r="J24" s="46"/>
      <c r="K24" s="46"/>
      <c r="L24" s="46"/>
      <c r="M24" s="46"/>
      <c r="N24" s="46"/>
      <c r="O24" s="46"/>
      <c r="P24" s="46"/>
      <c r="Q24" s="46"/>
      <c r="R24" s="46"/>
      <c r="S24" s="46"/>
      <c r="T24" s="46"/>
      <c r="U24" s="46"/>
      <c r="V24" s="46"/>
      <c r="W24" s="46"/>
      <c r="X24" s="46"/>
      <c r="Y24" s="46"/>
      <c r="Z24" s="46"/>
      <c r="AA24" s="47"/>
      <c r="AB24" s="47"/>
      <c r="AC24" s="48"/>
      <c r="AD24" s="47"/>
    </row>
    <row r="25" spans="1:30" s="22" customFormat="1">
      <c r="D25" s="43" t="s">
        <v>65</v>
      </c>
      <c r="E25" s="44" t="s">
        <v>66</v>
      </c>
      <c r="F25" s="45"/>
      <c r="G25" s="50">
        <v>19994.59</v>
      </c>
      <c r="H25" s="50"/>
      <c r="I25" s="50">
        <v>-19994.59</v>
      </c>
      <c r="J25" s="50"/>
      <c r="K25" s="46"/>
      <c r="L25" s="50">
        <v>0</v>
      </c>
      <c r="M25" s="50"/>
      <c r="N25" s="50">
        <v>0</v>
      </c>
      <c r="O25" s="50"/>
      <c r="P25" s="46"/>
      <c r="Q25" s="50">
        <v>0</v>
      </c>
      <c r="R25" s="50"/>
      <c r="S25" s="50">
        <v>0</v>
      </c>
      <c r="T25" s="50"/>
      <c r="U25" s="46"/>
      <c r="V25" s="50">
        <v>2791.1899999999987</v>
      </c>
      <c r="W25" s="50"/>
      <c r="X25" s="50">
        <v>-2791.1899999999987</v>
      </c>
      <c r="Y25" s="50"/>
      <c r="Z25" s="46"/>
      <c r="AA25" s="47">
        <v>22785.78</v>
      </c>
      <c r="AB25" s="47"/>
      <c r="AC25" s="48">
        <v>-22785.78</v>
      </c>
      <c r="AD25" s="47"/>
    </row>
    <row r="26" spans="1:30" s="22" customFormat="1">
      <c r="D26" s="43" t="s">
        <v>67</v>
      </c>
      <c r="E26" s="44" t="s">
        <v>68</v>
      </c>
      <c r="F26" s="45"/>
      <c r="G26" s="50">
        <v>14822.34</v>
      </c>
      <c r="H26" s="50"/>
      <c r="I26" s="50">
        <v>-14822.34</v>
      </c>
      <c r="J26" s="50"/>
      <c r="K26" s="46"/>
      <c r="L26" s="50">
        <v>0</v>
      </c>
      <c r="M26" s="50"/>
      <c r="N26" s="50">
        <v>0</v>
      </c>
      <c r="O26" s="50"/>
      <c r="P26" s="46"/>
      <c r="Q26" s="50">
        <v>0</v>
      </c>
      <c r="R26" s="50"/>
      <c r="S26" s="50">
        <v>0</v>
      </c>
      <c r="T26" s="50"/>
      <c r="U26" s="46"/>
      <c r="V26" s="50">
        <v>1784.0900000000001</v>
      </c>
      <c r="W26" s="50"/>
      <c r="X26" s="50">
        <v>-1784.0900000000001</v>
      </c>
      <c r="Y26" s="50"/>
      <c r="Z26" s="46"/>
      <c r="AA26" s="47">
        <v>16606.43</v>
      </c>
      <c r="AB26" s="47"/>
      <c r="AC26" s="48">
        <v>-16606.43</v>
      </c>
      <c r="AD26" s="47"/>
    </row>
    <row r="27" spans="1:30" s="22" customFormat="1">
      <c r="C27" s="22" t="s">
        <v>69</v>
      </c>
      <c r="D27" s="43" t="s">
        <v>70</v>
      </c>
      <c r="E27" s="44" t="s">
        <v>71</v>
      </c>
      <c r="F27" s="45"/>
      <c r="G27" s="50">
        <v>17256.960000000003</v>
      </c>
      <c r="H27" s="50">
        <v>1279083</v>
      </c>
      <c r="I27" s="50">
        <v>1261826.04</v>
      </c>
      <c r="J27" s="50">
        <v>1279083</v>
      </c>
      <c r="K27" s="46"/>
      <c r="L27" s="50">
        <v>0</v>
      </c>
      <c r="M27" s="50">
        <v>0</v>
      </c>
      <c r="N27" s="50">
        <v>0</v>
      </c>
      <c r="O27" s="50">
        <v>0</v>
      </c>
      <c r="P27" s="46"/>
      <c r="Q27" s="50">
        <v>0</v>
      </c>
      <c r="R27" s="50">
        <v>0</v>
      </c>
      <c r="S27" s="50">
        <v>0</v>
      </c>
      <c r="T27" s="50">
        <v>0</v>
      </c>
      <c r="U27" s="46"/>
      <c r="V27" s="50">
        <v>2085.9499999999971</v>
      </c>
      <c r="W27" s="50">
        <v>206036</v>
      </c>
      <c r="X27" s="50">
        <v>203950.05</v>
      </c>
      <c r="Y27" s="50">
        <v>206036</v>
      </c>
      <c r="Z27" s="46"/>
      <c r="AA27" s="47">
        <v>19342.91</v>
      </c>
      <c r="AB27" s="47">
        <v>1485119</v>
      </c>
      <c r="AC27" s="48">
        <v>1465776.09</v>
      </c>
      <c r="AD27" s="47">
        <v>1485119</v>
      </c>
    </row>
    <row r="28" spans="1:30" s="22" customFormat="1">
      <c r="D28" s="43" t="s">
        <v>72</v>
      </c>
      <c r="E28" s="44" t="s">
        <v>73</v>
      </c>
      <c r="F28" s="45"/>
      <c r="G28" s="50">
        <v>185573.38999999996</v>
      </c>
      <c r="H28" s="50"/>
      <c r="I28" s="50">
        <v>-185573.38999999996</v>
      </c>
      <c r="J28" s="50"/>
      <c r="K28" s="46"/>
      <c r="L28" s="50">
        <v>0</v>
      </c>
      <c r="M28" s="50"/>
      <c r="N28" s="50">
        <v>0</v>
      </c>
      <c r="O28" s="50"/>
      <c r="P28" s="46"/>
      <c r="Q28" s="50">
        <v>0</v>
      </c>
      <c r="R28" s="50"/>
      <c r="S28" s="50">
        <v>0</v>
      </c>
      <c r="T28" s="50"/>
      <c r="U28" s="46"/>
      <c r="V28" s="50">
        <v>26332.720000000001</v>
      </c>
      <c r="W28" s="50"/>
      <c r="X28" s="50">
        <v>-26332.720000000001</v>
      </c>
      <c r="Y28" s="50"/>
      <c r="Z28" s="46"/>
      <c r="AA28" s="47">
        <v>211906.10999999996</v>
      </c>
      <c r="AB28" s="47"/>
      <c r="AC28" s="48">
        <v>-211906.10999999996</v>
      </c>
      <c r="AD28" s="47"/>
    </row>
    <row r="29" spans="1:30" s="22" customFormat="1">
      <c r="C29" s="22" t="s">
        <v>74</v>
      </c>
      <c r="D29" s="43" t="s">
        <v>75</v>
      </c>
      <c r="E29" s="44" t="s">
        <v>76</v>
      </c>
      <c r="F29" s="45"/>
      <c r="G29" s="50">
        <v>792987.52999999991</v>
      </c>
      <c r="H29" s="50">
        <v>1329167</v>
      </c>
      <c r="I29" s="50">
        <v>536179.47000000009</v>
      </c>
      <c r="J29" s="50">
        <v>1329167</v>
      </c>
      <c r="K29" s="46"/>
      <c r="L29" s="50">
        <v>0</v>
      </c>
      <c r="M29" s="50">
        <v>0</v>
      </c>
      <c r="N29" s="50">
        <v>0</v>
      </c>
      <c r="O29" s="50">
        <v>0</v>
      </c>
      <c r="P29" s="46"/>
      <c r="Q29" s="50">
        <v>0</v>
      </c>
      <c r="R29" s="50">
        <v>0</v>
      </c>
      <c r="S29" s="50">
        <v>0</v>
      </c>
      <c r="T29" s="50">
        <v>0</v>
      </c>
      <c r="U29" s="46"/>
      <c r="V29" s="50">
        <v>102498.50000000012</v>
      </c>
      <c r="W29" s="50">
        <v>214104.00000000023</v>
      </c>
      <c r="X29" s="50">
        <v>111605.50000000012</v>
      </c>
      <c r="Y29" s="50">
        <v>214104.00000000023</v>
      </c>
      <c r="Z29" s="46"/>
      <c r="AA29" s="47">
        <v>895486.03</v>
      </c>
      <c r="AB29" s="47">
        <v>1543271.0000000002</v>
      </c>
      <c r="AC29" s="48">
        <v>647784.9700000002</v>
      </c>
      <c r="AD29" s="47">
        <v>1543271.0000000002</v>
      </c>
    </row>
    <row r="30" spans="1:30" s="22" customFormat="1">
      <c r="D30" s="43"/>
      <c r="E30" s="44"/>
      <c r="F30" s="45"/>
      <c r="G30" s="50"/>
      <c r="H30" s="50"/>
      <c r="I30" s="50"/>
      <c r="J30" s="50"/>
      <c r="K30" s="46"/>
      <c r="L30" s="50"/>
      <c r="M30" s="50"/>
      <c r="N30" s="50"/>
      <c r="O30" s="50"/>
      <c r="P30" s="46"/>
      <c r="Q30" s="50"/>
      <c r="R30" s="50"/>
      <c r="S30" s="50"/>
      <c r="T30" s="50"/>
      <c r="U30" s="46"/>
      <c r="V30" s="50"/>
      <c r="W30" s="50"/>
      <c r="X30" s="50"/>
      <c r="Y30" s="50"/>
      <c r="Z30" s="46"/>
      <c r="AA30" s="47"/>
      <c r="AB30" s="47"/>
      <c r="AC30" s="48"/>
      <c r="AD30" s="47"/>
    </row>
    <row r="31" spans="1:30" s="22" customFormat="1">
      <c r="D31" s="43" t="s">
        <v>77</v>
      </c>
      <c r="E31" s="44" t="s">
        <v>78</v>
      </c>
      <c r="F31" s="45"/>
      <c r="G31" s="50">
        <v>19587.36</v>
      </c>
      <c r="H31" s="50"/>
      <c r="I31" s="50">
        <v>-19587.36</v>
      </c>
      <c r="J31" s="50"/>
      <c r="K31" s="46"/>
      <c r="L31" s="50">
        <v>0</v>
      </c>
      <c r="M31" s="50"/>
      <c r="N31" s="50">
        <v>0</v>
      </c>
      <c r="O31" s="50"/>
      <c r="P31" s="46"/>
      <c r="Q31" s="50">
        <v>0</v>
      </c>
      <c r="R31" s="50"/>
      <c r="S31" s="50">
        <v>0</v>
      </c>
      <c r="T31" s="50"/>
      <c r="U31" s="46"/>
      <c r="V31" s="50">
        <v>2661.1600000000035</v>
      </c>
      <c r="W31" s="50"/>
      <c r="X31" s="50">
        <v>-2661.1600000000035</v>
      </c>
      <c r="Y31" s="50"/>
      <c r="Z31" s="46"/>
      <c r="AA31" s="47">
        <v>22248.520000000004</v>
      </c>
      <c r="AB31" s="47"/>
      <c r="AC31" s="48">
        <v>-22248.520000000004</v>
      </c>
      <c r="AD31" s="47"/>
    </row>
    <row r="32" spans="1:30" s="22" customFormat="1">
      <c r="D32" s="43" t="s">
        <v>79</v>
      </c>
      <c r="E32" s="44" t="s">
        <v>80</v>
      </c>
      <c r="F32" s="45"/>
      <c r="G32" s="50">
        <v>175987.99</v>
      </c>
      <c r="H32" s="50"/>
      <c r="I32" s="50">
        <v>-175987.99</v>
      </c>
      <c r="J32" s="50"/>
      <c r="K32" s="46"/>
      <c r="L32" s="50">
        <v>0</v>
      </c>
      <c r="M32" s="50"/>
      <c r="N32" s="50">
        <v>0</v>
      </c>
      <c r="O32" s="50"/>
      <c r="P32" s="46"/>
      <c r="Q32" s="50">
        <v>0</v>
      </c>
      <c r="R32" s="50"/>
      <c r="S32" s="50">
        <v>0</v>
      </c>
      <c r="T32" s="50"/>
      <c r="U32" s="46"/>
      <c r="V32" s="50">
        <v>24297.010000000009</v>
      </c>
      <c r="W32" s="50"/>
      <c r="X32" s="50">
        <v>-24297.010000000009</v>
      </c>
      <c r="Y32" s="50"/>
      <c r="Z32" s="46"/>
      <c r="AA32" s="47">
        <v>200285</v>
      </c>
      <c r="AB32" s="47"/>
      <c r="AC32" s="48">
        <v>-200285</v>
      </c>
      <c r="AD32" s="47"/>
    </row>
    <row r="33" spans="3:30" s="22" customFormat="1">
      <c r="D33" s="43" t="s">
        <v>81</v>
      </c>
      <c r="E33" s="44" t="s">
        <v>82</v>
      </c>
      <c r="F33" s="45"/>
      <c r="G33" s="50">
        <v>148.44</v>
      </c>
      <c r="H33" s="50"/>
      <c r="I33" s="50">
        <v>-148.44</v>
      </c>
      <c r="J33" s="50"/>
      <c r="K33" s="46"/>
      <c r="L33" s="50">
        <v>0</v>
      </c>
      <c r="M33" s="50"/>
      <c r="N33" s="50">
        <v>0</v>
      </c>
      <c r="O33" s="50"/>
      <c r="P33" s="46"/>
      <c r="Q33" s="50">
        <v>0</v>
      </c>
      <c r="R33" s="50"/>
      <c r="S33" s="50">
        <v>0</v>
      </c>
      <c r="T33" s="50"/>
      <c r="U33" s="46"/>
      <c r="V33" s="50">
        <v>24.009999999999991</v>
      </c>
      <c r="W33" s="50"/>
      <c r="X33" s="50">
        <v>-24.009999999999991</v>
      </c>
      <c r="Y33" s="50"/>
      <c r="Z33" s="46"/>
      <c r="AA33" s="47">
        <v>172.45</v>
      </c>
      <c r="AB33" s="47"/>
      <c r="AC33" s="48">
        <v>-172.45</v>
      </c>
      <c r="AD33" s="47"/>
    </row>
    <row r="34" spans="3:30" s="22" customFormat="1">
      <c r="D34" s="43" t="s">
        <v>83</v>
      </c>
      <c r="E34" s="44" t="s">
        <v>84</v>
      </c>
      <c r="F34" s="45"/>
      <c r="G34" s="50">
        <v>3353.5299999999997</v>
      </c>
      <c r="H34" s="50"/>
      <c r="I34" s="50">
        <v>-3353.5299999999997</v>
      </c>
      <c r="J34" s="50"/>
      <c r="K34" s="46"/>
      <c r="L34" s="50">
        <v>0</v>
      </c>
      <c r="M34" s="50"/>
      <c r="N34" s="50">
        <v>0</v>
      </c>
      <c r="O34" s="50"/>
      <c r="P34" s="46"/>
      <c r="Q34" s="50">
        <v>0</v>
      </c>
      <c r="R34" s="50"/>
      <c r="S34" s="50">
        <v>0</v>
      </c>
      <c r="T34" s="50"/>
      <c r="U34" s="46"/>
      <c r="V34" s="50">
        <v>457.88000000000011</v>
      </c>
      <c r="W34" s="50"/>
      <c r="X34" s="50">
        <v>-457.88000000000011</v>
      </c>
      <c r="Y34" s="50"/>
      <c r="Z34" s="46"/>
      <c r="AA34" s="47">
        <v>3811.41</v>
      </c>
      <c r="AB34" s="47"/>
      <c r="AC34" s="48">
        <v>-3811.41</v>
      </c>
      <c r="AD34" s="47"/>
    </row>
    <row r="35" spans="3:30" s="22" customFormat="1">
      <c r="D35" s="43" t="s">
        <v>85</v>
      </c>
      <c r="E35" s="44" t="s">
        <v>86</v>
      </c>
      <c r="F35" s="45"/>
      <c r="G35" s="50">
        <v>0</v>
      </c>
      <c r="H35" s="50"/>
      <c r="I35" s="50">
        <v>0</v>
      </c>
      <c r="J35" s="50"/>
      <c r="K35" s="46"/>
      <c r="L35" s="50">
        <v>0</v>
      </c>
      <c r="M35" s="50"/>
      <c r="N35" s="50">
        <v>0</v>
      </c>
      <c r="O35" s="50"/>
      <c r="P35" s="46"/>
      <c r="Q35" s="50">
        <v>0</v>
      </c>
      <c r="R35" s="50"/>
      <c r="S35" s="50">
        <v>0</v>
      </c>
      <c r="T35" s="50"/>
      <c r="U35" s="46"/>
      <c r="V35" s="50">
        <v>0</v>
      </c>
      <c r="W35" s="50"/>
      <c r="X35" s="50">
        <v>0</v>
      </c>
      <c r="Y35" s="50"/>
      <c r="Z35" s="46"/>
      <c r="AA35" s="47">
        <v>0</v>
      </c>
      <c r="AB35" s="47"/>
      <c r="AC35" s="48">
        <v>0</v>
      </c>
      <c r="AD35" s="47"/>
    </row>
    <row r="36" spans="3:30" s="22" customFormat="1">
      <c r="D36" s="43"/>
      <c r="E36" s="44"/>
      <c r="F36" s="45"/>
      <c r="G36" s="50"/>
      <c r="H36" s="50"/>
      <c r="I36" s="50"/>
      <c r="J36" s="50"/>
      <c r="K36" s="46"/>
      <c r="L36" s="50"/>
      <c r="M36" s="50"/>
      <c r="N36" s="50"/>
      <c r="O36" s="50"/>
      <c r="P36" s="46"/>
      <c r="Q36" s="50"/>
      <c r="R36" s="50"/>
      <c r="S36" s="50"/>
      <c r="T36" s="50"/>
      <c r="U36" s="46"/>
      <c r="V36" s="50"/>
      <c r="W36" s="50"/>
      <c r="X36" s="50"/>
      <c r="Y36" s="50"/>
      <c r="Z36" s="46"/>
      <c r="AA36" s="47"/>
      <c r="AB36" s="47"/>
      <c r="AC36" s="48"/>
      <c r="AD36" s="47"/>
    </row>
    <row r="37" spans="3:30" s="22" customFormat="1">
      <c r="D37" s="43" t="s">
        <v>87</v>
      </c>
      <c r="E37" s="44" t="s">
        <v>88</v>
      </c>
      <c r="F37" s="45"/>
      <c r="G37" s="50">
        <v>206020.65</v>
      </c>
      <c r="H37" s="50"/>
      <c r="I37" s="50">
        <v>-206020.65</v>
      </c>
      <c r="J37" s="50"/>
      <c r="K37" s="46"/>
      <c r="L37" s="50">
        <v>16943.059999999998</v>
      </c>
      <c r="M37" s="50"/>
      <c r="N37" s="50">
        <v>-16943.059999999998</v>
      </c>
      <c r="O37" s="50"/>
      <c r="P37" s="46"/>
      <c r="Q37" s="50">
        <v>25695.01</v>
      </c>
      <c r="R37" s="50"/>
      <c r="S37" s="50">
        <v>-25695.01</v>
      </c>
      <c r="T37" s="50"/>
      <c r="U37" s="46"/>
      <c r="V37" s="50">
        <v>33664.520000000004</v>
      </c>
      <c r="W37" s="50"/>
      <c r="X37" s="50">
        <v>-33664.520000000004</v>
      </c>
      <c r="Y37" s="50"/>
      <c r="Z37" s="46"/>
      <c r="AA37" s="47">
        <v>282323.24</v>
      </c>
      <c r="AB37" s="47"/>
      <c r="AC37" s="48">
        <v>-282323.24</v>
      </c>
      <c r="AD37" s="47"/>
    </row>
    <row r="38" spans="3:30" s="22" customFormat="1">
      <c r="D38" s="43" t="s">
        <v>89</v>
      </c>
      <c r="E38" s="44" t="s">
        <v>90</v>
      </c>
      <c r="F38" s="45"/>
      <c r="G38" s="50">
        <v>108387.86999999998</v>
      </c>
      <c r="H38" s="50"/>
      <c r="I38" s="50">
        <v>-108387.86999999998</v>
      </c>
      <c r="J38" s="50"/>
      <c r="K38" s="46"/>
      <c r="L38" s="50">
        <v>0</v>
      </c>
      <c r="M38" s="50"/>
      <c r="N38" s="50">
        <v>0</v>
      </c>
      <c r="O38" s="50"/>
      <c r="P38" s="46"/>
      <c r="Q38" s="50">
        <v>353888.04999999993</v>
      </c>
      <c r="R38" s="50"/>
      <c r="S38" s="50">
        <v>-353888.04999999993</v>
      </c>
      <c r="T38" s="50"/>
      <c r="U38" s="46"/>
      <c r="V38" s="50">
        <v>-19293.229999999981</v>
      </c>
      <c r="W38" s="50"/>
      <c r="X38" s="50">
        <v>19293.229999999981</v>
      </c>
      <c r="Y38" s="50"/>
      <c r="Z38" s="46"/>
      <c r="AA38" s="47">
        <v>442982.68999999994</v>
      </c>
      <c r="AB38" s="47"/>
      <c r="AC38" s="48">
        <v>-442982.68999999994</v>
      </c>
      <c r="AD38" s="47"/>
    </row>
    <row r="39" spans="3:30" s="22" customFormat="1">
      <c r="C39" s="22" t="s">
        <v>91</v>
      </c>
      <c r="D39" s="43" t="s">
        <v>92</v>
      </c>
      <c r="E39" s="44" t="s">
        <v>93</v>
      </c>
      <c r="F39" s="45"/>
      <c r="G39" s="50">
        <v>0</v>
      </c>
      <c r="H39" s="50">
        <v>0</v>
      </c>
      <c r="I39" s="50">
        <v>0</v>
      </c>
      <c r="J39" s="50">
        <v>0</v>
      </c>
      <c r="K39" s="46"/>
      <c r="L39" s="50">
        <v>0</v>
      </c>
      <c r="M39" s="50">
        <v>0</v>
      </c>
      <c r="N39" s="50">
        <v>0</v>
      </c>
      <c r="O39" s="50">
        <v>0</v>
      </c>
      <c r="P39" s="46"/>
      <c r="Q39" s="50">
        <v>3659863.69</v>
      </c>
      <c r="R39" s="50">
        <v>2792978.4</v>
      </c>
      <c r="S39" s="50">
        <v>-866885.29</v>
      </c>
      <c r="T39" s="50">
        <v>2792978.4</v>
      </c>
      <c r="U39" s="46"/>
      <c r="V39" s="50">
        <v>0</v>
      </c>
      <c r="W39" s="50">
        <v>0</v>
      </c>
      <c r="X39" s="50">
        <v>0</v>
      </c>
      <c r="Y39" s="50">
        <v>0</v>
      </c>
      <c r="Z39" s="46"/>
      <c r="AA39" s="47">
        <v>3659863.69</v>
      </c>
      <c r="AB39" s="47">
        <v>2792978.4</v>
      </c>
      <c r="AC39" s="48">
        <v>-866885.29</v>
      </c>
      <c r="AD39" s="47">
        <v>2792978.4</v>
      </c>
    </row>
    <row r="40" spans="3:30" s="22" customFormat="1">
      <c r="D40" s="43" t="s">
        <v>94</v>
      </c>
      <c r="E40" s="44" t="s">
        <v>95</v>
      </c>
      <c r="F40" s="45"/>
      <c r="G40" s="50">
        <v>0</v>
      </c>
      <c r="H40" s="50"/>
      <c r="I40" s="50">
        <v>0</v>
      </c>
      <c r="J40" s="50"/>
      <c r="K40" s="46"/>
      <c r="L40" s="50">
        <v>0</v>
      </c>
      <c r="M40" s="50"/>
      <c r="N40" s="50">
        <v>0</v>
      </c>
      <c r="O40" s="50"/>
      <c r="P40" s="46"/>
      <c r="Q40" s="50">
        <v>-299774.66000000003</v>
      </c>
      <c r="R40" s="50"/>
      <c r="S40" s="50">
        <v>299774.66000000003</v>
      </c>
      <c r="T40" s="50"/>
      <c r="U40" s="46"/>
      <c r="V40" s="50">
        <v>0</v>
      </c>
      <c r="W40" s="50"/>
      <c r="X40" s="50">
        <v>0</v>
      </c>
      <c r="Y40" s="50"/>
      <c r="Z40" s="46"/>
      <c r="AA40" s="47">
        <v>-299774.66000000003</v>
      </c>
      <c r="AB40" s="47"/>
      <c r="AC40" s="48">
        <v>299774.66000000003</v>
      </c>
      <c r="AD40" s="47"/>
    </row>
    <row r="41" spans="3:30" s="22" customFormat="1">
      <c r="C41" s="22" t="s">
        <v>96</v>
      </c>
      <c r="D41" s="43" t="s">
        <v>97</v>
      </c>
      <c r="E41" s="44" t="s">
        <v>98</v>
      </c>
      <c r="F41" s="45"/>
      <c r="G41" s="50">
        <v>508731.37999999995</v>
      </c>
      <c r="H41" s="50">
        <v>1189211.9999999998</v>
      </c>
      <c r="I41" s="50">
        <v>680480.61999999988</v>
      </c>
      <c r="J41" s="50">
        <v>1189211.9999999998</v>
      </c>
      <c r="K41" s="46"/>
      <c r="L41" s="50">
        <v>0</v>
      </c>
      <c r="M41" s="50">
        <v>0</v>
      </c>
      <c r="N41" s="50">
        <v>0</v>
      </c>
      <c r="O41" s="50">
        <v>0</v>
      </c>
      <c r="P41" s="46"/>
      <c r="Q41" s="50">
        <v>3215274.69</v>
      </c>
      <c r="R41" s="50">
        <v>3598800</v>
      </c>
      <c r="S41" s="50">
        <v>383525.31000000006</v>
      </c>
      <c r="T41" s="50">
        <v>3598800</v>
      </c>
      <c r="U41" s="46"/>
      <c r="V41" s="50">
        <v>99727.260000001173</v>
      </c>
      <c r="W41" s="50">
        <v>0</v>
      </c>
      <c r="X41" s="50">
        <v>-99727.260000001173</v>
      </c>
      <c r="Y41" s="50">
        <v>0</v>
      </c>
      <c r="Z41" s="46"/>
      <c r="AA41" s="47">
        <v>3823733.330000001</v>
      </c>
      <c r="AB41" s="47">
        <v>4788012</v>
      </c>
      <c r="AC41" s="48">
        <v>964278.66999999899</v>
      </c>
      <c r="AD41" s="47">
        <v>4788012</v>
      </c>
    </row>
    <row r="42" spans="3:30" s="22" customFormat="1">
      <c r="D42" s="43"/>
      <c r="E42" s="44"/>
      <c r="F42" s="45"/>
      <c r="G42" s="50"/>
      <c r="H42" s="50"/>
      <c r="I42" s="50"/>
      <c r="J42" s="50"/>
      <c r="K42" s="46"/>
      <c r="L42" s="50"/>
      <c r="M42" s="50"/>
      <c r="N42" s="50"/>
      <c r="O42" s="50"/>
      <c r="P42" s="46"/>
      <c r="Q42" s="50"/>
      <c r="R42" s="50"/>
      <c r="S42" s="50"/>
      <c r="T42" s="50"/>
      <c r="U42" s="46"/>
      <c r="V42" s="50"/>
      <c r="W42" s="50"/>
      <c r="X42" s="50"/>
      <c r="Y42" s="50"/>
      <c r="Z42" s="46"/>
      <c r="AA42" s="47"/>
      <c r="AB42" s="47"/>
      <c r="AC42" s="48"/>
      <c r="AD42" s="47"/>
    </row>
    <row r="43" spans="3:30" s="22" customFormat="1">
      <c r="C43" s="22" t="s">
        <v>178</v>
      </c>
      <c r="D43" s="43" t="s">
        <v>99</v>
      </c>
      <c r="E43" s="44" t="s">
        <v>100</v>
      </c>
      <c r="F43" s="45"/>
      <c r="G43" s="50">
        <v>21869.950000000004</v>
      </c>
      <c r="H43" s="50">
        <v>14637.999999999998</v>
      </c>
      <c r="I43" s="50">
        <v>-7231.9500000000062</v>
      </c>
      <c r="J43" s="50">
        <v>14637.999999999998</v>
      </c>
      <c r="K43" s="46"/>
      <c r="L43" s="50">
        <v>0</v>
      </c>
      <c r="M43" s="50">
        <v>0</v>
      </c>
      <c r="N43" s="50">
        <v>0</v>
      </c>
      <c r="O43" s="50">
        <v>0</v>
      </c>
      <c r="P43" s="46"/>
      <c r="Q43" s="50">
        <v>1007.6199999999999</v>
      </c>
      <c r="R43" s="50">
        <v>0</v>
      </c>
      <c r="S43" s="50">
        <v>-1007.6199999999999</v>
      </c>
      <c r="T43" s="50"/>
      <c r="U43" s="46"/>
      <c r="V43" s="50">
        <v>4590.2599999999902</v>
      </c>
      <c r="W43" s="50">
        <v>2809.0000000000018</v>
      </c>
      <c r="X43" s="50">
        <v>-1781.2599999999884</v>
      </c>
      <c r="Y43" s="50">
        <v>2809.0000000000018</v>
      </c>
      <c r="Z43" s="46"/>
      <c r="AA43" s="47">
        <v>27467.829999999994</v>
      </c>
      <c r="AB43" s="47">
        <v>17447</v>
      </c>
      <c r="AC43" s="48">
        <v>-10020.829999999994</v>
      </c>
      <c r="AD43" s="47">
        <v>17447</v>
      </c>
    </row>
    <row r="44" spans="3:30" s="22" customFormat="1">
      <c r="C44" s="22" t="s">
        <v>179</v>
      </c>
      <c r="D44" s="43" t="s">
        <v>101</v>
      </c>
      <c r="E44" s="44" t="s">
        <v>102</v>
      </c>
      <c r="F44" s="45"/>
      <c r="G44" s="50">
        <v>32026.649999999998</v>
      </c>
      <c r="H44" s="50">
        <v>42517</v>
      </c>
      <c r="I44" s="50">
        <v>10490.350000000002</v>
      </c>
      <c r="J44" s="50">
        <v>42517</v>
      </c>
      <c r="K44" s="46"/>
      <c r="L44" s="50">
        <v>0</v>
      </c>
      <c r="M44" s="50">
        <v>0</v>
      </c>
      <c r="N44" s="50">
        <v>0</v>
      </c>
      <c r="O44" s="50">
        <v>0</v>
      </c>
      <c r="P44" s="46"/>
      <c r="Q44" s="50">
        <v>0</v>
      </c>
      <c r="R44" s="50">
        <v>0</v>
      </c>
      <c r="S44" s="50">
        <v>0</v>
      </c>
      <c r="T44" s="50"/>
      <c r="U44" s="46"/>
      <c r="V44" s="50">
        <v>7001.1200000000063</v>
      </c>
      <c r="W44" s="50">
        <v>8159</v>
      </c>
      <c r="X44" s="50">
        <v>1157.8799999999937</v>
      </c>
      <c r="Y44" s="50">
        <v>8159</v>
      </c>
      <c r="Z44" s="46"/>
      <c r="AA44" s="47">
        <v>39027.770000000004</v>
      </c>
      <c r="AB44" s="47">
        <v>50676</v>
      </c>
      <c r="AC44" s="48">
        <v>11648.229999999996</v>
      </c>
      <c r="AD44" s="47">
        <v>50676</v>
      </c>
    </row>
    <row r="45" spans="3:30" s="22" customFormat="1">
      <c r="C45" s="22" t="s">
        <v>180</v>
      </c>
      <c r="D45" s="43" t="s">
        <v>103</v>
      </c>
      <c r="E45" s="44" t="s">
        <v>104</v>
      </c>
      <c r="F45" s="45"/>
      <c r="G45" s="50">
        <v>38006.6</v>
      </c>
      <c r="H45" s="50">
        <v>50881.000000000007</v>
      </c>
      <c r="I45" s="50">
        <v>12874.400000000009</v>
      </c>
      <c r="J45" s="50">
        <v>50881.000000000007</v>
      </c>
      <c r="K45" s="46"/>
      <c r="L45" s="50">
        <v>0</v>
      </c>
      <c r="M45" s="50">
        <v>0</v>
      </c>
      <c r="N45" s="50">
        <v>0</v>
      </c>
      <c r="O45" s="50">
        <v>0</v>
      </c>
      <c r="P45" s="46"/>
      <c r="Q45" s="50">
        <v>1599.9999999999998</v>
      </c>
      <c r="R45" s="50">
        <v>0</v>
      </c>
      <c r="S45" s="50">
        <v>-1599.9999999999998</v>
      </c>
      <c r="T45" s="50"/>
      <c r="U45" s="46"/>
      <c r="V45" s="50">
        <v>8298.1399999999921</v>
      </c>
      <c r="W45" s="50">
        <v>9764.0000000000073</v>
      </c>
      <c r="X45" s="50">
        <v>1465.8600000000151</v>
      </c>
      <c r="Y45" s="50">
        <v>9764.0000000000073</v>
      </c>
      <c r="Z45" s="46"/>
      <c r="AA45" s="47">
        <v>47904.739999999991</v>
      </c>
      <c r="AB45" s="47">
        <v>60645.000000000015</v>
      </c>
      <c r="AC45" s="48">
        <v>12740.260000000024</v>
      </c>
      <c r="AD45" s="47">
        <v>60645.000000000015</v>
      </c>
    </row>
    <row r="46" spans="3:30" s="22" customFormat="1">
      <c r="C46" s="22" t="s">
        <v>181</v>
      </c>
      <c r="D46" s="43" t="s">
        <v>106</v>
      </c>
      <c r="E46" s="44" t="s">
        <v>107</v>
      </c>
      <c r="F46" s="45"/>
      <c r="G46" s="50">
        <v>130833.07999999999</v>
      </c>
      <c r="H46" s="50">
        <v>192373.00000000003</v>
      </c>
      <c r="I46" s="50">
        <v>61539.920000000042</v>
      </c>
      <c r="J46" s="50">
        <v>192373.00000000003</v>
      </c>
      <c r="K46" s="46"/>
      <c r="L46" s="50">
        <v>0</v>
      </c>
      <c r="M46" s="50">
        <v>0</v>
      </c>
      <c r="N46" s="50">
        <v>0</v>
      </c>
      <c r="O46" s="50">
        <v>0</v>
      </c>
      <c r="P46" s="46"/>
      <c r="Q46" s="50">
        <v>0</v>
      </c>
      <c r="R46" s="50">
        <v>0</v>
      </c>
      <c r="S46" s="50">
        <v>0</v>
      </c>
      <c r="T46" s="50">
        <v>0</v>
      </c>
      <c r="U46" s="46"/>
      <c r="V46" s="50">
        <v>27825.900000000023</v>
      </c>
      <c r="W46" s="50">
        <v>36917</v>
      </c>
      <c r="X46" s="50">
        <v>9091.0999999999767</v>
      </c>
      <c r="Y46" s="50">
        <v>36917</v>
      </c>
      <c r="Z46" s="46"/>
      <c r="AA46" s="47">
        <v>158658.98000000001</v>
      </c>
      <c r="AB46" s="47">
        <v>229290.00000000003</v>
      </c>
      <c r="AC46" s="48">
        <v>70631.020000000019</v>
      </c>
      <c r="AD46" s="47">
        <v>229290.00000000003</v>
      </c>
    </row>
    <row r="47" spans="3:30" s="22" customFormat="1">
      <c r="D47" s="43"/>
      <c r="E47" s="44"/>
      <c r="F47" s="45"/>
      <c r="G47" s="50"/>
      <c r="H47" s="50"/>
      <c r="I47" s="50"/>
      <c r="J47" s="50"/>
      <c r="K47" s="46"/>
      <c r="L47" s="50"/>
      <c r="M47" s="50"/>
      <c r="N47" s="50"/>
      <c r="O47" s="50"/>
      <c r="P47" s="46"/>
      <c r="Q47" s="50"/>
      <c r="R47" s="50"/>
      <c r="S47" s="50"/>
      <c r="T47" s="50"/>
      <c r="U47" s="46"/>
      <c r="V47" s="50"/>
      <c r="W47" s="50"/>
      <c r="X47" s="50"/>
      <c r="Y47" s="50"/>
      <c r="Z47" s="46"/>
      <c r="AA47" s="47"/>
      <c r="AB47" s="47"/>
      <c r="AC47" s="48"/>
      <c r="AD47" s="47"/>
    </row>
    <row r="48" spans="3:30" s="22" customFormat="1">
      <c r="D48" s="43" t="s">
        <v>108</v>
      </c>
      <c r="E48" s="44" t="s">
        <v>109</v>
      </c>
      <c r="F48" s="45"/>
      <c r="G48" s="50">
        <v>54428.849999999991</v>
      </c>
      <c r="H48" s="50"/>
      <c r="I48" s="50">
        <v>-54428.849999999991</v>
      </c>
      <c r="J48" s="50"/>
      <c r="K48" s="46"/>
      <c r="L48" s="50">
        <v>0</v>
      </c>
      <c r="M48" s="50"/>
      <c r="N48" s="50">
        <v>0</v>
      </c>
      <c r="O48" s="50"/>
      <c r="P48" s="46"/>
      <c r="Q48" s="50">
        <v>30400</v>
      </c>
      <c r="R48" s="50"/>
      <c r="S48" s="50">
        <v>-30400</v>
      </c>
      <c r="T48" s="50"/>
      <c r="U48" s="46"/>
      <c r="V48" s="50">
        <v>14561.910000000003</v>
      </c>
      <c r="W48" s="50"/>
      <c r="X48" s="50">
        <v>-14561.910000000003</v>
      </c>
      <c r="Y48" s="50"/>
      <c r="Z48" s="46"/>
      <c r="AA48" s="47">
        <v>99390.76</v>
      </c>
      <c r="AB48" s="47"/>
      <c r="AC48" s="48">
        <v>-99390.76</v>
      </c>
      <c r="AD48" s="47"/>
    </row>
    <row r="49" spans="3:30" s="22" customFormat="1">
      <c r="C49" s="22" t="s">
        <v>182</v>
      </c>
      <c r="D49" s="43" t="s">
        <v>110</v>
      </c>
      <c r="E49" s="44" t="s">
        <v>111</v>
      </c>
      <c r="F49" s="45"/>
      <c r="G49" s="50">
        <v>24124.46</v>
      </c>
      <c r="H49" s="50">
        <v>167244.00000000003</v>
      </c>
      <c r="I49" s="50">
        <v>143119.54000000004</v>
      </c>
      <c r="J49" s="50">
        <v>167244.00000000003</v>
      </c>
      <c r="K49" s="46"/>
      <c r="L49" s="50">
        <v>0</v>
      </c>
      <c r="M49" s="50">
        <v>0</v>
      </c>
      <c r="N49" s="50">
        <v>0</v>
      </c>
      <c r="O49" s="50">
        <v>0</v>
      </c>
      <c r="P49" s="46"/>
      <c r="Q49" s="50">
        <v>5375</v>
      </c>
      <c r="R49" s="50">
        <v>0</v>
      </c>
      <c r="S49" s="50">
        <v>-5375</v>
      </c>
      <c r="T49" s="50"/>
      <c r="U49" s="46"/>
      <c r="V49" s="50">
        <v>5177.1300000000047</v>
      </c>
      <c r="W49" s="50">
        <v>32094.999999999971</v>
      </c>
      <c r="X49" s="50">
        <v>26917.869999999966</v>
      </c>
      <c r="Y49" s="50">
        <v>32094.999999999971</v>
      </c>
      <c r="Z49" s="46"/>
      <c r="AA49" s="47">
        <v>34676.590000000004</v>
      </c>
      <c r="AB49" s="47">
        <v>199339</v>
      </c>
      <c r="AC49" s="48">
        <v>164662.41</v>
      </c>
      <c r="AD49" s="47">
        <v>199339</v>
      </c>
    </row>
    <row r="50" spans="3:30" s="22" customFormat="1">
      <c r="C50" s="22" t="s">
        <v>183</v>
      </c>
      <c r="D50" s="43" t="s">
        <v>112</v>
      </c>
      <c r="E50" s="44" t="s">
        <v>113</v>
      </c>
      <c r="F50" s="45"/>
      <c r="G50" s="50">
        <v>24744.370000000003</v>
      </c>
      <c r="H50" s="50">
        <v>270678</v>
      </c>
      <c r="I50" s="50">
        <v>245933.63</v>
      </c>
      <c r="J50" s="50">
        <v>270678</v>
      </c>
      <c r="K50" s="46"/>
      <c r="L50" s="50">
        <v>0</v>
      </c>
      <c r="M50" s="50">
        <v>0</v>
      </c>
      <c r="N50" s="50">
        <v>0</v>
      </c>
      <c r="O50" s="50">
        <v>0</v>
      </c>
      <c r="P50" s="46"/>
      <c r="Q50" s="50">
        <v>0</v>
      </c>
      <c r="R50" s="50">
        <v>0</v>
      </c>
      <c r="S50" s="50">
        <v>0</v>
      </c>
      <c r="T50" s="50"/>
      <c r="U50" s="46"/>
      <c r="V50" s="50">
        <v>4921.1499999999942</v>
      </c>
      <c r="W50" s="50">
        <v>51945.000000000058</v>
      </c>
      <c r="X50" s="50">
        <v>47023.850000000064</v>
      </c>
      <c r="Y50" s="50">
        <v>51945.000000000058</v>
      </c>
      <c r="Z50" s="46"/>
      <c r="AA50" s="47">
        <v>29665.519999999997</v>
      </c>
      <c r="AB50" s="47">
        <v>322623.00000000006</v>
      </c>
      <c r="AC50" s="48">
        <v>292957.48000000004</v>
      </c>
      <c r="AD50" s="47">
        <v>322623.00000000006</v>
      </c>
    </row>
    <row r="51" spans="3:30" s="22" customFormat="1">
      <c r="C51" s="22" t="s">
        <v>184</v>
      </c>
      <c r="D51" s="43" t="s">
        <v>114</v>
      </c>
      <c r="E51" s="44" t="s">
        <v>115</v>
      </c>
      <c r="F51" s="45"/>
      <c r="G51" s="50">
        <v>5943.31</v>
      </c>
      <c r="H51" s="50">
        <v>103434.00000000001</v>
      </c>
      <c r="I51" s="50">
        <v>97490.690000000017</v>
      </c>
      <c r="J51" s="50">
        <v>103434.00000000001</v>
      </c>
      <c r="K51" s="46"/>
      <c r="L51" s="50">
        <v>0</v>
      </c>
      <c r="M51" s="50">
        <v>0</v>
      </c>
      <c r="N51" s="50">
        <v>0</v>
      </c>
      <c r="O51" s="50">
        <v>0</v>
      </c>
      <c r="P51" s="46"/>
      <c r="Q51" s="50">
        <v>4543.22</v>
      </c>
      <c r="R51" s="50">
        <v>0</v>
      </c>
      <c r="S51" s="50">
        <v>-4543.22</v>
      </c>
      <c r="T51" s="50"/>
      <c r="U51" s="46"/>
      <c r="V51" s="50">
        <v>1486.4399999999987</v>
      </c>
      <c r="W51" s="50">
        <v>19849.999999999971</v>
      </c>
      <c r="X51" s="50">
        <v>18363.559999999972</v>
      </c>
      <c r="Y51" s="50">
        <v>19849.999999999971</v>
      </c>
      <c r="Z51" s="46"/>
      <c r="AA51" s="47">
        <v>11972.97</v>
      </c>
      <c r="AB51" s="47">
        <v>123283.99999999999</v>
      </c>
      <c r="AC51" s="48">
        <v>111311.02999999998</v>
      </c>
      <c r="AD51" s="47">
        <v>123283.99999999999</v>
      </c>
    </row>
    <row r="52" spans="3:30" s="22" customFormat="1">
      <c r="C52" s="22" t="s">
        <v>185</v>
      </c>
      <c r="D52" s="43" t="s">
        <v>117</v>
      </c>
      <c r="E52" s="44" t="s">
        <v>118</v>
      </c>
      <c r="F52" s="45"/>
      <c r="G52" s="50">
        <v>9300.52</v>
      </c>
      <c r="H52" s="50">
        <v>254865</v>
      </c>
      <c r="I52" s="50">
        <v>245564.48</v>
      </c>
      <c r="J52" s="50">
        <v>254865</v>
      </c>
      <c r="K52" s="46"/>
      <c r="L52" s="50">
        <v>0</v>
      </c>
      <c r="M52" s="50">
        <v>0</v>
      </c>
      <c r="N52" s="50">
        <v>0</v>
      </c>
      <c r="O52" s="50">
        <v>0</v>
      </c>
      <c r="P52" s="46"/>
      <c r="Q52" s="50">
        <v>0</v>
      </c>
      <c r="R52" s="50">
        <v>0</v>
      </c>
      <c r="S52" s="50">
        <v>0</v>
      </c>
      <c r="T52" s="50">
        <v>0</v>
      </c>
      <c r="U52" s="46"/>
      <c r="V52" s="50">
        <v>1938.9799999999977</v>
      </c>
      <c r="W52" s="50">
        <v>48910</v>
      </c>
      <c r="X52" s="50">
        <v>46971.020000000004</v>
      </c>
      <c r="Y52" s="50">
        <v>48910</v>
      </c>
      <c r="Z52" s="46"/>
      <c r="AA52" s="47">
        <v>11239.499999999998</v>
      </c>
      <c r="AB52" s="47">
        <v>303775</v>
      </c>
      <c r="AC52" s="48">
        <v>292535.5</v>
      </c>
      <c r="AD52" s="47">
        <v>303775</v>
      </c>
    </row>
    <row r="53" spans="3:30" s="22" customFormat="1">
      <c r="D53" s="43"/>
      <c r="E53" s="44"/>
      <c r="F53" s="45"/>
      <c r="G53" s="50"/>
      <c r="H53" s="50"/>
      <c r="I53" s="50"/>
      <c r="J53" s="50"/>
      <c r="K53" s="46"/>
      <c r="L53" s="50"/>
      <c r="M53" s="50"/>
      <c r="N53" s="50"/>
      <c r="O53" s="50"/>
      <c r="P53" s="46"/>
      <c r="Q53" s="50"/>
      <c r="R53" s="50"/>
      <c r="S53" s="50"/>
      <c r="T53" s="50"/>
      <c r="U53" s="46"/>
      <c r="V53" s="50"/>
      <c r="W53" s="50"/>
      <c r="X53" s="50"/>
      <c r="Y53" s="50"/>
      <c r="Z53" s="46"/>
      <c r="AA53" s="47"/>
      <c r="AB53" s="47"/>
      <c r="AC53" s="48"/>
      <c r="AD53" s="47"/>
    </row>
    <row r="54" spans="3:30" s="22" customFormat="1">
      <c r="D54" s="43" t="s">
        <v>119</v>
      </c>
      <c r="E54" s="44" t="s">
        <v>120</v>
      </c>
      <c r="F54" s="45"/>
      <c r="G54" s="50">
        <v>687584.94000000006</v>
      </c>
      <c r="H54" s="50"/>
      <c r="I54" s="50">
        <v>-687584.94000000006</v>
      </c>
      <c r="J54" s="50"/>
      <c r="K54" s="46"/>
      <c r="L54" s="50">
        <v>0</v>
      </c>
      <c r="M54" s="50"/>
      <c r="N54" s="50">
        <v>0</v>
      </c>
      <c r="O54" s="50"/>
      <c r="P54" s="46"/>
      <c r="Q54" s="50">
        <v>65.97</v>
      </c>
      <c r="R54" s="50"/>
      <c r="S54" s="50">
        <v>-65.97</v>
      </c>
      <c r="T54" s="50"/>
      <c r="U54" s="46"/>
      <c r="V54" s="50">
        <v>137989.11000000007</v>
      </c>
      <c r="W54" s="50"/>
      <c r="X54" s="50">
        <v>-137989.11000000007</v>
      </c>
      <c r="Y54" s="50"/>
      <c r="Z54" s="46"/>
      <c r="AA54" s="47">
        <v>825640.02000000014</v>
      </c>
      <c r="AB54" s="47"/>
      <c r="AC54" s="48">
        <v>-825640.02000000014</v>
      </c>
      <c r="AD54" s="47"/>
    </row>
    <row r="55" spans="3:30" s="22" customFormat="1">
      <c r="D55" s="43"/>
      <c r="E55" s="44"/>
      <c r="F55" s="45"/>
      <c r="G55" s="50"/>
      <c r="H55" s="50"/>
      <c r="I55" s="50"/>
      <c r="J55" s="50"/>
      <c r="K55" s="46"/>
      <c r="L55" s="50"/>
      <c r="M55" s="50"/>
      <c r="N55" s="50"/>
      <c r="O55" s="50"/>
      <c r="P55" s="46"/>
      <c r="Q55" s="50"/>
      <c r="R55" s="50"/>
      <c r="S55" s="50"/>
      <c r="T55" s="50"/>
      <c r="U55" s="46"/>
      <c r="V55" s="50"/>
      <c r="W55" s="50"/>
      <c r="X55" s="50"/>
      <c r="Y55" s="50"/>
      <c r="Z55" s="46"/>
      <c r="AA55" s="47"/>
      <c r="AB55" s="47"/>
      <c r="AC55" s="48"/>
      <c r="AD55" s="47"/>
    </row>
    <row r="56" spans="3:30" s="22" customFormat="1">
      <c r="C56" s="22" t="s">
        <v>186</v>
      </c>
      <c r="D56" s="43" t="s">
        <v>121</v>
      </c>
      <c r="E56" s="44" t="s">
        <v>122</v>
      </c>
      <c r="F56" s="45"/>
      <c r="G56" s="50">
        <v>454319.68999999994</v>
      </c>
      <c r="H56" s="50">
        <v>1367711</v>
      </c>
      <c r="I56" s="50">
        <v>913391.31</v>
      </c>
      <c r="J56" s="50">
        <v>1367711</v>
      </c>
      <c r="K56" s="46"/>
      <c r="L56" s="50">
        <v>0</v>
      </c>
      <c r="M56" s="50">
        <v>0</v>
      </c>
      <c r="N56" s="50">
        <v>0</v>
      </c>
      <c r="O56" s="50">
        <v>0</v>
      </c>
      <c r="P56" s="46"/>
      <c r="Q56" s="50">
        <v>32946.92</v>
      </c>
      <c r="R56" s="50">
        <v>0</v>
      </c>
      <c r="S56" s="50">
        <v>-32946.92</v>
      </c>
      <c r="T56" s="50"/>
      <c r="U56" s="46"/>
      <c r="V56" s="50">
        <v>97530.620000000039</v>
      </c>
      <c r="W56" s="50">
        <v>262471.99999999977</v>
      </c>
      <c r="X56" s="50">
        <v>164941.37999999971</v>
      </c>
      <c r="Y56" s="50">
        <v>262471.99999999977</v>
      </c>
      <c r="Z56" s="46"/>
      <c r="AA56" s="47">
        <v>584797.23</v>
      </c>
      <c r="AB56" s="47">
        <v>1630182.9999999998</v>
      </c>
      <c r="AC56" s="48">
        <v>1045385.7699999998</v>
      </c>
      <c r="AD56" s="47">
        <v>1630182.9999999998</v>
      </c>
    </row>
    <row r="57" spans="3:30" s="22" customFormat="1">
      <c r="C57" s="22" t="s">
        <v>187</v>
      </c>
      <c r="D57" s="43" t="s">
        <v>123</v>
      </c>
      <c r="E57" s="44" t="s">
        <v>124</v>
      </c>
      <c r="F57" s="45"/>
      <c r="G57" s="50">
        <v>251268.66000000003</v>
      </c>
      <c r="H57" s="50">
        <v>234897.00000000003</v>
      </c>
      <c r="I57" s="50">
        <v>-16371.660000000003</v>
      </c>
      <c r="J57" s="50">
        <v>234897.00000000003</v>
      </c>
      <c r="K57" s="46"/>
      <c r="L57" s="50">
        <v>0</v>
      </c>
      <c r="M57" s="50">
        <v>0</v>
      </c>
      <c r="N57" s="50">
        <v>0</v>
      </c>
      <c r="O57" s="50">
        <v>0</v>
      </c>
      <c r="P57" s="46"/>
      <c r="Q57" s="50">
        <v>0</v>
      </c>
      <c r="R57" s="50">
        <v>0</v>
      </c>
      <c r="S57" s="50">
        <v>0</v>
      </c>
      <c r="T57" s="50"/>
      <c r="U57" s="46"/>
      <c r="V57" s="50">
        <v>55048.050000000047</v>
      </c>
      <c r="W57" s="50">
        <v>45077.999999999971</v>
      </c>
      <c r="X57" s="50">
        <v>-9970.0500000000757</v>
      </c>
      <c r="Y57" s="50">
        <v>45077.999999999971</v>
      </c>
      <c r="Z57" s="46"/>
      <c r="AA57" s="47">
        <v>306316.71000000008</v>
      </c>
      <c r="AB57" s="47">
        <v>279975</v>
      </c>
      <c r="AC57" s="48">
        <v>-26341.710000000079</v>
      </c>
      <c r="AD57" s="47">
        <v>279975</v>
      </c>
    </row>
    <row r="58" spans="3:30" s="22" customFormat="1">
      <c r="C58" s="22" t="s">
        <v>188</v>
      </c>
      <c r="D58" s="43" t="s">
        <v>125</v>
      </c>
      <c r="E58" s="44" t="s">
        <v>126</v>
      </c>
      <c r="F58" s="45"/>
      <c r="G58" s="50">
        <v>459476.75999999989</v>
      </c>
      <c r="H58" s="50">
        <v>405799</v>
      </c>
      <c r="I58" s="50">
        <v>-53677.759999999893</v>
      </c>
      <c r="J58" s="50">
        <v>405799</v>
      </c>
      <c r="K58" s="46"/>
      <c r="L58" s="50">
        <v>42</v>
      </c>
      <c r="M58" s="50">
        <v>0</v>
      </c>
      <c r="N58" s="50">
        <v>-42</v>
      </c>
      <c r="O58" s="50">
        <v>0</v>
      </c>
      <c r="P58" s="46"/>
      <c r="Q58" s="50">
        <v>28445.91</v>
      </c>
      <c r="R58" s="50">
        <v>0</v>
      </c>
      <c r="S58" s="50">
        <v>-28445.91</v>
      </c>
      <c r="T58" s="50"/>
      <c r="U58" s="46"/>
      <c r="V58" s="50">
        <v>99015.010000000038</v>
      </c>
      <c r="W58" s="50">
        <v>77874.999999999942</v>
      </c>
      <c r="X58" s="50">
        <v>-21140.010000000097</v>
      </c>
      <c r="Y58" s="50">
        <v>77874.999999999942</v>
      </c>
      <c r="Z58" s="46"/>
      <c r="AA58" s="47">
        <v>586979.67999999993</v>
      </c>
      <c r="AB58" s="47">
        <v>483673.99999999994</v>
      </c>
      <c r="AC58" s="48">
        <v>-103305.68</v>
      </c>
      <c r="AD58" s="47">
        <v>483673.99999999994</v>
      </c>
    </row>
    <row r="59" spans="3:30" s="22" customFormat="1">
      <c r="C59" s="22" t="s">
        <v>189</v>
      </c>
      <c r="D59" s="43" t="s">
        <v>127</v>
      </c>
      <c r="E59" s="44" t="s">
        <v>128</v>
      </c>
      <c r="F59" s="45"/>
      <c r="G59" s="50">
        <v>508365.77999999997</v>
      </c>
      <c r="H59" s="50">
        <v>889484.00000000012</v>
      </c>
      <c r="I59" s="50">
        <v>381118.22000000015</v>
      </c>
      <c r="J59" s="50">
        <v>889484.00000000012</v>
      </c>
      <c r="K59" s="46"/>
      <c r="L59" s="50">
        <v>0</v>
      </c>
      <c r="M59" s="50">
        <v>0</v>
      </c>
      <c r="N59" s="50">
        <v>0</v>
      </c>
      <c r="O59" s="50">
        <v>0</v>
      </c>
      <c r="P59" s="46"/>
      <c r="Q59" s="50">
        <v>0</v>
      </c>
      <c r="R59" s="50">
        <v>0</v>
      </c>
      <c r="S59" s="50">
        <v>0</v>
      </c>
      <c r="T59" s="50"/>
      <c r="U59" s="46"/>
      <c r="V59" s="50">
        <v>109722.47999999992</v>
      </c>
      <c r="W59" s="50">
        <v>170697.00000000012</v>
      </c>
      <c r="X59" s="50">
        <v>60974.520000000193</v>
      </c>
      <c r="Y59" s="50">
        <v>170697.00000000012</v>
      </c>
      <c r="Z59" s="46"/>
      <c r="AA59" s="47">
        <v>618088.25999999989</v>
      </c>
      <c r="AB59" s="47">
        <v>1060181.0000000002</v>
      </c>
      <c r="AC59" s="48">
        <v>442092.74000000034</v>
      </c>
      <c r="AD59" s="47">
        <v>1060181.0000000002</v>
      </c>
    </row>
    <row r="60" spans="3:30" s="22" customFormat="1">
      <c r="C60" s="22" t="s">
        <v>129</v>
      </c>
      <c r="D60" s="43" t="s">
        <v>130</v>
      </c>
      <c r="E60" s="44" t="s">
        <v>131</v>
      </c>
      <c r="F60" s="45"/>
      <c r="G60" s="50">
        <v>1781.76</v>
      </c>
      <c r="H60" s="50">
        <v>0</v>
      </c>
      <c r="I60" s="50">
        <v>-1781.76</v>
      </c>
      <c r="J60" s="50">
        <v>0</v>
      </c>
      <c r="K60" s="46"/>
      <c r="L60" s="50">
        <v>0</v>
      </c>
      <c r="M60" s="50">
        <v>0</v>
      </c>
      <c r="N60" s="50">
        <v>0</v>
      </c>
      <c r="O60" s="50">
        <v>0</v>
      </c>
      <c r="P60" s="46"/>
      <c r="Q60" s="50">
        <v>0</v>
      </c>
      <c r="R60" s="50">
        <v>0</v>
      </c>
      <c r="S60" s="50">
        <v>0</v>
      </c>
      <c r="T60" s="50">
        <v>0</v>
      </c>
      <c r="U60" s="46"/>
      <c r="V60" s="50">
        <v>288.24</v>
      </c>
      <c r="W60" s="50">
        <v>0</v>
      </c>
      <c r="X60" s="50">
        <v>-288.24</v>
      </c>
      <c r="Y60" s="50">
        <v>0</v>
      </c>
      <c r="Z60" s="46"/>
      <c r="AA60" s="47">
        <v>2070</v>
      </c>
      <c r="AB60" s="47">
        <v>0</v>
      </c>
      <c r="AC60" s="48">
        <v>-2070</v>
      </c>
      <c r="AD60" s="47">
        <v>0</v>
      </c>
    </row>
    <row r="61" spans="3:30" s="22" customFormat="1">
      <c r="D61" s="43"/>
      <c r="E61" s="44"/>
      <c r="F61" s="45"/>
      <c r="G61" s="50"/>
      <c r="H61" s="50"/>
      <c r="I61" s="50"/>
      <c r="J61" s="50"/>
      <c r="K61" s="46"/>
      <c r="L61" s="50"/>
      <c r="M61" s="50"/>
      <c r="N61" s="50"/>
      <c r="O61" s="50"/>
      <c r="P61" s="46"/>
      <c r="Q61" s="50"/>
      <c r="R61" s="50"/>
      <c r="S61" s="50"/>
      <c r="T61" s="50"/>
      <c r="U61" s="46"/>
      <c r="V61" s="50"/>
      <c r="W61" s="50"/>
      <c r="X61" s="50"/>
      <c r="Y61" s="50"/>
      <c r="Z61" s="46"/>
      <c r="AA61" s="47"/>
      <c r="AB61" s="47"/>
      <c r="AC61" s="48"/>
      <c r="AD61" s="47"/>
    </row>
    <row r="62" spans="3:30" s="22" customFormat="1">
      <c r="C62" s="22" t="s">
        <v>190</v>
      </c>
      <c r="D62" s="43" t="s">
        <v>132</v>
      </c>
      <c r="E62" s="44" t="s">
        <v>133</v>
      </c>
      <c r="F62" s="45"/>
      <c r="G62" s="50">
        <v>471097.47000000009</v>
      </c>
      <c r="H62" s="50">
        <v>580325</v>
      </c>
      <c r="I62" s="50">
        <v>109227.52999999991</v>
      </c>
      <c r="J62" s="50">
        <v>580325</v>
      </c>
      <c r="K62" s="46"/>
      <c r="L62" s="50">
        <v>0</v>
      </c>
      <c r="M62" s="50">
        <v>0</v>
      </c>
      <c r="N62" s="50">
        <v>0</v>
      </c>
      <c r="O62" s="50">
        <v>0</v>
      </c>
      <c r="P62" s="46"/>
      <c r="Q62" s="50">
        <v>30789.190000000002</v>
      </c>
      <c r="R62" s="50">
        <v>0</v>
      </c>
      <c r="S62" s="50">
        <v>-30789.190000000002</v>
      </c>
      <c r="T62" s="50"/>
      <c r="U62" s="46"/>
      <c r="V62" s="50">
        <v>99839.519999999844</v>
      </c>
      <c r="W62" s="50">
        <v>111368</v>
      </c>
      <c r="X62" s="50">
        <v>11528.480000000156</v>
      </c>
      <c r="Y62" s="50">
        <v>111368</v>
      </c>
      <c r="Z62" s="46"/>
      <c r="AA62" s="47">
        <v>601726.17999999993</v>
      </c>
      <c r="AB62" s="47">
        <v>691693</v>
      </c>
      <c r="AC62" s="48">
        <v>89966.820000000065</v>
      </c>
      <c r="AD62" s="47">
        <v>691693</v>
      </c>
    </row>
    <row r="63" spans="3:30" s="22" customFormat="1">
      <c r="C63" s="22" t="s">
        <v>191</v>
      </c>
      <c r="D63" s="43" t="s">
        <v>134</v>
      </c>
      <c r="E63" s="44" t="s">
        <v>135</v>
      </c>
      <c r="F63" s="45"/>
      <c r="G63" s="50">
        <v>544223.84000000008</v>
      </c>
      <c r="H63" s="50">
        <v>850963</v>
      </c>
      <c r="I63" s="50">
        <v>306739.15999999992</v>
      </c>
      <c r="J63" s="50">
        <v>850963</v>
      </c>
      <c r="K63" s="46"/>
      <c r="L63" s="50">
        <v>0</v>
      </c>
      <c r="M63" s="50">
        <v>0</v>
      </c>
      <c r="N63" s="50">
        <v>0</v>
      </c>
      <c r="O63" s="50">
        <v>0</v>
      </c>
      <c r="P63" s="46"/>
      <c r="Q63" s="50">
        <v>0</v>
      </c>
      <c r="R63" s="50">
        <v>0</v>
      </c>
      <c r="S63" s="50">
        <v>0</v>
      </c>
      <c r="T63" s="50"/>
      <c r="U63" s="46"/>
      <c r="V63" s="50">
        <v>113815.26000000001</v>
      </c>
      <c r="W63" s="50">
        <v>163305</v>
      </c>
      <c r="X63" s="50">
        <v>49489.739999999991</v>
      </c>
      <c r="Y63" s="50">
        <v>163305</v>
      </c>
      <c r="Z63" s="46"/>
      <c r="AA63" s="47">
        <v>658039.10000000009</v>
      </c>
      <c r="AB63" s="47">
        <v>1014268</v>
      </c>
      <c r="AC63" s="48">
        <v>356228.89999999991</v>
      </c>
      <c r="AD63" s="47">
        <v>1014268</v>
      </c>
    </row>
    <row r="64" spans="3:30" s="22" customFormat="1">
      <c r="C64" s="22" t="s">
        <v>192</v>
      </c>
      <c r="D64" s="43" t="s">
        <v>136</v>
      </c>
      <c r="E64" s="44" t="s">
        <v>137</v>
      </c>
      <c r="F64" s="45"/>
      <c r="G64" s="50">
        <v>520846.69000000012</v>
      </c>
      <c r="H64" s="50">
        <v>446925</v>
      </c>
      <c r="I64" s="50">
        <v>-73921.690000000119</v>
      </c>
      <c r="J64" s="50">
        <v>446925</v>
      </c>
      <c r="K64" s="46"/>
      <c r="L64" s="50">
        <v>0</v>
      </c>
      <c r="M64" s="50">
        <v>0</v>
      </c>
      <c r="N64" s="50">
        <v>0</v>
      </c>
      <c r="O64" s="50">
        <v>0</v>
      </c>
      <c r="P64" s="46"/>
      <c r="Q64" s="50">
        <v>79985.889999999985</v>
      </c>
      <c r="R64" s="50">
        <v>0</v>
      </c>
      <c r="S64" s="50">
        <v>-79985.889999999985</v>
      </c>
      <c r="T64" s="50"/>
      <c r="U64" s="46"/>
      <c r="V64" s="50">
        <v>113749.57000000004</v>
      </c>
      <c r="W64" s="50">
        <v>85767.999999999884</v>
      </c>
      <c r="X64" s="50">
        <v>-27981.570000000153</v>
      </c>
      <c r="Y64" s="50">
        <v>85767.999999999884</v>
      </c>
      <c r="Z64" s="46"/>
      <c r="AA64" s="47">
        <v>714582.15000000014</v>
      </c>
      <c r="AB64" s="47">
        <v>532692.99999999988</v>
      </c>
      <c r="AC64" s="48">
        <v>-181889.15000000026</v>
      </c>
      <c r="AD64" s="47">
        <v>532692.99999999988</v>
      </c>
    </row>
    <row r="65" spans="2:30" s="22" customFormat="1">
      <c r="C65" s="22" t="s">
        <v>193</v>
      </c>
      <c r="D65" s="43" t="s">
        <v>139</v>
      </c>
      <c r="E65" s="44" t="s">
        <v>140</v>
      </c>
      <c r="F65" s="45"/>
      <c r="G65" s="50">
        <v>726732.59000000008</v>
      </c>
      <c r="H65" s="50">
        <v>545112</v>
      </c>
      <c r="I65" s="50">
        <v>-181620.59000000008</v>
      </c>
      <c r="J65" s="50">
        <v>545112</v>
      </c>
      <c r="K65" s="46"/>
      <c r="L65" s="50">
        <v>0</v>
      </c>
      <c r="M65" s="50">
        <v>0</v>
      </c>
      <c r="N65" s="50">
        <v>0</v>
      </c>
      <c r="O65" s="50">
        <v>0</v>
      </c>
      <c r="P65" s="46"/>
      <c r="Q65" s="50">
        <v>0</v>
      </c>
      <c r="R65" s="50">
        <v>0</v>
      </c>
      <c r="S65" s="50">
        <v>0</v>
      </c>
      <c r="T65" s="50">
        <v>0</v>
      </c>
      <c r="U65" s="46"/>
      <c r="V65" s="50">
        <v>151863.10999999999</v>
      </c>
      <c r="W65" s="50">
        <v>104610.99999999988</v>
      </c>
      <c r="X65" s="50">
        <v>-47252.110000000102</v>
      </c>
      <c r="Y65" s="50">
        <v>104610.99999999988</v>
      </c>
      <c r="Z65" s="46"/>
      <c r="AA65" s="47">
        <v>878595.70000000007</v>
      </c>
      <c r="AB65" s="47">
        <v>649722.99999999988</v>
      </c>
      <c r="AC65" s="48">
        <v>-228872.70000000019</v>
      </c>
      <c r="AD65" s="47">
        <v>649722.99999999988</v>
      </c>
    </row>
    <row r="66" spans="2:30" s="22" customFormat="1">
      <c r="D66" s="43"/>
      <c r="E66" s="44"/>
      <c r="F66" s="45"/>
      <c r="G66" s="50"/>
      <c r="H66" s="50"/>
      <c r="I66" s="50"/>
      <c r="J66" s="50"/>
      <c r="K66" s="46"/>
      <c r="L66" s="50"/>
      <c r="M66" s="50"/>
      <c r="N66" s="50"/>
      <c r="O66" s="50"/>
      <c r="P66" s="46"/>
      <c r="Q66" s="50"/>
      <c r="R66" s="50"/>
      <c r="S66" s="50"/>
      <c r="T66" s="50"/>
      <c r="U66" s="46"/>
      <c r="V66" s="50"/>
      <c r="W66" s="50"/>
      <c r="X66" s="50"/>
      <c r="Y66" s="50"/>
      <c r="Z66" s="46"/>
      <c r="AA66" s="47"/>
      <c r="AB66" s="47"/>
      <c r="AC66" s="48"/>
      <c r="AD66" s="47"/>
    </row>
    <row r="67" spans="2:30" s="22" customFormat="1">
      <c r="C67" s="22" t="s">
        <v>194</v>
      </c>
      <c r="D67" s="43" t="s">
        <v>195</v>
      </c>
      <c r="E67" s="44" t="s">
        <v>196</v>
      </c>
      <c r="F67" s="45"/>
      <c r="G67" s="50">
        <v>0</v>
      </c>
      <c r="H67" s="50">
        <v>55762.47</v>
      </c>
      <c r="I67" s="50">
        <v>55762.47</v>
      </c>
      <c r="J67" s="50">
        <v>55762.47</v>
      </c>
      <c r="K67" s="46"/>
      <c r="L67" s="50">
        <v>0</v>
      </c>
      <c r="M67" s="50">
        <v>0</v>
      </c>
      <c r="N67" s="50">
        <v>0</v>
      </c>
      <c r="O67" s="50">
        <v>0</v>
      </c>
      <c r="P67" s="46"/>
      <c r="Q67" s="50">
        <v>0</v>
      </c>
      <c r="R67" s="50">
        <v>0</v>
      </c>
      <c r="S67" s="50">
        <v>0</v>
      </c>
      <c r="T67" s="50"/>
      <c r="U67" s="46"/>
      <c r="V67" s="50">
        <v>0</v>
      </c>
      <c r="W67" s="50">
        <v>46591.079999999987</v>
      </c>
      <c r="X67" s="50">
        <v>46591.079999999987</v>
      </c>
      <c r="Y67" s="50">
        <v>46591.079999999987</v>
      </c>
      <c r="Z67" s="46"/>
      <c r="AA67" s="47">
        <v>0</v>
      </c>
      <c r="AB67" s="47">
        <v>102353.54999999999</v>
      </c>
      <c r="AC67" s="48">
        <v>102353.54999999999</v>
      </c>
      <c r="AD67" s="47">
        <v>102353.54999999999</v>
      </c>
    </row>
    <row r="68" spans="2:30" s="22" customFormat="1">
      <c r="C68" s="22" t="s">
        <v>197</v>
      </c>
      <c r="D68" s="43" t="s">
        <v>198</v>
      </c>
      <c r="E68" s="44" t="s">
        <v>199</v>
      </c>
      <c r="F68" s="45"/>
      <c r="G68" s="50">
        <v>1059.96</v>
      </c>
      <c r="H68" s="50">
        <v>146665.31</v>
      </c>
      <c r="I68" s="50">
        <v>145605.35</v>
      </c>
      <c r="J68" s="50">
        <v>146665.31</v>
      </c>
      <c r="K68" s="46"/>
      <c r="L68" s="50">
        <v>0</v>
      </c>
      <c r="M68" s="50">
        <v>0</v>
      </c>
      <c r="N68" s="50">
        <v>0</v>
      </c>
      <c r="O68" s="50">
        <v>0</v>
      </c>
      <c r="P68" s="46"/>
      <c r="Q68" s="50">
        <v>0</v>
      </c>
      <c r="R68" s="50">
        <v>0</v>
      </c>
      <c r="S68" s="50">
        <v>0</v>
      </c>
      <c r="T68" s="50"/>
      <c r="U68" s="46"/>
      <c r="V68" s="50">
        <v>231.86999999999989</v>
      </c>
      <c r="W68" s="50">
        <v>122543.22999999998</v>
      </c>
      <c r="X68" s="50">
        <v>122311.35999999999</v>
      </c>
      <c r="Y68" s="50">
        <v>122543.22999999998</v>
      </c>
      <c r="Z68" s="46"/>
      <c r="AA68" s="47">
        <v>1291.83</v>
      </c>
      <c r="AB68" s="47">
        <v>269208.53999999998</v>
      </c>
      <c r="AC68" s="48">
        <v>267916.70999999996</v>
      </c>
      <c r="AD68" s="47">
        <v>269208.53999999998</v>
      </c>
    </row>
    <row r="69" spans="2:30" s="22" customFormat="1">
      <c r="C69" s="22" t="s">
        <v>200</v>
      </c>
      <c r="D69" s="43" t="s">
        <v>201</v>
      </c>
      <c r="E69" s="44" t="s">
        <v>202</v>
      </c>
      <c r="F69" s="45"/>
      <c r="G69" s="50">
        <v>2707.76</v>
      </c>
      <c r="H69" s="50">
        <v>160552.43</v>
      </c>
      <c r="I69" s="50">
        <v>157844.66999999998</v>
      </c>
      <c r="J69" s="50">
        <v>160552.43</v>
      </c>
      <c r="K69" s="46"/>
      <c r="L69" s="50">
        <v>0</v>
      </c>
      <c r="M69" s="50">
        <v>0</v>
      </c>
      <c r="N69" s="50">
        <v>0</v>
      </c>
      <c r="O69" s="50">
        <v>0</v>
      </c>
      <c r="P69" s="46"/>
      <c r="Q69" s="50">
        <v>133</v>
      </c>
      <c r="R69" s="50">
        <v>0</v>
      </c>
      <c r="S69" s="50">
        <v>-133</v>
      </c>
      <c r="T69" s="50"/>
      <c r="U69" s="46"/>
      <c r="V69" s="50">
        <v>619.00999999999931</v>
      </c>
      <c r="W69" s="50">
        <v>134146.34000000003</v>
      </c>
      <c r="X69" s="50">
        <v>133527.33000000002</v>
      </c>
      <c r="Y69" s="50">
        <v>134146.34000000003</v>
      </c>
      <c r="Z69" s="46"/>
      <c r="AA69" s="47">
        <v>3459.7699999999995</v>
      </c>
      <c r="AB69" s="47">
        <v>294698.77</v>
      </c>
      <c r="AC69" s="48">
        <v>291239</v>
      </c>
      <c r="AD69" s="47">
        <v>294698.77</v>
      </c>
    </row>
    <row r="70" spans="2:30" s="22" customFormat="1">
      <c r="C70" s="22" t="s">
        <v>203</v>
      </c>
      <c r="D70" s="43" t="s">
        <v>204</v>
      </c>
      <c r="E70" s="44" t="s">
        <v>205</v>
      </c>
      <c r="F70" s="45"/>
      <c r="G70" s="50">
        <v>264.39999999999998</v>
      </c>
      <c r="H70" s="50">
        <v>334993.96000000002</v>
      </c>
      <c r="I70" s="50">
        <v>334729.56</v>
      </c>
      <c r="J70" s="50">
        <v>334993.96000000002</v>
      </c>
      <c r="K70" s="46"/>
      <c r="L70" s="50">
        <v>0</v>
      </c>
      <c r="M70" s="50">
        <v>0</v>
      </c>
      <c r="N70" s="50">
        <v>0</v>
      </c>
      <c r="O70" s="50">
        <v>0</v>
      </c>
      <c r="P70" s="46"/>
      <c r="Q70" s="50">
        <v>0</v>
      </c>
      <c r="R70" s="50">
        <v>0</v>
      </c>
      <c r="S70" s="50">
        <v>0</v>
      </c>
      <c r="T70" s="50">
        <v>0</v>
      </c>
      <c r="U70" s="46"/>
      <c r="V70" s="50">
        <v>46.640000000000043</v>
      </c>
      <c r="W70" s="50">
        <v>279896.78000000009</v>
      </c>
      <c r="X70" s="50">
        <v>279850.14000000007</v>
      </c>
      <c r="Y70" s="50">
        <v>279896.78000000009</v>
      </c>
      <c r="Z70" s="46"/>
      <c r="AA70" s="47">
        <v>311.04000000000002</v>
      </c>
      <c r="AB70" s="47">
        <v>614890.74000000011</v>
      </c>
      <c r="AC70" s="48">
        <v>614579.70000000007</v>
      </c>
      <c r="AD70" s="47">
        <v>614890.74000000011</v>
      </c>
    </row>
    <row r="71" spans="2:30" s="22" customFormat="1">
      <c r="D71" s="43"/>
      <c r="E71" s="44"/>
      <c r="F71" s="45"/>
      <c r="G71" s="50"/>
      <c r="H71" s="50"/>
      <c r="I71" s="50"/>
      <c r="J71" s="50"/>
      <c r="K71" s="46"/>
      <c r="L71" s="50"/>
      <c r="M71" s="50"/>
      <c r="N71" s="50"/>
      <c r="O71" s="50"/>
      <c r="P71" s="46"/>
      <c r="Q71" s="50"/>
      <c r="R71" s="50"/>
      <c r="S71" s="50"/>
      <c r="T71" s="50"/>
      <c r="U71" s="46"/>
      <c r="V71" s="50"/>
      <c r="W71" s="50"/>
      <c r="X71" s="50"/>
      <c r="Y71" s="50"/>
      <c r="Z71" s="46"/>
      <c r="AA71" s="47"/>
      <c r="AB71" s="47"/>
      <c r="AC71" s="48"/>
      <c r="AD71" s="47"/>
    </row>
    <row r="72" spans="2:30" s="29" customFormat="1">
      <c r="B72" s="22"/>
      <c r="C72" s="22"/>
      <c r="D72" s="53" t="s">
        <v>141</v>
      </c>
      <c r="E72" s="54"/>
      <c r="F72" s="55"/>
      <c r="G72" s="54">
        <v>7019828</v>
      </c>
      <c r="H72" s="54">
        <v>10215308</v>
      </c>
      <c r="I72" s="54">
        <v>3195480</v>
      </c>
      <c r="J72" s="54">
        <v>10215308</v>
      </c>
      <c r="K72" s="55"/>
      <c r="L72" s="54">
        <v>16985.059999999998</v>
      </c>
      <c r="M72" s="54">
        <v>0</v>
      </c>
      <c r="N72" s="54">
        <v>-16985.059999999998</v>
      </c>
      <c r="O72" s="54">
        <v>0</v>
      </c>
      <c r="P72" s="55"/>
      <c r="Q72" s="54">
        <v>7170106.4999999991</v>
      </c>
      <c r="R72" s="54">
        <v>6391778.4000000004</v>
      </c>
      <c r="S72" s="54">
        <v>-778328.1</v>
      </c>
      <c r="T72" s="54">
        <v>6391778.4000000004</v>
      </c>
      <c r="U72" s="55"/>
      <c r="V72" s="54">
        <v>1331693.0600000015</v>
      </c>
      <c r="W72" s="54">
        <v>1651763</v>
      </c>
      <c r="X72" s="54">
        <v>320069.93999999843</v>
      </c>
      <c r="Y72" s="54">
        <v>1651763</v>
      </c>
      <c r="Z72" s="55"/>
      <c r="AA72" s="54">
        <v>15543675.259999998</v>
      </c>
      <c r="AB72" s="54">
        <v>19540000.999999996</v>
      </c>
      <c r="AC72" s="54">
        <v>3996325.7399999988</v>
      </c>
      <c r="AD72" s="54">
        <v>19540000.999999996</v>
      </c>
    </row>
    <row r="75" spans="2:30" ht="8.25" customHeight="1"/>
    <row r="187" ht="15.75" customHeight="1"/>
    <row r="188" ht="9.75" customHeight="1"/>
    <row r="190" ht="14.25" hidden="1" customHeight="1" outlineLevel="1"/>
    <row r="191" ht="14.25" hidden="1" customHeight="1" outlineLevel="1"/>
    <row r="192" ht="14.25" hidden="1" customHeight="1" outlineLevel="1"/>
    <row r="193" ht="14.25" hidden="1" customHeight="1" outlineLevel="1"/>
    <row r="194" ht="14.25" hidden="1" customHeight="1" outlineLevel="1"/>
    <row r="195" ht="14.25" hidden="1" customHeight="1" outlineLevel="1"/>
    <row r="196" ht="14.25" hidden="1" customHeight="1" outlineLevel="1"/>
    <row r="197" ht="14.25" hidden="1" customHeight="1" outlineLevel="1"/>
    <row r="198" ht="14.25" hidden="1" customHeight="1" outlineLevel="1"/>
    <row r="199" ht="14.25" hidden="1" customHeight="1" outlineLevel="1"/>
    <row r="200" ht="14.25" hidden="1" customHeight="1" outlineLevel="1"/>
    <row r="201" ht="14.25" hidden="1" customHeight="1" outlineLevel="1"/>
    <row r="202" ht="14.25" hidden="1" customHeight="1" outlineLevel="1"/>
    <row r="203" ht="14.25" hidden="1" customHeight="1" outlineLevel="1"/>
    <row r="204" ht="14.25" hidden="1" customHeight="1" outlineLevel="1"/>
    <row r="205" ht="14.25" hidden="1" customHeight="1" outlineLevel="1"/>
    <row r="206" ht="14.25" hidden="1" customHeight="1" outlineLevel="1"/>
    <row r="207" ht="14.25" hidden="1" customHeight="1" outlineLevel="1"/>
    <row r="208" ht="14.25" hidden="1" customHeight="1" outlineLevel="1"/>
    <row r="209" ht="14.25" hidden="1" customHeight="1" outlineLevel="1"/>
    <row r="210" collapsed="1"/>
  </sheetData>
  <mergeCells count="13">
    <mergeCell ref="D20:E20"/>
    <mergeCell ref="D14:AD14"/>
    <mergeCell ref="D15:AD15"/>
    <mergeCell ref="G18:J18"/>
    <mergeCell ref="L18:O18"/>
    <mergeCell ref="Q18:T18"/>
    <mergeCell ref="V18:Y18"/>
    <mergeCell ref="AA18:AD18"/>
    <mergeCell ref="I19:I20"/>
    <mergeCell ref="N19:N20"/>
    <mergeCell ref="S19:S20"/>
    <mergeCell ref="X19:X20"/>
    <mergeCell ref="AC19:AC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Attachment 8.18 Cover page</vt:lpstr>
      <vt:lpstr>Summarised</vt:lpstr>
      <vt:lpstr>Hardware Configurations</vt:lpstr>
      <vt:lpstr>Meter Hardware Price</vt:lpstr>
      <vt:lpstr>NEW&amp;UPGRADE</vt:lpstr>
      <vt:lpstr>REPLACEMENT</vt:lpstr>
      <vt:lpstr>Total Meter Proportions</vt:lpstr>
      <vt:lpstr>2013-14 Capital Oct YTD</vt:lpstr>
      <vt:lpstr>2012-13 Capital</vt:lpstr>
      <vt:lpstr>Historical New &amp; Upgrade</vt:lpstr>
      <vt:lpstr>Projected Delta New NMI's</vt:lpstr>
      <vt:lpstr>Projected Proactive Replacement</vt:lpstr>
      <vt:lpstr>Historical Customer Numbers</vt:lpstr>
      <vt:lpstr>'Hardware Configurations'!Print_Area</vt:lpstr>
      <vt:lpstr>'Historical New &amp; Upgrade'!Print_Area</vt:lpstr>
      <vt:lpstr>'NEW&amp;UPGRADE'!Print_Area</vt:lpstr>
      <vt:lpstr>'Projected Proactive Replacement'!Print_Area</vt:lpstr>
      <vt:lpstr>REPLACEMENT!Print_Area</vt:lpstr>
      <vt:lpstr>Summarised!Print_Area</vt:lpstr>
    </vt:vector>
  </TitlesOfParts>
  <Company>Ausgrid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Paul Kobal</dc:creator>
  <cp:lastModifiedBy>t44450</cp:lastModifiedBy>
  <cp:lastPrinted>2014-02-17T05:58:19Z</cp:lastPrinted>
  <dcterms:created xsi:type="dcterms:W3CDTF">2013-11-18T06:37:42Z</dcterms:created>
  <dcterms:modified xsi:type="dcterms:W3CDTF">2014-05-29T16:25:20Z</dcterms:modified>
</cp:coreProperties>
</file>