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800 Final Proposal (Jan 23)/804 Reg Proposal attachments - working drafts/Chapter 4 - Proposed Revenue/"/>
    </mc:Choice>
  </mc:AlternateContent>
  <xr:revisionPtr revIDLastSave="15" documentId="13_ncr:1_{90B27FC0-86B8-4494-935A-AEA537379D15}" xr6:coauthVersionLast="47" xr6:coauthVersionMax="47" xr10:uidLastSave="{D50D224E-D284-45EB-882C-8194753D5E2F}"/>
  <bookViews>
    <workbookView xWindow="-2910" yWindow="-16320" windowWidth="29040" windowHeight="15840" tabRatio="691" xr2:uid="{00000000-000D-0000-FFFF-FFFF00000000}"/>
  </bookViews>
  <sheets>
    <sheet name="Cover sheet" sheetId="16" r:id="rId1"/>
    <sheet name="Index" sheetId="5" r:id="rId2"/>
    <sheet name="Input | General" sheetId="2" r:id="rId3"/>
    <sheet name="Input | Inflation and Disc Rate" sheetId="13" r:id="rId4"/>
    <sheet name="FY19 Capex" sheetId="14" r:id="rId5"/>
    <sheet name="Input | Reported Capex" sheetId="3" r:id="rId6"/>
    <sheet name="Calc | CESS Revenue Increments" sheetId="4" r:id="rId7"/>
    <sheet name="Output | Models" sheetId="10" r:id="rId8"/>
    <sheet name="Output|FY19 CESS adjustment" sheetId="15" r:id="rId9"/>
  </sheets>
  <externalReferences>
    <externalReference r:id="rId10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7">'[1]Lookup|Tables'!$G$14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4" l="1"/>
  <c r="L18" i="3"/>
  <c r="L19" i="3"/>
  <c r="L20" i="3"/>
  <c r="L21" i="3"/>
  <c r="F19" i="15"/>
  <c r="J10" i="15"/>
  <c r="I10" i="15"/>
  <c r="H10" i="15"/>
  <c r="G10" i="15"/>
  <c r="F10" i="15"/>
  <c r="N41" i="4"/>
  <c r="M41" i="4"/>
  <c r="L41" i="4"/>
  <c r="K41" i="4"/>
  <c r="J41" i="4"/>
  <c r="N40" i="4"/>
  <c r="M40" i="4"/>
  <c r="L40" i="4"/>
  <c r="K40" i="4"/>
  <c r="J40" i="4"/>
  <c r="K12" i="14"/>
  <c r="K10" i="14"/>
  <c r="H14" i="14"/>
  <c r="H13" i="2"/>
  <c r="G13" i="2"/>
  <c r="F13" i="2"/>
  <c r="E13" i="2"/>
  <c r="D13" i="2"/>
  <c r="D18" i="2"/>
  <c r="E18" i="2"/>
  <c r="F18" i="2"/>
  <c r="G18" i="2"/>
  <c r="H18" i="2"/>
  <c r="G7" i="13"/>
  <c r="F7" i="13"/>
  <c r="F30" i="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41" i="4"/>
  <c r="E41" i="4"/>
  <c r="F41" i="4"/>
  <c r="G41" i="4"/>
  <c r="H41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H23" i="3"/>
  <c r="H12" i="3"/>
  <c r="I16" i="3"/>
  <c r="I23" i="3"/>
  <c r="I12" i="3"/>
  <c r="L16" i="3"/>
  <c r="L12" i="3"/>
  <c r="K16" i="3"/>
  <c r="K23" i="3"/>
  <c r="K12" i="3"/>
  <c r="J16" i="3"/>
  <c r="J23" i="3"/>
  <c r="J12" i="3"/>
  <c r="L22" i="13"/>
  <c r="G22" i="13"/>
  <c r="H22" i="13"/>
  <c r="I22" i="13"/>
  <c r="J22" i="13"/>
  <c r="K22" i="13"/>
  <c r="H9" i="4"/>
  <c r="H8" i="4"/>
  <c r="G19" i="4"/>
  <c r="D25" i="4"/>
  <c r="D27" i="4"/>
  <c r="M14" i="13"/>
  <c r="M22" i="13"/>
  <c r="E9" i="4"/>
  <c r="M9" i="13"/>
  <c r="N9" i="13"/>
  <c r="O9" i="13"/>
  <c r="P9" i="13"/>
  <c r="C15" i="13"/>
  <c r="G15" i="13"/>
  <c r="H15" i="13"/>
  <c r="I15" i="13"/>
  <c r="J15" i="13"/>
  <c r="K15" i="13"/>
  <c r="C10" i="13"/>
  <c r="G8" i="4"/>
  <c r="F8" i="4"/>
  <c r="E8" i="4"/>
  <c r="F9" i="4"/>
  <c r="B1" i="2"/>
  <c r="B1" i="10"/>
  <c r="G9" i="4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C42" i="4"/>
  <c r="C44" i="4"/>
  <c r="G10" i="13"/>
  <c r="H10" i="13"/>
  <c r="I10" i="13"/>
  <c r="J10" i="13"/>
  <c r="K10" i="13"/>
  <c r="L10" i="13"/>
  <c r="I30" i="3"/>
  <c r="F10" i="4"/>
  <c r="E10" i="4"/>
  <c r="G11" i="4"/>
  <c r="F11" i="4"/>
  <c r="E11" i="4"/>
  <c r="F19" i="4"/>
  <c r="E19" i="4"/>
  <c r="E25" i="4"/>
  <c r="E27" i="4"/>
  <c r="G10" i="4"/>
  <c r="H10" i="4"/>
  <c r="N14" i="13"/>
  <c r="L15" i="13"/>
  <c r="M15" i="13"/>
  <c r="B1" i="5"/>
  <c r="B1" i="3"/>
  <c r="B1" i="13"/>
  <c r="B1" i="4"/>
  <c r="F13" i="4"/>
  <c r="G13" i="4"/>
  <c r="E13" i="4"/>
  <c r="H13" i="4"/>
  <c r="H30" i="3"/>
  <c r="H31" i="3"/>
  <c r="D26" i="4"/>
  <c r="D28" i="4"/>
  <c r="F12" i="4"/>
  <c r="F20" i="4"/>
  <c r="E12" i="4"/>
  <c r="G14" i="4"/>
  <c r="N22" i="13"/>
  <c r="F25" i="4"/>
  <c r="F27" i="4"/>
  <c r="G12" i="4"/>
  <c r="G20" i="4"/>
  <c r="N15" i="13"/>
  <c r="M10" i="13"/>
  <c r="N10" i="13"/>
  <c r="K30" i="3"/>
  <c r="O14" i="13"/>
  <c r="O22" i="13"/>
  <c r="I31" i="3"/>
  <c r="E26" i="4"/>
  <c r="E28" i="4"/>
  <c r="E18" i="4"/>
  <c r="G15" i="4"/>
  <c r="G18" i="4"/>
  <c r="H15" i="4"/>
  <c r="H16" i="4"/>
  <c r="H14" i="4"/>
  <c r="E20" i="4"/>
  <c r="F14" i="4"/>
  <c r="F18" i="4"/>
  <c r="J30" i="3"/>
  <c r="J31" i="3"/>
  <c r="F26" i="4"/>
  <c r="F28" i="4"/>
  <c r="O10" i="13"/>
  <c r="P10" i="13"/>
  <c r="P14" i="13"/>
  <c r="G25" i="4"/>
  <c r="G27" i="4"/>
  <c r="K31" i="3"/>
  <c r="G26" i="4"/>
  <c r="O15" i="13"/>
  <c r="F21" i="4"/>
  <c r="G21" i="4"/>
  <c r="E21" i="4"/>
  <c r="H18" i="4"/>
  <c r="P22" i="13"/>
  <c r="H25" i="4"/>
  <c r="H27" i="4"/>
  <c r="P15" i="13"/>
  <c r="L30" i="3"/>
  <c r="L31" i="3"/>
  <c r="H26" i="4"/>
  <c r="G28" i="4"/>
  <c r="H21" i="4"/>
  <c r="H28" i="4"/>
  <c r="D35" i="4"/>
  <c r="I14" i="14" l="1"/>
  <c r="K11" i="14"/>
  <c r="K14" i="14" s="1"/>
  <c r="L23" i="3"/>
  <c r="H11" i="4" s="1"/>
  <c r="H12" i="4" s="1"/>
  <c r="H20" i="4" s="1"/>
  <c r="D31" i="4" s="1"/>
  <c r="D34" i="4" l="1"/>
  <c r="D36" i="4" s="1"/>
  <c r="D42" i="4" s="1"/>
  <c r="D33" i="4"/>
  <c r="E42" i="4" l="1"/>
  <c r="F9" i="15"/>
  <c r="F12" i="15" s="1"/>
  <c r="J8" i="10"/>
  <c r="G9" i="15" l="1"/>
  <c r="G12" i="15" s="1"/>
  <c r="K8" i="10"/>
  <c r="F42" i="4"/>
  <c r="G42" i="4" l="1"/>
  <c r="H9" i="15"/>
  <c r="H12" i="15" s="1"/>
  <c r="L8" i="10"/>
  <c r="I9" i="15" l="1"/>
  <c r="I12" i="15" s="1"/>
  <c r="H42" i="4"/>
  <c r="M8" i="10"/>
  <c r="N8" i="10" l="1"/>
  <c r="O8" i="10" s="1"/>
  <c r="J9" i="15"/>
  <c r="J12" i="15" s="1"/>
  <c r="D44" i="4"/>
  <c r="J46" i="4" s="1"/>
  <c r="J7" i="15" l="1"/>
  <c r="I21" i="15" s="1"/>
  <c r="G7" i="15"/>
  <c r="H7" i="15"/>
  <c r="I7" i="15"/>
  <c r="F6" i="15" l="1"/>
  <c r="F7" i="15"/>
  <c r="H21" i="15"/>
  <c r="G21" i="15" s="1"/>
  <c r="F21" i="15" s="1"/>
  <c r="F23" i="15" s="1"/>
  <c r="G6" i="15" l="1"/>
  <c r="F13" i="15"/>
  <c r="H14" i="15" l="1"/>
  <c r="G14" i="15"/>
  <c r="G19" i="15" s="1"/>
  <c r="G23" i="15" s="1"/>
  <c r="F22" i="15"/>
  <c r="H6" i="15"/>
  <c r="G13" i="15"/>
  <c r="H15" i="15" l="1"/>
  <c r="H19" i="15" s="1"/>
  <c r="H23" i="15" s="1"/>
  <c r="I15" i="15"/>
  <c r="G22" i="15"/>
  <c r="H13" i="15"/>
  <c r="I6" i="15"/>
  <c r="J15" i="15" s="1"/>
  <c r="I14" i="15"/>
  <c r="J6" i="15" l="1"/>
  <c r="J13" i="15" s="1"/>
  <c r="J22" i="15" s="1"/>
  <c r="I13" i="15"/>
  <c r="J14" i="15"/>
  <c r="I16" i="15"/>
  <c r="I19" i="15" s="1"/>
  <c r="I23" i="15" s="1"/>
  <c r="J16" i="15"/>
  <c r="H22" i="15"/>
  <c r="J17" i="15" l="1"/>
  <c r="J19" i="15" s="1"/>
  <c r="J23" i="15" s="1"/>
  <c r="I22" i="15"/>
  <c r="J24" i="15" l="1"/>
  <c r="F28" i="15" l="1"/>
  <c r="G28" i="15" l="1"/>
  <c r="H28" i="15" l="1"/>
  <c r="I28" i="15" l="1"/>
  <c r="J28" i="15" l="1"/>
  <c r="G29" i="15" l="1"/>
  <c r="F29" i="15"/>
  <c r="J29" i="15"/>
  <c r="I29" i="15"/>
  <c r="H29" i="15"/>
  <c r="F31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5" authorId="0" shapeId="0" xr:uid="{23E8D8E0-614F-43D2-B5E0-52242F7EC1E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9" authorId="1" shapeId="0" xr:uid="{4AD4FDCB-6EF4-4911-9171-34086CC272F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  <author>Goyal, Riya</author>
  </authors>
  <commentList>
    <comment ref="C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J18" authorId="2" shapeId="0" xr:uid="{00000000-0006-0000-0300-000005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as per final decision RFM</t>
        </r>
      </text>
    </comment>
    <comment ref="K18" authorId="2" shapeId="0" xr:uid="{00000000-0006-0000-0300-00000600000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as per final decision RFM</t>
        </r>
      </text>
    </comment>
    <comment ref="C29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<sst xmlns="http://schemas.openxmlformats.org/spreadsheetml/2006/main" count="296" uniqueCount="150">
  <si>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</si>
  <si>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</si>
  <si>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</si>
  <si>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</si>
  <si>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</si>
  <si>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</si>
  <si>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</si>
  <si>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</si>
  <si>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</si>
  <si>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</si>
  <si>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</si>
  <si>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</si>
  <si>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</si>
  <si>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</si>
  <si>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</si>
  <si>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</si>
  <si>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</si>
  <si>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</si>
  <si>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</si>
  <si>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</si>
  <si>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</si>
  <si>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</si>
  <si>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</si>
  <si>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</si>
  <si>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</si>
  <si>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</si>
  <si>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</si>
  <si>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</si>
  <si>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</si>
  <si>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</si>
  <si>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</si>
  <si>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</si>
  <si>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</si>
  <si>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</si>
  <si>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</si>
  <si>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</si>
  <si>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</si>
  <si>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</si>
  <si>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</si>
  <si>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</si>
  <si>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</si>
  <si>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</si>
  <si>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</si>
  <si>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</si>
  <si>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</si>
  <si>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</si>
  <si>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</si>
  <si>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</si>
  <si>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</si>
  <si>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</si>
  <si>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</si>
  <si>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</si>
  <si>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</si>
  <si>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</si>
  <si>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</si>
  <si>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</si>
  <si>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</si>
  <si>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</si>
  <si>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</si>
  <si>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</si>
  <si>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</si>
  <si>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</si>
  <si>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</si>
  <si>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</si>
  <si>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</si>
  <si>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</si>
  <si>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</si>
  <si>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</si>
  <si>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</si>
  <si>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</si>
  <si>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</si>
  <si>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</si>
  <si>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</si>
  <si>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</si>
  <si>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</si>
  <si>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</si>
  <si>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</si>
  <si>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</si>
  <si>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</si>
  <si>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</si>
  <si>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</si>
  <si>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</si>
  <si>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</si>
  <si>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</si>
  <si>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</si>
  <si>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</si>
  <si>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</si>
  <si>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</si>
  <si>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</si>
  <si>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</si>
  <si>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</si>
  <si>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</si>
  <si>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</si>
  <si>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</si>
  <si>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</si>
  <si>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</si>
  <si>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</si>
  <si>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</si>
  <si>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</si>
  <si>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</si>
  <si>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</si>
  <si>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</si>
  <si>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</si>
  <si>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Final Decision</t>
  </si>
  <si>
    <t>2019-24</t>
  </si>
  <si>
    <t>2019-20</t>
  </si>
  <si>
    <t>No</t>
  </si>
  <si>
    <t>AER Final Decision</t>
  </si>
  <si>
    <t>Ausgrid TX</t>
  </si>
  <si>
    <t>N/A</t>
  </si>
  <si>
    <t>2018–19</t>
  </si>
  <si>
    <t>Actual AGD</t>
  </si>
  <si>
    <t>Final Year Difference</t>
  </si>
  <si>
    <t>Column H is from the AER Final Decisision model Ausgrid 2019-24 - Tx CESS model, which was based on forecast FY19 Capex</t>
  </si>
  <si>
    <t>Data sources:</t>
  </si>
  <si>
    <t>Select which capex data to test in</t>
  </si>
  <si>
    <t>Input|Reported Capex tab, Cell L17</t>
  </si>
  <si>
    <t xml:space="preserve">Based on Ausgrid's FY19 Actual Capex </t>
  </si>
  <si>
    <t>Transmission</t>
  </si>
  <si>
    <t>2020–21</t>
  </si>
  <si>
    <t>2021–22</t>
  </si>
  <si>
    <t>2022–23</t>
  </si>
  <si>
    <t>2023–24</t>
  </si>
  <si>
    <t>2024-25</t>
  </si>
  <si>
    <t>2025–26</t>
  </si>
  <si>
    <t>2026–27</t>
  </si>
  <si>
    <t>2027–28</t>
  </si>
  <si>
    <t>2028–29</t>
  </si>
  <si>
    <t>Real vanilla WACC</t>
  </si>
  <si>
    <t>Forecast real vanilla WACC</t>
  </si>
  <si>
    <t>Ausgrid</t>
  </si>
  <si>
    <t xml:space="preserve">Actual CPI </t>
  </si>
  <si>
    <t xml:space="preserve">Cumulative Actual CPI </t>
  </si>
  <si>
    <t>Nominal vanilla WACC (fixed real time varying)</t>
  </si>
  <si>
    <t>AER Final Decision (FY19 Forecast Capex)</t>
  </si>
  <si>
    <t>Difference in CESS increment amounts</t>
  </si>
  <si>
    <t>Benefit A</t>
  </si>
  <si>
    <t>Benefit B</t>
  </si>
  <si>
    <t>NPV Difference in CESS increment amounts</t>
  </si>
  <si>
    <t>NPV of CESS payment adjustments</t>
  </si>
  <si>
    <t>CESS Payment Per Year ($2023–24 million)</t>
  </si>
  <si>
    <t>Total CESS Payment ($2023–24 million)</t>
  </si>
  <si>
    <t>Difference</t>
  </si>
  <si>
    <t>Adjusted for FY19 Actual Capex</t>
  </si>
  <si>
    <t>AER FD PTRM 2019-24,2022-23 RoD Update</t>
  </si>
  <si>
    <t>Column I is Actual FY19 capex, rolled into Ausgrid's initial proposal RFM model for the 24-29 Reg reset</t>
  </si>
  <si>
    <t>AER FD</t>
  </si>
  <si>
    <t>Calc | Total FY19 CESS Payment Adjustments</t>
  </si>
  <si>
    <t>Ausgrid’s 2024-29 Regulatory Proposal</t>
  </si>
  <si>
    <t>Attachment 4.1.i: FY19 CESS adjustment calculation for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</si>
</sst>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  <numFmt numFmtId="192" formatCode="_-* #,##0.000_-;\-* #,##0.000_-;_-* &quot;-&quot;??_-;_-@_-"/>
    <numFmt numFmtId="193" formatCode="[$-C09]d\ mmmm\ yyyy;@"/>
  </numFmts>
  <fonts count="110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0"/>
      <color rgb="FF002060"/>
      <name val="Arial"/>
      <family val="2"/>
    </font>
    <font>
      <sz val="14"/>
      <color rgb="FF0070C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5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1" fillId="56" borderId="0" xfId="265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10" fontId="17" fillId="0" borderId="34" xfId="268" applyNumberFormat="1" applyFont="1" applyFill="1" applyBorder="1" applyAlignment="1" applyProtection="1">
      <alignment horizontal="right" vertical="center"/>
    </xf>
    <xf numFmtId="10" fontId="17" fillId="0" borderId="2" xfId="268" applyNumberFormat="1" applyFont="1" applyFill="1" applyBorder="1" applyAlignment="1" applyProtection="1">
      <alignment horizontal="right" vertical="center"/>
    </xf>
    <xf numFmtId="2" fontId="17" fillId="0" borderId="43" xfId="265" applyNumberFormat="1" applyFont="1" applyFill="1" applyBorder="1" applyAlignment="1" applyProtection="1">
      <alignment horizontal="right" vertical="center"/>
    </xf>
    <xf numFmtId="2" fontId="17" fillId="0" borderId="5" xfId="265" applyNumberFormat="1" applyFont="1" applyFill="1" applyBorder="1" applyAlignment="1" applyProtection="1">
      <alignment horizontal="right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0" fillId="57" borderId="0" xfId="0" applyFill="1" applyAlignment="1">
      <alignment vertical="center"/>
    </xf>
    <xf numFmtId="2" fontId="24" fillId="58" borderId="24" xfId="1" applyNumberFormat="1" applyFont="1" applyFill="1" applyBorder="1" applyAlignment="1">
      <alignment horizontal="center" vertical="center"/>
    </xf>
    <xf numFmtId="0" fontId="15" fillId="57" borderId="0" xfId="0" applyFont="1" applyFill="1" applyAlignment="1">
      <alignment horizontal="left" vertical="center"/>
    </xf>
    <xf numFmtId="0" fontId="10" fillId="57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right" vertical="center"/>
    </xf>
    <xf numFmtId="43" fontId="24" fillId="0" borderId="34" xfId="304" applyFont="1" applyFill="1" applyBorder="1" applyAlignment="1">
      <alignment horizontal="right" vertical="center"/>
    </xf>
    <xf numFmtId="164" fontId="24" fillId="0" borderId="34" xfId="0" applyNumberFormat="1" applyFont="1" applyBorder="1" applyAlignment="1">
      <alignment horizontal="right" vertical="center"/>
    </xf>
    <xf numFmtId="164" fontId="24" fillId="0" borderId="2" xfId="0" applyNumberFormat="1" applyFont="1" applyBorder="1" applyAlignment="1">
      <alignment horizontal="right" vertical="center"/>
    </xf>
    <xf numFmtId="164" fontId="24" fillId="0" borderId="37" xfId="0" applyNumberFormat="1" applyFont="1" applyBorder="1" applyAlignment="1">
      <alignment horizontal="right" vertical="center"/>
    </xf>
    <xf numFmtId="0" fontId="107" fillId="0" borderId="0" xfId="0" applyFont="1"/>
    <xf numFmtId="0" fontId="0" fillId="0" borderId="0" xfId="0" applyAlignment="1">
      <alignment horizontal="right"/>
    </xf>
    <xf numFmtId="10" fontId="0" fillId="0" borderId="0" xfId="268" applyNumberFormat="1" applyFont="1"/>
    <xf numFmtId="10" fontId="0" fillId="0" borderId="0" xfId="0" applyNumberFormat="1"/>
    <xf numFmtId="189" fontId="0" fillId="0" borderId="0" xfId="0" applyNumberFormat="1"/>
    <xf numFmtId="192" fontId="0" fillId="0" borderId="0" xfId="304" applyNumberFormat="1" applyFont="1"/>
    <xf numFmtId="43" fontId="0" fillId="0" borderId="0" xfId="304" applyFont="1"/>
    <xf numFmtId="187" fontId="0" fillId="0" borderId="0" xfId="304" applyNumberFormat="1" applyFont="1"/>
    <xf numFmtId="43" fontId="0" fillId="0" borderId="0" xfId="0" applyNumberFormat="1"/>
    <xf numFmtId="8" fontId="0" fillId="0" borderId="0" xfId="0" applyNumberFormat="1"/>
    <xf numFmtId="0" fontId="107" fillId="0" borderId="0" xfId="0" applyFont="1" applyAlignment="1">
      <alignment horizontal="right"/>
    </xf>
    <xf numFmtId="43" fontId="107" fillId="0" borderId="0" xfId="304" applyFont="1"/>
    <xf numFmtId="164" fontId="15" fillId="3" borderId="6" xfId="0" applyNumberFormat="1" applyFont="1" applyFill="1" applyBorder="1" applyAlignment="1">
      <alignment horizontal="right" vertical="center" wrapText="1"/>
    </xf>
    <xf numFmtId="43" fontId="107" fillId="0" borderId="0" xfId="304" applyNumberFormat="1" applyFont="1"/>
    <xf numFmtId="0" fontId="88" fillId="3" borderId="23" xfId="3" applyNumberFormat="1" applyFont="1" applyFill="1" applyBorder="1" applyAlignment="1" applyProtection="1">
      <alignment horizontal="center"/>
    </xf>
    <xf numFmtId="193" fontId="92" fillId="0" borderId="0" xfId="0" applyNumberFormat="1" applyFont="1" applyAlignment="1">
      <alignment horizontal="left" vertical="center"/>
    </xf>
    <xf numFmtId="0" fontId="108" fillId="0" borderId="0" xfId="0" applyFont="1" applyAlignment="1">
      <alignment horizontal="left" vertical="top" wrapText="1"/>
    </xf>
    <xf numFmtId="0" fontId="109" fillId="0" borderId="0" xfId="0" applyFont="1"/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1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8DB4E2"/>
      <color rgb="FFCCCCFF"/>
      <color rgb="FFFFCCFF"/>
      <color rgb="FFFFFF99"/>
      <color rgb="FFDAEEF3"/>
      <color rgb="FFFF00FF"/>
      <color rgb="FF0000FF"/>
      <color rgb="FF006100"/>
      <color rgb="FFC6EFCE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359409</xdr:colOff>
      <xdr:row>25</xdr:row>
      <xdr:rowOff>171787</xdr:rowOff>
    </xdr:to>
    <xdr:pic>
      <xdr:nvPicPr>
        <xdr:cNvPr id="2" name="Picture 1" descr="Two people in safety vests looking at a tablet&#10;&#10;Description automatically generated with medium confidence">
          <a:extLst>
            <a:ext uri="{FF2B5EF4-FFF2-40B4-BE49-F238E27FC236}">
              <a16:creationId xmlns:a16="http://schemas.microsoft.com/office/drawing/2014/main" id="{5CC8FD8A-1EB9-4E57-BB61-4A9018449A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r="17106"/>
        <a:stretch/>
      </xdr:blipFill>
      <xdr:spPr bwMode="auto">
        <a:xfrm>
          <a:off x="0" y="0"/>
          <a:ext cx="4929504" cy="46885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38</xdr:row>
      <xdr:rowOff>125189</xdr:rowOff>
    </xdr:from>
    <xdr:to>
      <xdr:col>8</xdr:col>
      <xdr:colOff>381635</xdr:colOff>
      <xdr:row>39</xdr:row>
      <xdr:rowOff>15875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1C0BACDA-AD9A-4232-BF81-94C05BDA6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7112729"/>
          <a:ext cx="4932680" cy="64041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26035</xdr:rowOff>
    </xdr:from>
    <xdr:to>
      <xdr:col>8</xdr:col>
      <xdr:colOff>199390</xdr:colOff>
      <xdr:row>37</xdr:row>
      <xdr:rowOff>173355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6898F05-2345-4BA7-A609-F6207FC671BA}"/>
            </a:ext>
          </a:extLst>
        </xdr:cNvPr>
        <xdr:cNvGrpSpPr>
          <a:grpSpLocks/>
        </xdr:cNvGrpSpPr>
      </xdr:nvGrpSpPr>
      <xdr:grpSpPr bwMode="auto">
        <a:xfrm>
          <a:off x="3574415" y="6670675"/>
          <a:ext cx="1189355" cy="328295"/>
          <a:chOff x="8854" y="75"/>
          <a:chExt cx="1867" cy="513"/>
        </a:xfrm>
      </xdr:grpSpPr>
      <xdr:sp macro="" textlink="">
        <xdr:nvSpPr>
          <xdr:cNvPr id="5" name="AutoShape 22">
            <a:extLst>
              <a:ext uri="{FF2B5EF4-FFF2-40B4-BE49-F238E27FC236}">
                <a16:creationId xmlns:a16="http://schemas.microsoft.com/office/drawing/2014/main" id="{D59893F2-D51A-8E37-85EA-DF54E2209BD3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B6FE8A2-CD61-E466-1179-B40BA5522C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094A1A9-E2B0-4115-A3FE-FBBF827210FC}"/>
            </a:ext>
          </a:extLst>
        </xdr:cNvPr>
        <xdr:cNvSpPr txBox="1"/>
      </xdr:nvSpPr>
      <xdr:spPr>
        <a:xfrm>
          <a:off x="215900" y="6640831"/>
          <a:ext cx="2249805" cy="381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32</xdr:row>
      <xdr:rowOff>151898</xdr:rowOff>
    </xdr:from>
    <xdr:to>
      <xdr:col>2</xdr:col>
      <xdr:colOff>281987</xdr:colOff>
      <xdr:row>33</xdr:row>
      <xdr:rowOff>26668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F69929E-EF0A-41D2-8598-374FBAFD95D1}"/>
            </a:ext>
          </a:extLst>
        </xdr:cNvPr>
        <xdr:cNvSpPr/>
      </xdr:nvSpPr>
      <xdr:spPr>
        <a:xfrm flipH="1" flipV="1">
          <a:off x="317867" y="6038348"/>
          <a:ext cx="868995" cy="55745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B4994-367E-40E8-B251-0ACD914B0B9C}">
  <dimension ref="B27:H34"/>
  <sheetViews>
    <sheetView showGridLines="0" tabSelected="1" workbookViewId="0">
      <selection activeCell="N28" sqref="N28"/>
    </sheetView>
  </sheetViews>
  <sheetFormatPr defaultRowHeight="14.4"/>
  <cols>
    <col min="1" max="1" width="4.33203125" customWidth="1"/>
  </cols>
  <sheetData>
    <row r="27" spans="2:8">
      <c r="B27" s="222">
        <v>44957</v>
      </c>
      <c r="C27" s="222"/>
    </row>
    <row r="29" spans="2:8">
      <c r="B29" s="223" t="s">
        <v>149</v>
      </c>
      <c r="C29" s="223"/>
      <c r="D29" s="223"/>
      <c r="E29" s="223"/>
      <c r="F29" s="223"/>
      <c r="G29" s="223"/>
      <c r="H29" s="223"/>
    </row>
    <row r="30" spans="2:8">
      <c r="B30" s="223"/>
      <c r="C30" s="223"/>
      <c r="D30" s="223"/>
      <c r="E30" s="223"/>
      <c r="F30" s="223"/>
      <c r="G30" s="223"/>
      <c r="H30" s="223"/>
    </row>
    <row r="31" spans="2:8" ht="21.6" customHeight="1">
      <c r="B31" s="223"/>
      <c r="C31" s="223"/>
      <c r="D31" s="223"/>
      <c r="E31" s="223"/>
      <c r="F31" s="223"/>
      <c r="G31" s="223"/>
      <c r="H31" s="223"/>
    </row>
    <row r="32" spans="2:8">
      <c r="B32" s="223"/>
      <c r="C32" s="223"/>
      <c r="D32" s="223"/>
      <c r="E32" s="223"/>
      <c r="F32" s="223"/>
      <c r="G32" s="223"/>
      <c r="H32" s="223"/>
    </row>
    <row r="33" spans="2:8">
      <c r="B33" s="223"/>
      <c r="C33" s="223"/>
      <c r="D33" s="223"/>
      <c r="E33" s="223"/>
      <c r="F33" s="223"/>
      <c r="G33" s="223"/>
      <c r="H33" s="223"/>
    </row>
    <row r="34" spans="2:8" ht="17.399999999999999">
      <c r="B34" s="224" t="s">
        <v>148</v>
      </c>
    </row>
  </sheetData>
  <sheetProtection selectLockedCells="1"/>
  <mergeCells count="2">
    <mergeCell ref="B27:C27"/>
    <mergeCell ref="B29:H3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4"/>
  <sheetViews>
    <sheetView workbookViewId="0">
      <selection activeCell="B1" sqref="B1"/>
    </sheetView>
  </sheetViews>
  <sheetFormatPr defaultColWidth="0" defaultRowHeight="18" customHeight="1" zeroHeight="1"/>
  <cols>
    <col min="1" max="2" width="1.21875" style="2" customWidth="1"/>
    <col min="3" max="3" width="26.44140625" style="1" customWidth="1"/>
    <col min="4" max="4" width="79.21875" style="1" customWidth="1"/>
    <col min="5" max="5" width="2.77734375" style="1" customWidth="1"/>
    <col min="6" max="6" width="2.77734375" style="2" customWidth="1"/>
    <col min="7" max="28" width="12.77734375" style="2" hidden="1" customWidth="1"/>
    <col min="29" max="16384" width="9.21875" style="2" hidden="1"/>
  </cols>
  <sheetData>
    <row r="1" spans="2:13" s="5" customFormat="1" ht="18" customHeight="1">
      <c r="B1" s="3" t="str">
        <f>'Input | General'!$B$1</f>
        <v>Ausgrid TX 2019-24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80</v>
      </c>
      <c r="D8" s="32" t="s">
        <v>79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81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9" t="s">
        <v>82</v>
      </c>
      <c r="D12" s="32" t="s">
        <v>59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34</v>
      </c>
      <c r="D14" s="7"/>
      <c r="E14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  <hyperlink ref="C12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1875" style="14" customWidth="1"/>
    <col min="3" max="3" width="56.77734375" style="15" customWidth="1"/>
    <col min="4" max="8" width="12.77734375" style="14" customWidth="1"/>
    <col min="9" max="9" width="9.44140625" style="14" customWidth="1"/>
    <col min="10" max="10" width="9.21875" style="14" customWidth="1"/>
    <col min="11" max="12" width="2.77734375" style="14" customWidth="1"/>
    <col min="13" max="22" width="9.21875" style="14" hidden="1" customWidth="1"/>
    <col min="23" max="16384" width="12.77734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Ausgrid TX 2019-24 Final Decision - Capital expenditure sharing scheme model</v>
      </c>
      <c r="F1" s="105"/>
      <c r="G1" s="106" t="s">
        <v>47</v>
      </c>
      <c r="H1" s="159" t="s">
        <v>48</v>
      </c>
      <c r="I1" s="164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0" t="s">
        <v>108</v>
      </c>
      <c r="J6" s="79"/>
      <c r="K6" s="79"/>
      <c r="L6" s="79"/>
      <c r="M6" s="79"/>
    </row>
    <row r="7" spans="1:13" s="70" customFormat="1" ht="11.25" customHeight="1">
      <c r="C7" s="69" t="s">
        <v>91</v>
      </c>
      <c r="D7" s="160" t="s">
        <v>103</v>
      </c>
      <c r="I7" s="79"/>
      <c r="J7" s="79"/>
      <c r="K7" s="79"/>
      <c r="L7" s="79"/>
    </row>
    <row r="8" spans="1:13" s="70" customFormat="1" ht="11.25" customHeight="1">
      <c r="C8" s="69" t="s">
        <v>92</v>
      </c>
      <c r="D8" s="160" t="s">
        <v>104</v>
      </c>
      <c r="J8" s="79"/>
      <c r="K8" s="79"/>
      <c r="L8" s="79"/>
      <c r="M8" s="79"/>
    </row>
    <row r="9" spans="1:13" s="70" customFormat="1" ht="11.25" customHeight="1">
      <c r="C9" s="188" t="s">
        <v>102</v>
      </c>
      <c r="D9" s="160" t="s">
        <v>105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90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64</v>
      </c>
      <c r="E12" s="71" t="s">
        <v>65</v>
      </c>
      <c r="F12" s="71" t="s">
        <v>66</v>
      </c>
      <c r="G12" s="71" t="s">
        <v>67</v>
      </c>
      <c r="H12" s="71" t="s">
        <v>68</v>
      </c>
      <c r="J12" s="79"/>
      <c r="K12" s="79"/>
      <c r="L12" s="79"/>
      <c r="M12" s="79"/>
    </row>
    <row r="13" spans="1:13" s="70" customFormat="1" ht="11.25" customHeight="1">
      <c r="C13" s="69" t="s">
        <v>62</v>
      </c>
      <c r="D13" s="187" t="str">
        <f t="shared" ref="D13:F13" si="0">IF(LEN(E13)&gt;4,CONCATENATE(LEFT(E13,4)-1&amp;"–"&amp;IF(RIGHT(E13,2)="00","99",IF(RIGHT(E13,2)-1&lt;10,"0","")&amp;RIGHT(E13,2)-1)),E13-1)</f>
        <v>2014–15</v>
      </c>
      <c r="E13" s="187" t="str">
        <f t="shared" si="0"/>
        <v>2015–16</v>
      </c>
      <c r="F13" s="187" t="str">
        <f t="shared" si="0"/>
        <v>2016–17</v>
      </c>
      <c r="G13" s="187" t="str">
        <f>IF(LEN(H13)&gt;4,CONCATENATE(LEFT(H13,4)-1&amp;"–"&amp;IF(RIGHT(H13,2)="00","99",IF(RIGHT(H13,2)-1&lt;10,"0","")&amp;RIGHT(H13,2)-1)),H13-1)</f>
        <v>2017–18</v>
      </c>
      <c r="H13" s="187" t="str">
        <f>IF(LEN(D9)&gt;4,CONCATENATE(LEFT(D9,4)-1&amp;"–"&amp;IF(RIGHT(D9,2)="00","99",IF(RIGHT(D9,2)-1&lt;10,"0","")&amp;RIGHT(D9,2)-1)),D9-1)</f>
        <v>2018–19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0" t="s">
        <v>106</v>
      </c>
      <c r="E14" s="160" t="s">
        <v>8</v>
      </c>
      <c r="F14" s="160" t="s">
        <v>8</v>
      </c>
      <c r="G14" s="160" t="s">
        <v>8</v>
      </c>
      <c r="H14" s="160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0" t="s">
        <v>109</v>
      </c>
      <c r="E15" s="160" t="s">
        <v>7</v>
      </c>
      <c r="F15" s="160" t="s">
        <v>7</v>
      </c>
      <c r="G15" s="160" t="s">
        <v>7</v>
      </c>
      <c r="H15" s="160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64</v>
      </c>
      <c r="E17" s="71" t="s">
        <v>65</v>
      </c>
      <c r="F17" s="71" t="s">
        <v>66</v>
      </c>
      <c r="G17" s="71" t="s">
        <v>67</v>
      </c>
      <c r="H17" s="71" t="s">
        <v>68</v>
      </c>
      <c r="J17" s="79"/>
      <c r="K17" s="79"/>
      <c r="L17" s="79"/>
      <c r="M17" s="79"/>
    </row>
    <row r="18" spans="1:13" s="70" customFormat="1" ht="11.25" customHeight="1">
      <c r="C18" s="69" t="s">
        <v>63</v>
      </c>
      <c r="D18" s="187" t="str">
        <f>D9</f>
        <v>2019-20</v>
      </c>
      <c r="E18" s="187" t="str">
        <f>IF(LEN(D18)&gt;4,CONCATENATE(LEFT(D18,4)+1&amp;"–"&amp;IF(RIGHT(D18,2)+1&gt;9,"","0")&amp;RIGHT(D18,2)+1),D18+1)</f>
        <v>2020–21</v>
      </c>
      <c r="F18" s="187" t="str">
        <f t="shared" ref="F18:H18" si="1">IF(LEN(E18)&gt;4,CONCATENATE(LEFT(E18,4)+1&amp;"–"&amp;IF(RIGHT(E18,2)+1&gt;9,"","0")&amp;RIGHT(E18,2)+1),E18+1)</f>
        <v>2021–22</v>
      </c>
      <c r="G18" s="187" t="str">
        <f t="shared" si="1"/>
        <v>2022–23</v>
      </c>
      <c r="H18" s="187" t="str">
        <f t="shared" si="1"/>
        <v>2023–24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/>
  </sheetViews>
  <sheetFormatPr defaultColWidth="0" defaultRowHeight="18" customHeight="1" zeroHeight="1"/>
  <cols>
    <col min="1" max="2" width="1.21875" style="24" customWidth="1"/>
    <col min="3" max="3" width="36.77734375" style="24" customWidth="1"/>
    <col min="4" max="5" width="22.77734375" style="24" customWidth="1"/>
    <col min="6" max="6" width="12.77734375" style="24" customWidth="1"/>
    <col min="7" max="12" width="12.77734375" style="11" customWidth="1"/>
    <col min="13" max="13" width="12.5546875" style="22" customWidth="1"/>
    <col min="14" max="16" width="12.77734375" style="24" customWidth="1"/>
    <col min="17" max="18" width="2.77734375" style="24" customWidth="1"/>
    <col min="19" max="32" width="12.77734375" style="24" hidden="1" customWidth="1"/>
    <col min="33" max="16384" width="9.21875" style="24" hidden="1"/>
  </cols>
  <sheetData>
    <row r="1" spans="1:20" s="11" customFormat="1" ht="18" customHeight="1">
      <c r="B1" s="3" t="str">
        <f>'Input | General'!$B$1</f>
        <v>Ausgrid TX 2019-24 Final Decision - Capital expenditure sharing scheme model</v>
      </c>
      <c r="D1" s="12"/>
      <c r="E1" s="12"/>
      <c r="F1" s="12"/>
      <c r="G1" s="105"/>
      <c r="H1" s="106" t="s">
        <v>47</v>
      </c>
      <c r="I1" s="159" t="s">
        <v>48</v>
      </c>
      <c r="J1" s="164" t="s">
        <v>36</v>
      </c>
      <c r="K1" s="190" t="s">
        <v>107</v>
      </c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93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4" t="str">
        <f>IF(LEN(G7)&gt;4,CONCATENATE(LEFT(G7,4)-1&amp;"–"&amp;IF(RIGHT(G7,2)="00","99",IF(RIGHT(G7,2)-1&lt;10,"0","")&amp;RIGHT(G7,2)-1)),G7-1)</f>
        <v>2013–14</v>
      </c>
      <c r="G7" s="173" t="str">
        <f>'Input | General'!D13</f>
        <v>2014–15</v>
      </c>
      <c r="H7" s="173" t="str">
        <f>'Input | General'!E13</f>
        <v>2015–16</v>
      </c>
      <c r="I7" s="173" t="str">
        <f>'Input | General'!F13</f>
        <v>2016–17</v>
      </c>
      <c r="J7" s="173" t="str">
        <f>'Input | General'!G13</f>
        <v>2017–18</v>
      </c>
      <c r="K7" s="173" t="str">
        <f>'Input | General'!H13</f>
        <v>2018–19</v>
      </c>
      <c r="L7" s="173" t="str">
        <f>'Input | General'!D18</f>
        <v>2019-20</v>
      </c>
      <c r="M7" s="173" t="str">
        <f>'Input | General'!E18</f>
        <v>2020–21</v>
      </c>
      <c r="N7" s="173" t="str">
        <f>'Input | General'!F18</f>
        <v>2021–22</v>
      </c>
      <c r="O7" s="173" t="str">
        <f>'Input | General'!G18</f>
        <v>2022–23</v>
      </c>
      <c r="P7" s="173" t="str">
        <f>'Input | General'!H18</f>
        <v>2023–24</v>
      </c>
    </row>
    <row r="8" spans="1:20" ht="11.25" customHeight="1">
      <c r="A8" s="11"/>
      <c r="B8" s="11"/>
      <c r="C8" s="80" t="s">
        <v>83</v>
      </c>
      <c r="D8" s="78" t="s">
        <v>88</v>
      </c>
      <c r="E8" s="78" t="s">
        <v>51</v>
      </c>
      <c r="F8" s="78"/>
      <c r="G8" s="161">
        <v>2.4498886414253906E-2</v>
      </c>
      <c r="H8" s="161">
        <v>2.4879227053140163E-2</v>
      </c>
      <c r="I8" s="161">
        <v>1.5083667216591934E-2</v>
      </c>
      <c r="J8" s="161">
        <v>1.2769909449732886E-2</v>
      </c>
      <c r="K8" s="161">
        <v>1.95E-2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84</v>
      </c>
      <c r="D9" s="78" t="s">
        <v>88</v>
      </c>
      <c r="E9" s="78" t="s">
        <v>51</v>
      </c>
      <c r="F9" s="78"/>
      <c r="G9" s="130"/>
      <c r="H9" s="130"/>
      <c r="I9" s="130"/>
      <c r="J9" s="130"/>
      <c r="K9" s="130"/>
      <c r="L9" s="161">
        <v>2.5000000000000001E-2</v>
      </c>
      <c r="M9" s="143">
        <f t="shared" ref="M9:P9" si="0">L9</f>
        <v>2.5000000000000001E-2</v>
      </c>
      <c r="N9" s="143">
        <f t="shared" si="0"/>
        <v>2.5000000000000001E-2</v>
      </c>
      <c r="O9" s="143">
        <f t="shared" si="0"/>
        <v>2.5000000000000001E-2</v>
      </c>
      <c r="P9" s="143">
        <f t="shared" si="0"/>
        <v>2.5000000000000001E-2</v>
      </c>
    </row>
    <row r="10" spans="1:20" ht="11.25" customHeight="1">
      <c r="A10" s="11"/>
      <c r="B10" s="11"/>
      <c r="C10" s="140" t="str">
        <f>"CPI Index (base year "&amp;F7&amp;")"</f>
        <v>CPI Index (base year 2013–14)</v>
      </c>
      <c r="D10" s="78" t="s">
        <v>88</v>
      </c>
      <c r="E10" s="78" t="s">
        <v>30</v>
      </c>
      <c r="F10" s="138">
        <v>1</v>
      </c>
      <c r="G10" s="123">
        <f>IF(G7&lt;&gt;"",(F10*(1+G8)),"")</f>
        <v>1.0244988864142539</v>
      </c>
      <c r="H10" s="123">
        <f>IF(H7&lt;&gt;"",(G10*(1+H8)),"")</f>
        <v>1.0499876268250434</v>
      </c>
      <c r="I10" s="123">
        <f>IF(I7&lt;&gt;"",(H10*(1+I8)),"")</f>
        <v>1.0658252907696115</v>
      </c>
      <c r="J10" s="123">
        <f>IF(J7&lt;&gt;"",(I10*(1+J8)),"")</f>
        <v>1.0794357832219748</v>
      </c>
      <c r="K10" s="123">
        <f>IF(K7&lt;&gt;"",(J10*(1+K8)),"")</f>
        <v>1.1004847809948033</v>
      </c>
      <c r="L10" s="87">
        <f t="shared" ref="L10:P10" si="1">IF(L7&lt;&gt;"",(K10*(1+L9)),"")</f>
        <v>1.1279969005196733</v>
      </c>
      <c r="M10" s="87">
        <f t="shared" si="1"/>
        <v>1.1561968230326649</v>
      </c>
      <c r="N10" s="87">
        <f t="shared" si="1"/>
        <v>1.1851017436084814</v>
      </c>
      <c r="O10" s="87">
        <f t="shared" si="1"/>
        <v>1.2147292871986934</v>
      </c>
      <c r="P10" s="87">
        <f t="shared" si="1"/>
        <v>1.2450975193786606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83</v>
      </c>
      <c r="D13" s="78" t="s">
        <v>49</v>
      </c>
      <c r="E13" s="78" t="s">
        <v>51</v>
      </c>
      <c r="F13" s="78"/>
      <c r="G13" s="161">
        <v>1.7175572519083859E-2</v>
      </c>
      <c r="H13" s="161">
        <v>1.6885553470919357E-2</v>
      </c>
      <c r="I13" s="161">
        <v>1.4760147601476037E-2</v>
      </c>
      <c r="J13" s="161">
        <v>1.9090909090909047E-2</v>
      </c>
      <c r="K13" s="191">
        <v>1.7841213202497874E-2</v>
      </c>
      <c r="L13" s="127"/>
      <c r="M13" s="127"/>
      <c r="N13" s="127"/>
      <c r="O13" s="127"/>
      <c r="P13" s="127"/>
    </row>
    <row r="14" spans="1:20" ht="11.25" customHeight="1">
      <c r="A14" s="11"/>
      <c r="B14" s="11"/>
      <c r="C14" s="80" t="s">
        <v>84</v>
      </c>
      <c r="D14" s="78" t="s">
        <v>49</v>
      </c>
      <c r="E14" s="78" t="s">
        <v>51</v>
      </c>
      <c r="F14" s="78"/>
      <c r="G14" s="86"/>
      <c r="H14" s="86"/>
      <c r="I14" s="86"/>
      <c r="J14" s="86"/>
      <c r="K14" s="86"/>
      <c r="L14" s="191">
        <v>2.4248746575396697E-2</v>
      </c>
      <c r="M14" s="143">
        <f t="shared" ref="M14:P14" si="2">L14</f>
        <v>2.4248746575396697E-2</v>
      </c>
      <c r="N14" s="143">
        <f t="shared" si="2"/>
        <v>2.4248746575396697E-2</v>
      </c>
      <c r="O14" s="143">
        <f t="shared" si="2"/>
        <v>2.4248746575396697E-2</v>
      </c>
      <c r="P14" s="143">
        <f t="shared" si="2"/>
        <v>2.4248746575396697E-2</v>
      </c>
    </row>
    <row r="15" spans="1:20" ht="11.25" customHeight="1">
      <c r="A15" s="11"/>
      <c r="B15" s="11"/>
      <c r="C15" s="140" t="str">
        <f>"CPI Index (base year "&amp;F7&amp;")"</f>
        <v>CPI Index (base year 2013–14)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1.0171755725190839</v>
      </c>
      <c r="H15" s="123">
        <f>IF(H7&lt;&gt;"",(G15*(1+H13)),"")</f>
        <v>1.0343511450381679</v>
      </c>
      <c r="I15" s="123">
        <f>IF(I7&lt;&gt;"",(H15*(1+I13)),"")</f>
        <v>1.0496183206106871</v>
      </c>
      <c r="J15" s="123">
        <f>IF(J7&lt;&gt;"",(I15*(1+J13)),"")</f>
        <v>1.0696564885496183</v>
      </c>
      <c r="K15" s="87">
        <f>IF(K7&lt;&gt;"",(J15*(1+K13)),"")</f>
        <v>1.0887404580152673</v>
      </c>
      <c r="L15" s="87">
        <f t="shared" ref="L15:P15" si="3">IF(L7&lt;&gt;"",(K15*(1+L14)),"")</f>
        <v>1.1151410494680609</v>
      </c>
      <c r="M15" s="87">
        <f t="shared" si="3"/>
        <v>1.1421818221724338</v>
      </c>
      <c r="N15" s="87">
        <f t="shared" si="3"/>
        <v>1.169878299721318</v>
      </c>
      <c r="O15" s="87">
        <f t="shared" si="3"/>
        <v>1.1982463821353162</v>
      </c>
      <c r="P15" s="87">
        <f t="shared" si="3"/>
        <v>1.2273023549906015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69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3" t="str">
        <f>G7</f>
        <v>2014–15</v>
      </c>
      <c r="H19" s="173" t="str">
        <f t="shared" ref="H19:P19" si="4">H7</f>
        <v>2015–16</v>
      </c>
      <c r="I19" s="173" t="str">
        <f t="shared" si="4"/>
        <v>2016–17</v>
      </c>
      <c r="J19" s="173" t="str">
        <f t="shared" si="4"/>
        <v>2017–18</v>
      </c>
      <c r="K19" s="173" t="str">
        <f t="shared" si="4"/>
        <v>2018–19</v>
      </c>
      <c r="L19" s="173" t="str">
        <f t="shared" si="4"/>
        <v>2019-20</v>
      </c>
      <c r="M19" s="173" t="str">
        <f t="shared" si="4"/>
        <v>2020–21</v>
      </c>
      <c r="N19" s="173" t="str">
        <f t="shared" si="4"/>
        <v>2021–22</v>
      </c>
      <c r="O19" s="173" t="str">
        <f t="shared" si="4"/>
        <v>2022–23</v>
      </c>
      <c r="P19" s="173" t="str">
        <f t="shared" si="4"/>
        <v>2023–24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61">
        <v>4.2254018761887169E-2</v>
      </c>
      <c r="H20" s="161">
        <v>4.163547694214853E-2</v>
      </c>
      <c r="I20" s="161">
        <v>4.0761033280446446E-2</v>
      </c>
      <c r="J20" s="161">
        <v>3.9860233470544681E-2</v>
      </c>
      <c r="K20" s="161">
        <v>3.8827966039358675E-2</v>
      </c>
      <c r="L20" s="86"/>
      <c r="M20" s="86"/>
      <c r="N20" s="86"/>
      <c r="O20" s="86"/>
      <c r="P20" s="86"/>
    </row>
    <row r="21" spans="1:16" ht="11.25" customHeight="1">
      <c r="C21" s="155" t="s">
        <v>98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191">
        <v>3.2190287615159054E-2</v>
      </c>
      <c r="M21" s="191">
        <v>3.1076092433442157E-2</v>
      </c>
      <c r="N21" s="191">
        <v>2.9961897251725531E-2</v>
      </c>
      <c r="O21" s="191">
        <v>2.8847702070008641E-2</v>
      </c>
      <c r="P21" s="191">
        <v>2.7733506888291883E-2</v>
      </c>
    </row>
    <row r="22" spans="1:16" ht="11.25" customHeight="1">
      <c r="C22" s="80" t="s">
        <v>70</v>
      </c>
      <c r="D22" s="78" t="s">
        <v>61</v>
      </c>
      <c r="E22" s="78" t="s">
        <v>51</v>
      </c>
      <c r="F22" s="79"/>
      <c r="G22" s="144">
        <f>IF(AND(G13&lt;&gt;"",G20&lt;&gt;""),((1+G20)*(1+G13)-1),"")</f>
        <v>6.0155328244438477E-2</v>
      </c>
      <c r="H22" s="144">
        <f>IF(AND(H13&lt;&gt;"",H20&lt;&gt;""),((1+H20)*(1+H13)-1),"")</f>
        <v>5.9224068485261849E-2</v>
      </c>
      <c r="I22" s="144">
        <f>IF(AND(I13&lt;&gt;"",I20&lt;&gt;""),((1+I20)*(1+I13)-1),"")</f>
        <v>5.6122819749530484E-2</v>
      </c>
      <c r="J22" s="144">
        <f>IF(AND(J13&lt;&gt;"",J20&lt;&gt;""),((1+J20)*(1+J13)-1),"")</f>
        <v>5.9712110654982276E-2</v>
      </c>
      <c r="K22" s="144">
        <f>IF(AND(K13&lt;&gt;"",K20&lt;&gt;""),((1+K20)*(1+K13)-1),"")</f>
        <v>5.7361917262184203E-2</v>
      </c>
      <c r="L22" s="144">
        <f>IF(AND(L14&lt;&gt;"",L21&lt;&gt;""),((1+L21)*(1+L14)-1),"")</f>
        <v>5.7219608317124804E-2</v>
      </c>
      <c r="M22" s="144">
        <f t="shared" ref="M22:P22" si="5">IF(AND(M14&lt;&gt;"",M21&lt;&gt;""),((1+M21)*(1+M14)-1),"")</f>
        <v>5.6078395298810868E-2</v>
      </c>
      <c r="N22" s="144">
        <f t="shared" si="5"/>
        <v>5.4937182280497376E-2</v>
      </c>
      <c r="O22" s="144">
        <f t="shared" si="5"/>
        <v>5.3795969262183441E-2</v>
      </c>
      <c r="P22" s="144">
        <f t="shared" si="5"/>
        <v>5.2654756243869727E-2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107" ht="18" customHeight="1"/>
    <row r="108" ht="18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85622-C4F5-4AF2-B08E-A51602B9F8BF}">
  <sheetPr>
    <tabColor rgb="FFFFFF99"/>
  </sheetPr>
  <dimension ref="A1:K14"/>
  <sheetViews>
    <sheetView workbookViewId="0"/>
  </sheetViews>
  <sheetFormatPr defaultRowHeight="14.4"/>
  <cols>
    <col min="3" max="3" width="30" bestFit="1" customWidth="1"/>
    <col min="10" max="10" width="4.21875" customWidth="1"/>
  </cols>
  <sheetData>
    <row r="1" spans="1:11">
      <c r="A1" t="s">
        <v>114</v>
      </c>
      <c r="C1" t="s">
        <v>113</v>
      </c>
    </row>
    <row r="2" spans="1:11">
      <c r="C2" t="s">
        <v>145</v>
      </c>
    </row>
    <row r="3" spans="1:11">
      <c r="C3" t="s">
        <v>115</v>
      </c>
      <c r="D3" t="s">
        <v>116</v>
      </c>
    </row>
    <row r="5" spans="1:11">
      <c r="A5" s="8"/>
      <c r="B5" s="74" t="s">
        <v>41</v>
      </c>
      <c r="C5" s="8"/>
      <c r="D5" s="18"/>
      <c r="E5" s="18"/>
      <c r="F5" s="18"/>
      <c r="G5" s="18"/>
      <c r="H5" s="8"/>
      <c r="I5" s="8"/>
    </row>
    <row r="6" spans="1:11">
      <c r="A6" s="2"/>
      <c r="B6" s="73"/>
      <c r="C6" s="2"/>
      <c r="D6" s="21"/>
      <c r="E6" s="21"/>
      <c r="F6" s="21"/>
      <c r="G6" s="78"/>
      <c r="H6" s="78" t="s">
        <v>146</v>
      </c>
      <c r="I6" s="78" t="s">
        <v>111</v>
      </c>
      <c r="K6" s="78" t="s">
        <v>112</v>
      </c>
    </row>
    <row r="7" spans="1:11">
      <c r="A7" s="2"/>
      <c r="B7" s="73"/>
      <c r="C7" s="68"/>
      <c r="D7" s="75" t="s">
        <v>6</v>
      </c>
      <c r="E7" s="75" t="s">
        <v>52</v>
      </c>
      <c r="F7" s="75" t="s">
        <v>4</v>
      </c>
      <c r="G7" s="64"/>
      <c r="H7" s="175" t="s">
        <v>110</v>
      </c>
      <c r="I7" s="175" t="s">
        <v>110</v>
      </c>
      <c r="K7" s="197" t="s">
        <v>110</v>
      </c>
    </row>
    <row r="8" spans="1:11">
      <c r="A8" s="2"/>
      <c r="B8" s="73"/>
      <c r="C8" s="68"/>
      <c r="D8" s="68"/>
      <c r="E8" s="68"/>
      <c r="F8" s="68"/>
      <c r="G8" s="68"/>
      <c r="H8" s="68"/>
      <c r="I8" s="68"/>
    </row>
    <row r="9" spans="1:11">
      <c r="A9" s="2"/>
      <c r="B9" s="73"/>
      <c r="C9" s="80" t="s">
        <v>78</v>
      </c>
      <c r="D9" s="78"/>
      <c r="E9" s="78" t="s">
        <v>50</v>
      </c>
      <c r="F9" s="78" t="s">
        <v>53</v>
      </c>
      <c r="G9" s="68"/>
      <c r="H9" s="162">
        <v>54.855845234664756</v>
      </c>
      <c r="I9" s="162">
        <v>70.675506999999996</v>
      </c>
      <c r="K9" s="162">
        <f>I9-H9</f>
        <v>15.81966176533524</v>
      </c>
    </row>
    <row r="10" spans="1:11">
      <c r="A10" s="2"/>
      <c r="B10" s="73"/>
      <c r="C10" s="80" t="s">
        <v>100</v>
      </c>
      <c r="D10" s="78"/>
      <c r="E10" s="78" t="s">
        <v>50</v>
      </c>
      <c r="F10" s="78" t="s">
        <v>53</v>
      </c>
      <c r="G10" s="142"/>
      <c r="H10" s="162"/>
      <c r="I10" s="162"/>
      <c r="K10" s="162">
        <f t="shared" ref="K10:K12" si="0">I10-H10</f>
        <v>0</v>
      </c>
    </row>
    <row r="11" spans="1:11">
      <c r="A11" s="2"/>
      <c r="B11" s="73"/>
      <c r="C11" s="141" t="s">
        <v>94</v>
      </c>
      <c r="D11" s="78"/>
      <c r="E11" s="78" t="s">
        <v>50</v>
      </c>
      <c r="F11" s="78" t="s">
        <v>53</v>
      </c>
      <c r="G11" s="142"/>
      <c r="H11" s="162">
        <v>0.39195830788105446</v>
      </c>
      <c r="I11" s="162">
        <v>1.1388119999999999</v>
      </c>
      <c r="K11" s="162">
        <f t="shared" si="0"/>
        <v>0.74685369211894548</v>
      </c>
    </row>
    <row r="12" spans="1:11">
      <c r="A12" s="2"/>
      <c r="B12" s="73"/>
      <c r="C12" s="156" t="s">
        <v>99</v>
      </c>
      <c r="D12" s="78"/>
      <c r="E12" s="78" t="s">
        <v>50</v>
      </c>
      <c r="F12" s="78" t="s">
        <v>53</v>
      </c>
      <c r="G12" s="68"/>
      <c r="H12" s="162"/>
      <c r="I12" s="162"/>
      <c r="K12" s="162">
        <f t="shared" si="0"/>
        <v>0</v>
      </c>
    </row>
    <row r="13" spans="1:11">
      <c r="A13" s="2"/>
      <c r="B13" s="73"/>
      <c r="C13" s="68"/>
      <c r="D13" s="68"/>
      <c r="E13" s="68"/>
      <c r="F13" s="68"/>
      <c r="G13" s="68"/>
      <c r="H13" s="67"/>
      <c r="I13" s="67"/>
      <c r="K13" s="67"/>
    </row>
    <row r="14" spans="1:11">
      <c r="A14" s="2"/>
      <c r="B14" s="73"/>
      <c r="C14" s="77" t="s">
        <v>77</v>
      </c>
      <c r="D14" s="76" t="s">
        <v>61</v>
      </c>
      <c r="E14" s="179" t="s">
        <v>50</v>
      </c>
      <c r="F14" s="179" t="s">
        <v>53</v>
      </c>
      <c r="G14" s="68"/>
      <c r="H14" s="66">
        <f>IF(H7="", "", H9-H10-H11-H12)</f>
        <v>54.463886926783701</v>
      </c>
      <c r="I14" s="66">
        <f t="shared" ref="I14" si="1">IF(I7="", "", I9-I10-I11-I12)</f>
        <v>69.536694999999995</v>
      </c>
      <c r="K14" s="66">
        <f t="shared" ref="K14" si="2">IF(K7="", "", K9-K10-K11-K12)</f>
        <v>15.072808073216295</v>
      </c>
    </row>
  </sheetData>
  <conditionalFormatting sqref="H10:H11">
    <cfRule type="expression" dxfId="17" priority="5">
      <formula>IF($H$6&lt;&gt;"","FALSE","TRUE")</formula>
    </cfRule>
  </conditionalFormatting>
  <conditionalFormatting sqref="K9">
    <cfRule type="expression" dxfId="16" priority="3">
      <formula>IF($H$6&lt;&gt;"","FALSE","TRUE")</formula>
    </cfRule>
  </conditionalFormatting>
  <conditionalFormatting sqref="K12">
    <cfRule type="expression" dxfId="15" priority="1">
      <formula>IF($H$6&lt;&gt;"","FALSE","TRUE")</formula>
    </cfRule>
  </conditionalFormatting>
  <conditionalFormatting sqref="I9">
    <cfRule type="expression" dxfId="14" priority="11">
      <formula>IF($H$6&lt;&gt;"","FALSE","TRUE")</formula>
    </cfRule>
  </conditionalFormatting>
  <conditionalFormatting sqref="I10:I11">
    <cfRule type="expression" dxfId="13" priority="9">
      <formula>IF($H$6&lt;&gt;"","FALSE","TRUE")</formula>
    </cfRule>
  </conditionalFormatting>
  <conditionalFormatting sqref="I12">
    <cfRule type="expression" dxfId="12" priority="7">
      <formula>IF($H$6&lt;&gt;"","FALSE","TRUE")</formula>
    </cfRule>
  </conditionalFormatting>
  <conditionalFormatting sqref="H9">
    <cfRule type="expression" dxfId="11" priority="6">
      <formula>IF($H$6&lt;&gt;"","FALSE","TRUE")</formula>
    </cfRule>
  </conditionalFormatting>
  <conditionalFormatting sqref="H12">
    <cfRule type="expression" dxfId="10" priority="4">
      <formula>IF($H$6&lt;&gt;"","FALSE","TRUE")</formula>
    </cfRule>
  </conditionalFormatting>
  <conditionalFormatting sqref="K10:K11">
    <cfRule type="expression" dxfId="9" priority="2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8"/>
  <sheetViews>
    <sheetView workbookViewId="0"/>
  </sheetViews>
  <sheetFormatPr defaultColWidth="0" defaultRowHeight="18" customHeight="1" zeroHeight="1"/>
  <cols>
    <col min="1" max="2" width="1.21875" style="11" customWidth="1"/>
    <col min="3" max="3" width="49.77734375" style="16" customWidth="1"/>
    <col min="4" max="4" width="23.77734375" style="16" customWidth="1"/>
    <col min="5" max="5" width="13.44140625" style="16" customWidth="1"/>
    <col min="6" max="6" width="9.21875" style="16" customWidth="1"/>
    <col min="7" max="7" width="2.77734375" style="16" customWidth="1"/>
    <col min="8" max="12" width="13.77734375" style="11" bestFit="1" customWidth="1"/>
    <col min="13" max="14" width="2.77734375" style="11" customWidth="1"/>
    <col min="15" max="23" width="0" style="11" hidden="1" customWidth="1"/>
    <col min="24" max="16384" width="12.77734375" style="11" hidden="1"/>
  </cols>
  <sheetData>
    <row r="1" spans="2:14" ht="18" customHeight="1">
      <c r="B1" s="3" t="str">
        <f>'Input | General'!$B$1</f>
        <v>Ausgrid TX 2019-24 Final Decision - Capital expenditure sharing scheme model</v>
      </c>
      <c r="D1" s="12"/>
      <c r="E1" s="12"/>
      <c r="F1" s="12"/>
      <c r="G1" s="12"/>
      <c r="H1" s="105"/>
      <c r="I1" s="106" t="s">
        <v>47</v>
      </c>
      <c r="J1" s="159" t="s">
        <v>48</v>
      </c>
      <c r="K1" s="164" t="s">
        <v>36</v>
      </c>
      <c r="L1" s="190" t="s">
        <v>107</v>
      </c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5" t="str">
        <f>IF('Input | General'!D14="Yes",'Input | General'!D13,"n/a")</f>
        <v>n/a</v>
      </c>
      <c r="I6" s="175" t="str">
        <f>IF('Input | General'!E14="Yes",'Input | General'!E13,"n/a")</f>
        <v>2015–16</v>
      </c>
      <c r="J6" s="175" t="str">
        <f>IF('Input | General'!F14="Yes",'Input | General'!F13,"n/a")</f>
        <v>2016–17</v>
      </c>
      <c r="K6" s="175" t="str">
        <f>IF('Input | General'!G14="Yes",'Input | General'!G13,"n/a")</f>
        <v>2017–18</v>
      </c>
      <c r="L6" s="175" t="str">
        <f>IF('Input | General'!H14="Yes",'Input | General'!H13,"n/a")</f>
        <v>2018–19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78" t="str">
        <f>'Input | Inflation and Disc Rate'!$F$7</f>
        <v>2013–14</v>
      </c>
      <c r="G8" s="68"/>
      <c r="H8" s="162"/>
      <c r="I8" s="162">
        <v>99.675656072788016</v>
      </c>
      <c r="J8" s="162">
        <v>116.57041391315373</v>
      </c>
      <c r="K8" s="162">
        <v>54.718592810829506</v>
      </c>
      <c r="L8" s="162">
        <v>47.134540247737782</v>
      </c>
      <c r="M8" s="2"/>
      <c r="N8" s="2"/>
    </row>
    <row r="9" spans="2:14" ht="10.5" customHeight="1">
      <c r="C9" s="80" t="s">
        <v>100</v>
      </c>
      <c r="D9" s="78" t="s">
        <v>49</v>
      </c>
      <c r="E9" s="78" t="s">
        <v>50</v>
      </c>
      <c r="F9" s="178" t="str">
        <f>'Input | Inflation and Disc Rate'!$F$7</f>
        <v>2013–14</v>
      </c>
      <c r="G9" s="68"/>
      <c r="H9" s="162"/>
      <c r="I9" s="162"/>
      <c r="J9" s="162"/>
      <c r="K9" s="162"/>
      <c r="L9" s="162"/>
      <c r="M9" s="2"/>
      <c r="N9" s="2"/>
    </row>
    <row r="10" spans="2:14" ht="10.5" customHeight="1">
      <c r="C10" s="80" t="s">
        <v>94</v>
      </c>
      <c r="D10" s="78" t="s">
        <v>49</v>
      </c>
      <c r="E10" s="78" t="s">
        <v>50</v>
      </c>
      <c r="F10" s="178" t="str">
        <f>'Input | Inflation and Disc Rate'!$F$7</f>
        <v>2013–14</v>
      </c>
      <c r="G10" s="68"/>
      <c r="H10" s="162"/>
      <c r="I10" s="162">
        <v>48.041103809637129</v>
      </c>
      <c r="J10" s="162">
        <v>2.0480896637898396</v>
      </c>
      <c r="K10" s="162">
        <v>0.44777240582818434</v>
      </c>
      <c r="L10" s="162">
        <v>3.1740218307885941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61</v>
      </c>
      <c r="E12" s="176" t="s">
        <v>50</v>
      </c>
      <c r="F12" s="177" t="str">
        <f>'Input | Inflation and Disc Rate'!$F$7</f>
        <v>2013–14</v>
      </c>
      <c r="G12" s="68"/>
      <c r="H12" s="66">
        <f>IF(H6="", "", H8-H9-H10)</f>
        <v>0</v>
      </c>
      <c r="I12" s="66">
        <f t="shared" ref="I12:L12" si="0">IF(I6="", "", I8-I9-I10)</f>
        <v>51.634552263150887</v>
      </c>
      <c r="J12" s="66">
        <f t="shared" si="0"/>
        <v>114.52232424936389</v>
      </c>
      <c r="K12" s="66">
        <f t="shared" si="0"/>
        <v>54.270820405001324</v>
      </c>
      <c r="L12" s="66">
        <f t="shared" si="0"/>
        <v>43.960518416949185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5" t="str">
        <f>H6</f>
        <v>n/a</v>
      </c>
      <c r="I16" s="175" t="str">
        <f t="shared" ref="I16:L16" si="1">I6</f>
        <v>2015–16</v>
      </c>
      <c r="J16" s="175" t="str">
        <f t="shared" si="1"/>
        <v>2016–17</v>
      </c>
      <c r="K16" s="175" t="str">
        <f t="shared" si="1"/>
        <v>2017–18</v>
      </c>
      <c r="L16" s="175" t="str">
        <f t="shared" si="1"/>
        <v>2018–19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198" t="s">
        <v>146</v>
      </c>
      <c r="M17" s="108"/>
      <c r="N17" s="108"/>
    </row>
    <row r="18" spans="2:14" s="2" customFormat="1" ht="10.5" customHeight="1">
      <c r="B18" s="73"/>
      <c r="C18" s="80" t="s">
        <v>78</v>
      </c>
      <c r="D18" s="78" t="s">
        <v>49</v>
      </c>
      <c r="E18" s="78" t="s">
        <v>50</v>
      </c>
      <c r="F18" s="78" t="s">
        <v>53</v>
      </c>
      <c r="G18" s="68"/>
      <c r="H18" s="162"/>
      <c r="I18" s="162">
        <v>66.167502450000015</v>
      </c>
      <c r="J18" s="196">
        <v>107.76359317999999</v>
      </c>
      <c r="K18" s="196">
        <v>73.559289050000004</v>
      </c>
      <c r="L18" s="199">
        <f>INDEX('FY19 Capex'!$H$9:$I$12,MATCH('Input | Reported Capex'!C18,'FY19 Capex'!$C$9:$C$12,0),MATCH($L$17,'FY19 Capex'!$H$6:$I$6,0))</f>
        <v>54.855845234664756</v>
      </c>
    </row>
    <row r="19" spans="2:14" s="2" customFormat="1" ht="10.5" customHeight="1">
      <c r="B19" s="73"/>
      <c r="C19" s="80" t="s">
        <v>100</v>
      </c>
      <c r="D19" s="78" t="s">
        <v>49</v>
      </c>
      <c r="E19" s="78" t="s">
        <v>50</v>
      </c>
      <c r="F19" s="78" t="s">
        <v>53</v>
      </c>
      <c r="G19" s="142"/>
      <c r="H19" s="163"/>
      <c r="I19" s="162"/>
      <c r="J19" s="162"/>
      <c r="K19" s="162"/>
      <c r="L19" s="199">
        <f>INDEX('FY19 Capex'!$H$9:$I$12,MATCH('Input | Reported Capex'!C19,'FY19 Capex'!$C$9:$C$12,0),MATCH($L$17,'FY19 Capex'!$H$6:$I$6,0))</f>
        <v>0</v>
      </c>
    </row>
    <row r="20" spans="2:14" s="2" customFormat="1" ht="10.5" customHeight="1">
      <c r="B20" s="73"/>
      <c r="C20" s="141" t="s">
        <v>94</v>
      </c>
      <c r="D20" s="78" t="s">
        <v>49</v>
      </c>
      <c r="E20" s="78" t="s">
        <v>50</v>
      </c>
      <c r="F20" s="78" t="s">
        <v>53</v>
      </c>
      <c r="G20" s="142"/>
      <c r="H20" s="163"/>
      <c r="I20" s="162">
        <v>73.384549159362209</v>
      </c>
      <c r="J20" s="162">
        <v>5.202203411301336</v>
      </c>
      <c r="K20" s="162">
        <v>1.7523872999999999</v>
      </c>
      <c r="L20" s="199">
        <f>INDEX('FY19 Capex'!$H$9:$I$12,MATCH('Input | Reported Capex'!C20,'FY19 Capex'!$C$9:$C$12,0),MATCH($L$17,'FY19 Capex'!$H$6:$I$6,0))</f>
        <v>0.39195830788105446</v>
      </c>
    </row>
    <row r="21" spans="2:14" s="2" customFormat="1" ht="10.5" customHeight="1">
      <c r="B21" s="73"/>
      <c r="C21" s="156" t="s">
        <v>99</v>
      </c>
      <c r="D21" s="78" t="s">
        <v>49</v>
      </c>
      <c r="E21" s="78" t="s">
        <v>50</v>
      </c>
      <c r="F21" s="78" t="s">
        <v>53</v>
      </c>
      <c r="G21" s="68"/>
      <c r="H21" s="163"/>
      <c r="I21" s="162"/>
      <c r="J21" s="162"/>
      <c r="K21" s="162"/>
      <c r="L21" s="199">
        <f>INDEX('FY19 Capex'!$H$9:$I$12,MATCH('Input | Reported Capex'!C21,'FY19 Capex'!$C$9:$C$12,0),MATCH($L$17,'FY19 Capex'!$H$6:$I$6,0))</f>
        <v>0</v>
      </c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77</v>
      </c>
      <c r="D23" s="76" t="s">
        <v>61</v>
      </c>
      <c r="E23" s="179" t="s">
        <v>50</v>
      </c>
      <c r="F23" s="179" t="s">
        <v>53</v>
      </c>
      <c r="G23" s="68"/>
      <c r="H23" s="66">
        <f>IF(H16="", "", H18-H19-H20-H21)</f>
        <v>0</v>
      </c>
      <c r="I23" s="66">
        <f t="shared" ref="I23:L23" si="2">IF(I16="", "", I18-I19-I20-I21)</f>
        <v>-7.2170467093621937</v>
      </c>
      <c r="J23" s="66">
        <f t="shared" si="2"/>
        <v>102.56138976869865</v>
      </c>
      <c r="K23" s="66">
        <f t="shared" si="2"/>
        <v>71.806901750000009</v>
      </c>
      <c r="L23" s="66">
        <f t="shared" si="2"/>
        <v>54.463886926783701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5" t="str">
        <f>'Input | General'!D18</f>
        <v>2019-20</v>
      </c>
      <c r="I27" s="175" t="str">
        <f>'Input | General'!E18</f>
        <v>2020–21</v>
      </c>
      <c r="J27" s="175" t="str">
        <f>'Input | General'!F18</f>
        <v>2021–22</v>
      </c>
      <c r="K27" s="175" t="str">
        <f>'Input | General'!G18</f>
        <v>2022–23</v>
      </c>
      <c r="L27" s="175" t="str">
        <f>'Input | General'!H18</f>
        <v>2023–24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87</v>
      </c>
      <c r="D29" s="65" t="s">
        <v>88</v>
      </c>
      <c r="E29" s="78" t="s">
        <v>50</v>
      </c>
      <c r="F29" s="78" t="s">
        <v>53</v>
      </c>
      <c r="G29" s="68"/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2"/>
      <c r="N29" s="2"/>
    </row>
    <row r="30" spans="2:14" ht="11.25" customHeight="1">
      <c r="C30" s="84" t="s">
        <v>87</v>
      </c>
      <c r="D30" s="65" t="s">
        <v>61</v>
      </c>
      <c r="E30" s="78" t="s">
        <v>50</v>
      </c>
      <c r="F30" s="78" t="str">
        <f>'Input | Inflation and Disc Rate'!$F$7</f>
        <v>2013–14</v>
      </c>
      <c r="G30" s="68"/>
      <c r="H30" s="150">
        <f>IF(H29&lt;&gt;"",H29/('Input | Inflation and Disc Rate'!K10*(1+'Input | Inflation and Disc Rate'!L9)^0.5),"")</f>
        <v>0</v>
      </c>
      <c r="I30" s="150">
        <f>IF(I29&lt;&gt;"",I29/('Input | Inflation and Disc Rate'!L10*(1+'Input | Inflation and Disc Rate'!M9)^0.5),"")</f>
        <v>0</v>
      </c>
      <c r="J30" s="150">
        <f>IF(J29&lt;&gt;"",J29/('Input | Inflation and Disc Rate'!M10*(1+'Input | Inflation and Disc Rate'!N9)^0.5),"")</f>
        <v>0</v>
      </c>
      <c r="K30" s="150">
        <f>IF(K29&lt;&gt;"",K29/('Input | Inflation and Disc Rate'!N10*(1+'Input | Inflation and Disc Rate'!O9)^0.5),"")</f>
        <v>0</v>
      </c>
      <c r="L30" s="150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87</v>
      </c>
      <c r="D31" s="65" t="s">
        <v>49</v>
      </c>
      <c r="E31" s="78" t="s">
        <v>50</v>
      </c>
      <c r="F31" s="78" t="s">
        <v>53</v>
      </c>
      <c r="G31" s="68"/>
      <c r="H31" s="150">
        <f>IF(H29&lt;&gt;"",H30*'Input | Inflation and Disc Rate'!K15*(1+'Input | Inflation and Disc Rate'!L14)^0.5,"")</f>
        <v>0</v>
      </c>
      <c r="I31" s="150">
        <f>IF(I29&lt;&gt;"",I30*'Input | Inflation and Disc Rate'!L15*(1+'Input | Inflation and Disc Rate'!M14)^0.5,"")</f>
        <v>0</v>
      </c>
      <c r="J31" s="150">
        <f>IF(J29&lt;&gt;"",J30*'Input | Inflation and Disc Rate'!M15*(1+'Input | Inflation and Disc Rate'!N14)^0.5,"")</f>
        <v>0</v>
      </c>
      <c r="K31" s="150">
        <f>IF(K29&lt;&gt;"",K30*'Input | Inflation and Disc Rate'!N15*(1+'Input | Inflation and Disc Rate'!O14)^0.5,"")</f>
        <v>0</v>
      </c>
      <c r="L31" s="150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8:H10 I8:L9">
    <cfRule type="expression" dxfId="8" priority="20">
      <formula>IF($H$6&lt;&gt;"","FALSE","TRUE")</formula>
    </cfRule>
  </conditionalFormatting>
  <conditionalFormatting sqref="H18:K18">
    <cfRule type="expression" dxfId="7" priority="15">
      <formula>IF($H$6&lt;&gt;"","FALSE","TRUE")</formula>
    </cfRule>
  </conditionalFormatting>
  <conditionalFormatting sqref="H19:H20">
    <cfRule type="expression" dxfId="6" priority="10">
      <formula>IF($H$6&lt;&gt;"","FALSE","TRUE")</formula>
    </cfRule>
  </conditionalFormatting>
  <conditionalFormatting sqref="I10:L10">
    <cfRule type="expression" dxfId="5" priority="6">
      <formula>IF($H$6&lt;&gt;"","FALSE","TRUE")</formula>
    </cfRule>
  </conditionalFormatting>
  <conditionalFormatting sqref="I19:K20">
    <cfRule type="expression" dxfId="4" priority="5">
      <formula>IF($H$6&lt;&gt;"","FALSE","TRUE")</formula>
    </cfRule>
  </conditionalFormatting>
  <conditionalFormatting sqref="H29:L29">
    <cfRule type="expression" dxfId="3" priority="4">
      <formula>IF($H$6&lt;&gt;"","FALSE","TRUE")</formula>
    </cfRule>
  </conditionalFormatting>
  <conditionalFormatting sqref="H21">
    <cfRule type="expression" dxfId="2" priority="3">
      <formula>IF($H$6&lt;&gt;"","FALSE","TRUE")</formula>
    </cfRule>
  </conditionalFormatting>
  <conditionalFormatting sqref="I21:K21">
    <cfRule type="expression" dxfId="1" priority="2">
      <formula>IF($H$6&lt;&gt;"","FALSE","TRUE")</formula>
    </cfRule>
  </conditionalFormatting>
  <conditionalFormatting sqref="L18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B49DF0-CE5C-46C1-BFE9-7AF2B5ABE880}">
          <x14:formula1>
            <xm:f>'FY19 Capex'!$H$6:$I$6</xm:f>
          </x14:formula1>
          <xm:sqref>L17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topLeftCell="C13" zoomScaleNormal="100" workbookViewId="0">
      <selection activeCell="J39" sqref="J39"/>
    </sheetView>
  </sheetViews>
  <sheetFormatPr defaultColWidth="0" defaultRowHeight="0" customHeight="1" zeroHeight="1"/>
  <cols>
    <col min="1" max="2" width="1.21875" style="2" customWidth="1"/>
    <col min="3" max="3" width="70.77734375" style="9" customWidth="1"/>
    <col min="4" max="8" width="12.77734375" style="2" customWidth="1"/>
    <col min="9" max="9" width="2.21875" style="2" customWidth="1"/>
    <col min="10" max="10" width="12.77734375" style="1" customWidth="1"/>
    <col min="11" max="14" width="12.77734375" style="2" customWidth="1"/>
    <col min="15" max="16" width="2.77734375" style="2" customWidth="1"/>
    <col min="17" max="16382" width="0" style="2" hidden="1"/>
    <col min="16383" max="16384" width="12.77734375" style="2" hidden="1"/>
  </cols>
  <sheetData>
    <row r="1" spans="2:23" s="11" customFormat="1" ht="18" customHeight="1">
      <c r="B1" s="3" t="str">
        <f>'Input | General'!$B$1</f>
        <v>Ausgrid TX 2019-24 Final Decision - Capital expenditure sharing scheme model</v>
      </c>
      <c r="J1" s="122"/>
      <c r="K1" s="106" t="s">
        <v>47</v>
      </c>
      <c r="L1" s="159" t="s">
        <v>48</v>
      </c>
      <c r="M1" s="164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5" t="str">
        <f>IF('Input | General'!D14="Yes",'Input | General'!D13,"n/a")</f>
        <v>n/a</v>
      </c>
      <c r="E7" s="175" t="str">
        <f>IF('Input | General'!E14="Yes",'Input | General'!E13,"n/a")</f>
        <v>2015–16</v>
      </c>
      <c r="F7" s="175" t="str">
        <f>IF('Input | General'!F14="Yes",'Input | General'!F13,"n/a")</f>
        <v>2016–17</v>
      </c>
      <c r="G7" s="175" t="str">
        <f>IF('Input | General'!G14="Yes",'Input | General'!G13,"n/a")</f>
        <v>2017–18</v>
      </c>
      <c r="H7" s="180" t="str">
        <f>IF('Input | General'!H14="Yes",'Input | General'!H13,"n/a")</f>
        <v>2018–19</v>
      </c>
      <c r="I7" s="97"/>
    </row>
    <row r="8" spans="2:23" ht="11.25" customHeight="1">
      <c r="C8" s="145" t="s">
        <v>96</v>
      </c>
      <c r="D8" s="192"/>
      <c r="E8" s="165">
        <f>'Input | Inflation and Disc Rate'!H20</f>
        <v>4.163547694214853E-2</v>
      </c>
      <c r="F8" s="165">
        <f>'Input | Inflation and Disc Rate'!I20</f>
        <v>4.0761033280446446E-2</v>
      </c>
      <c r="G8" s="165">
        <f>'Input | Inflation and Disc Rate'!J20</f>
        <v>3.9860233470544681E-2</v>
      </c>
      <c r="H8" s="166">
        <f>'Input | Inflation and Disc Rate'!K20</f>
        <v>3.8827966039358675E-2</v>
      </c>
      <c r="I8" s="97"/>
      <c r="J8" s="79"/>
      <c r="K8" s="79"/>
    </row>
    <row r="9" spans="2:23" ht="11.25" customHeight="1">
      <c r="C9" s="148" t="s">
        <v>97</v>
      </c>
      <c r="D9" s="193"/>
      <c r="E9" s="165">
        <f>'Input | Inflation and Disc Rate'!H22</f>
        <v>5.9224068485261849E-2</v>
      </c>
      <c r="F9" s="165">
        <f>'Input | Inflation and Disc Rate'!I22</f>
        <v>5.6122819749530484E-2</v>
      </c>
      <c r="G9" s="165">
        <f>'Input | Inflation and Disc Rate'!J22</f>
        <v>5.9712110654982276E-2</v>
      </c>
      <c r="H9" s="166">
        <f>'Input | Inflation and Disc Rate'!K22</f>
        <v>5.7361917262184203E-2</v>
      </c>
      <c r="I9" s="97"/>
      <c r="J9" s="79"/>
      <c r="K9" s="79"/>
    </row>
    <row r="10" spans="2:23" ht="11.25" customHeight="1">
      <c r="C10" s="113" t="s">
        <v>13</v>
      </c>
      <c r="D10" s="194"/>
      <c r="E10" s="167">
        <f>'Input | Reported Capex'!I$12*'Input | Inflation and Disc Rate'!H$15*(1+'Input | Inflation and Disc Rate'!H$20)^0.5</f>
        <v>54.508759252448513</v>
      </c>
      <c r="F10" s="167">
        <f>'Input | Reported Capex'!J$12*'Input | Inflation and Disc Rate'!I$15*(1+'Input | Inflation and Disc Rate'!I$20)^0.5</f>
        <v>122.63009588309278</v>
      </c>
      <c r="G10" s="167">
        <f>'Input | Reported Capex'!K$12*'Input | Inflation and Disc Rate'!J$15*(1+'Input | Inflation and Disc Rate'!J$20)^0.5</f>
        <v>59.196796062889412</v>
      </c>
      <c r="H10" s="168">
        <f>'Input | Reported Capex'!L$12*'Input | Inflation and Disc Rate'!K$15*(1+'Input | Inflation and Disc Rate'!K$20)^0.5</f>
        <v>48.78193053344804</v>
      </c>
      <c r="I10" s="97"/>
      <c r="J10" s="79"/>
      <c r="K10" s="79"/>
      <c r="N10" s="139"/>
    </row>
    <row r="11" spans="2:23" ht="11.25" customHeight="1">
      <c r="C11" s="113" t="s">
        <v>15</v>
      </c>
      <c r="D11" s="195"/>
      <c r="E11" s="167">
        <f>'Input | Reported Capex'!I23*(1+E$9)^0.5</f>
        <v>-7.427684296756464</v>
      </c>
      <c r="F11" s="167">
        <f>'Input | Reported Capex'!J23*(1+F$9)^0.5</f>
        <v>105.40012124286173</v>
      </c>
      <c r="G11" s="167">
        <f>'Input | Reported Capex'!K23*(1+G$9)^0.5</f>
        <v>73.919690091780396</v>
      </c>
      <c r="H11" s="168">
        <f>'Input | Reported Capex'!L23*(1+H$9)^0.5</f>
        <v>56.004182822200058</v>
      </c>
      <c r="I11" s="97"/>
      <c r="J11" s="79"/>
      <c r="K11" s="79"/>
    </row>
    <row r="12" spans="2:23" s="19" customFormat="1" ht="11.25" customHeight="1">
      <c r="C12" s="113" t="s">
        <v>17</v>
      </c>
      <c r="D12" s="158"/>
      <c r="E12" s="146">
        <f>(E10-E11)</f>
        <v>61.936443549204981</v>
      </c>
      <c r="F12" s="146">
        <f t="shared" ref="F12:H12" si="0">(F10-F11)</f>
        <v>17.229974640231049</v>
      </c>
      <c r="G12" s="146">
        <f t="shared" si="0"/>
        <v>-14.722894028890984</v>
      </c>
      <c r="H12" s="151">
        <f t="shared" si="0"/>
        <v>-7.2222522887520171</v>
      </c>
      <c r="I12" s="97"/>
      <c r="J12" s="79"/>
      <c r="K12" s="79"/>
    </row>
    <row r="13" spans="2:23" ht="11.25" customHeight="1">
      <c r="C13" s="113" t="s">
        <v>72</v>
      </c>
      <c r="D13" s="89"/>
      <c r="E13" s="146">
        <f>$D$12*$E$8</f>
        <v>0</v>
      </c>
      <c r="F13" s="146">
        <f>$D$12*$F$8*(1+'Input | Inflation and Disc Rate'!H13)</f>
        <v>0</v>
      </c>
      <c r="G13" s="146">
        <f>$D$12*$G$8*(1+'Input | Inflation and Disc Rate'!H13)*(1+'Input | Inflation and Disc Rate'!I13)</f>
        <v>0</v>
      </c>
      <c r="H13" s="151">
        <f>$D$12*$H$8*(1+'Input | Inflation and Disc Rate'!H13)*(1+'Input | Inflation and Disc Rate'!I13)*(1+'Input | Inflation and Disc Rate'!J13)</f>
        <v>0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73</v>
      </c>
      <c r="D14" s="89"/>
      <c r="E14" s="147"/>
      <c r="F14" s="146">
        <f>$E$12*F$8</f>
        <v>2.5245934367816369</v>
      </c>
      <c r="G14" s="146">
        <f>$E$12*G$8*(1+'Input | Inflation and Disc Rate'!I13)</f>
        <v>2.5052409688442565</v>
      </c>
      <c r="H14" s="151">
        <f>$E$12*H$8*(1+'Input | Inflation and Disc Rate'!I13)*(1+'Input | Inflation and Disc Rate'!J13)</f>
        <v>2.4869510406468418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74</v>
      </c>
      <c r="D15" s="89"/>
      <c r="E15" s="146"/>
      <c r="F15" s="146"/>
      <c r="G15" s="146">
        <f>$F$12*G$8</f>
        <v>0.68679081185117374</v>
      </c>
      <c r="H15" s="151">
        <f>$F$12*$H$8*(1+'Input | Inflation and Disc Rate'!J13)</f>
        <v>0.68177678134807329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75</v>
      </c>
      <c r="D16" s="89"/>
      <c r="E16" s="146"/>
      <c r="F16" s="146"/>
      <c r="G16" s="146"/>
      <c r="H16" s="151">
        <f>$G$12*$H$8</f>
        <v>-0.57166002935485571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76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/>
      <c r="E18" s="152">
        <f>SUM(E13:E17)</f>
        <v>0</v>
      </c>
      <c r="F18" s="152">
        <f t="shared" ref="F18:H18" si="1">SUM(F13:F17)</f>
        <v>2.5245934367816369</v>
      </c>
      <c r="G18" s="152">
        <f t="shared" si="1"/>
        <v>3.1920317806954301</v>
      </c>
      <c r="H18" s="153">
        <f t="shared" si="1"/>
        <v>2.5970677926400594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95</v>
      </c>
      <c r="D19" s="126"/>
      <c r="E19" s="152">
        <f>F19*(1+F$9)</f>
        <v>1.1833848053305853</v>
      </c>
      <c r="F19" s="152">
        <f>G19*(1+G$9)</f>
        <v>1.1204992290681079</v>
      </c>
      <c r="G19" s="152">
        <f>H19*(1+H$9)</f>
        <v>1.0573619172621842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/>
      <c r="E20" s="146">
        <f>E12*E19</f>
        <v>73.294646192344729</v>
      </c>
      <c r="F20" s="146">
        <f t="shared" ref="F20:H20" si="2">F12*F19</f>
        <v>19.306173301241941</v>
      </c>
      <c r="G20" s="146">
        <f t="shared" si="2"/>
        <v>-15.567427458036134</v>
      </c>
      <c r="H20" s="151">
        <f t="shared" si="2"/>
        <v>-7.2222522887520171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/>
      <c r="E21" s="152">
        <f>E18*E19</f>
        <v>0</v>
      </c>
      <c r="F21" s="152">
        <f t="shared" ref="F21:H21" si="3">F18*F19</f>
        <v>2.8288049996242295</v>
      </c>
      <c r="G21" s="152">
        <f t="shared" si="3"/>
        <v>3.3751328435979437</v>
      </c>
      <c r="H21" s="153">
        <f t="shared" si="3"/>
        <v>2.5970677926400594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1" t="str">
        <f>'Input | General'!$D$18</f>
        <v>2019-20</v>
      </c>
      <c r="E24" s="181" t="str">
        <f>'Input | General'!$E$18</f>
        <v>2020–21</v>
      </c>
      <c r="F24" s="181" t="str">
        <f>'Input | General'!$F$18</f>
        <v>2021–22</v>
      </c>
      <c r="G24" s="181" t="str">
        <f>'Input | General'!$G$18</f>
        <v>2022–23</v>
      </c>
      <c r="H24" s="182" t="str">
        <f>'Input | General'!$H$18</f>
        <v>2023–24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71</v>
      </c>
      <c r="D25" s="169">
        <f>'Input | Inflation and Disc Rate'!L$22</f>
        <v>5.7219608317124804E-2</v>
      </c>
      <c r="E25" s="169">
        <f>'Input | Inflation and Disc Rate'!M$22</f>
        <v>5.6078395298810868E-2</v>
      </c>
      <c r="F25" s="169">
        <f>'Input | Inflation and Disc Rate'!N$22</f>
        <v>5.4937182280497376E-2</v>
      </c>
      <c r="G25" s="169">
        <f>'Input | Inflation and Disc Rate'!O$22</f>
        <v>5.3795969262183441E-2</v>
      </c>
      <c r="H25" s="170">
        <f>'Input | Inflation and Disc Rate'!P$22</f>
        <v>5.2654756243869727E-2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67">
        <f>'Input | Reported Capex'!H31</f>
        <v>0</v>
      </c>
      <c r="E26" s="167">
        <f>'Input | Reported Capex'!I31</f>
        <v>0</v>
      </c>
      <c r="F26" s="167">
        <f>'Input | Reported Capex'!J31</f>
        <v>0</v>
      </c>
      <c r="G26" s="167">
        <f>'Input | Reported Capex'!K31</f>
        <v>0</v>
      </c>
      <c r="H26" s="168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0.97256222059416042</v>
      </c>
      <c r="E27" s="124">
        <f>1/((1+E25)^(0.5)*(1+D25))</f>
        <v>0.92042140837463271</v>
      </c>
      <c r="F27" s="124">
        <f>1/((1+F25)^(0.5)*(1+E25)*(1+D25))</f>
        <v>0.87201776495221961</v>
      </c>
      <c r="G27" s="124">
        <f>1/((1+G25)^(0.5)*(1+F25)*(1+E25)*(1+D25))</f>
        <v>0.82705380907273784</v>
      </c>
      <c r="H27" s="125">
        <f>1/((1+H25)^(0.5)*(1+G25)*(1+F25)*(1+E25)*(1+D25))</f>
        <v>0.78525827396277637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69.811139746798517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48.867797822758959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20.943341924039554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8.8010056358622322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12.142336288177322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  <c r="J39" s="200" t="s">
        <v>117</v>
      </c>
      <c r="K39" s="201"/>
      <c r="L39" s="27"/>
      <c r="M39" s="27"/>
      <c r="N39" s="27"/>
    </row>
    <row r="40" spans="1:16382" s="30" customFormat="1" ht="11.25" customHeight="1">
      <c r="C40" s="93"/>
      <c r="D40" s="183" t="str">
        <f>'Input | General'!D18</f>
        <v>2019-20</v>
      </c>
      <c r="E40" s="183" t="str">
        <f>'Input | General'!E18</f>
        <v>2020–21</v>
      </c>
      <c r="F40" s="183" t="str">
        <f>'Input | General'!F18</f>
        <v>2021–22</v>
      </c>
      <c r="G40" s="183" t="str">
        <f>'Input | General'!G18</f>
        <v>2022–23</v>
      </c>
      <c r="H40" s="183" t="str">
        <f>'Input | General'!H18</f>
        <v>2023–24</v>
      </c>
      <c r="I40" s="94"/>
      <c r="J40" s="202" t="str">
        <f>D40</f>
        <v>2019-20</v>
      </c>
      <c r="K40" s="202" t="str">
        <f t="shared" ref="K40:N41" si="5">E40</f>
        <v>2020–21</v>
      </c>
      <c r="L40" s="202" t="str">
        <f t="shared" si="5"/>
        <v>2021–22</v>
      </c>
      <c r="M40" s="202" t="str">
        <f t="shared" si="5"/>
        <v>2022–23</v>
      </c>
      <c r="N40" s="202" t="str">
        <f t="shared" si="5"/>
        <v>2023–24</v>
      </c>
      <c r="O40" s="94"/>
    </row>
    <row r="41" spans="1:16382" s="30" customFormat="1" ht="11.25" customHeight="1">
      <c r="C41" s="100" t="s">
        <v>101</v>
      </c>
      <c r="D41" s="171">
        <f>1/(1+'Input | Inflation and Disc Rate'!L21)</f>
        <v>0.96881361120967957</v>
      </c>
      <c r="E41" s="171">
        <f>D41/(1+'Input | Inflation and Disc Rate'!M21)</f>
        <v>0.9396140772919902</v>
      </c>
      <c r="F41" s="171">
        <f>E41/(1+'Input | Inflation and Disc Rate'!N21)</f>
        <v>0.91228042493531769</v>
      </c>
      <c r="G41" s="171">
        <f>F41/(1+'Input | Inflation and Disc Rate'!O21)</f>
        <v>0.88670113477421264</v>
      </c>
      <c r="H41" s="172">
        <f>G41/(1+'Input | Inflation and Disc Rate'!P21)</f>
        <v>0.86277340266827707</v>
      </c>
      <c r="I41" s="94"/>
      <c r="J41" s="203">
        <f>D41</f>
        <v>0.96881361120967957</v>
      </c>
      <c r="K41" s="171">
        <f>E41</f>
        <v>0.9396140772919902</v>
      </c>
      <c r="L41" s="171">
        <f t="shared" si="5"/>
        <v>0.91228042493531769</v>
      </c>
      <c r="M41" s="171">
        <f t="shared" si="5"/>
        <v>0.88670113477421264</v>
      </c>
      <c r="N41" s="172">
        <f t="shared" si="5"/>
        <v>0.86277340266827707</v>
      </c>
      <c r="O41" s="94"/>
    </row>
    <row r="42" spans="1:16382" s="30" customFormat="1" ht="11.25" customHeight="1">
      <c r="C42" s="189" t="str">
        <f>CONCATENATE("CESS Payment Per Year ($", 'Output | Models'!$F$8," million)")</f>
        <v>CESS Payment Per Year ($2018–19 million)</v>
      </c>
      <c r="D42" s="110">
        <f>D36/(SUM(D41:H41))</f>
        <v>2.6568601773149423</v>
      </c>
      <c r="E42" s="110">
        <f>D42</f>
        <v>2.6568601773149423</v>
      </c>
      <c r="F42" s="110">
        <f t="shared" ref="F42:H42" si="6">E42</f>
        <v>2.6568601773149423</v>
      </c>
      <c r="G42" s="110">
        <f t="shared" si="6"/>
        <v>2.6568601773149423</v>
      </c>
      <c r="H42" s="149">
        <f t="shared" si="6"/>
        <v>2.6568601773149423</v>
      </c>
      <c r="I42" s="94"/>
      <c r="J42" s="204">
        <v>1.6394555053105166</v>
      </c>
      <c r="K42" s="205">
        <v>1.6394555053105166</v>
      </c>
      <c r="L42" s="205">
        <v>1.6394555053105166</v>
      </c>
      <c r="M42" s="205">
        <v>1.6394555053105166</v>
      </c>
      <c r="N42" s="206">
        <v>1.6394555053105166</v>
      </c>
      <c r="O42" s="94"/>
    </row>
    <row r="43" spans="1:16382" s="79" customFormat="1" ht="11.25" customHeight="1">
      <c r="K43" s="94"/>
      <c r="L43" s="94"/>
      <c r="M43" s="94"/>
    </row>
    <row r="44" spans="1:16382" s="30" customFormat="1" ht="11.25" customHeight="1">
      <c r="C44" s="189" t="str">
        <f>CONCATENATE("Total CESS Payment ($", 'Output | Models'!$F$8," million)")</f>
        <v>Total CESS Payment ($2018–19 million)</v>
      </c>
      <c r="D44" s="157">
        <f>SUM(D42:H42)</f>
        <v>13.284300886574712</v>
      </c>
      <c r="E44" s="70"/>
      <c r="F44" s="70"/>
      <c r="G44" s="70"/>
      <c r="H44" s="70"/>
      <c r="I44" s="94"/>
      <c r="J44" s="157">
        <v>8.1972775265525826</v>
      </c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219">
        <f>D44-J44</f>
        <v>5.0870233600221297</v>
      </c>
      <c r="K46" s="104" t="s">
        <v>142</v>
      </c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/>
  </sheetViews>
  <sheetFormatPr defaultColWidth="0" defaultRowHeight="11.25" customHeight="1" zeroHeight="1"/>
  <cols>
    <col min="1" max="2" width="1.21875" style="51" customWidth="1"/>
    <col min="3" max="3" width="36" style="51" customWidth="1"/>
    <col min="4" max="4" width="23.5546875" style="52" bestFit="1" customWidth="1"/>
    <col min="5" max="5" width="13.5546875" style="52" customWidth="1"/>
    <col min="6" max="6" width="9.21875" style="52" customWidth="1"/>
    <col min="7" max="9" width="2.77734375" style="52" customWidth="1"/>
    <col min="10" max="15" width="9.21875" style="51" customWidth="1"/>
    <col min="16" max="17" width="3" style="51" customWidth="1"/>
    <col min="18" max="24" width="9.2187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Ausgrid TX 2019-24 Final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59" t="s">
        <v>48</v>
      </c>
      <c r="M1" s="164" t="s">
        <v>36</v>
      </c>
      <c r="R1" s="107"/>
      <c r="S1" s="79"/>
      <c r="T1" s="79"/>
      <c r="U1" s="79"/>
      <c r="V1" s="79"/>
      <c r="W1" s="79"/>
    </row>
    <row r="2" spans="1:27" s="37" customFormat="1" ht="13.8" thickBot="1">
      <c r="B2" s="38" t="s">
        <v>81</v>
      </c>
      <c r="C2" s="38"/>
      <c r="D2" s="38"/>
      <c r="E2" s="38"/>
      <c r="F2" s="39"/>
      <c r="G2" s="39"/>
      <c r="H2" s="39"/>
      <c r="I2" s="39"/>
    </row>
    <row r="3" spans="1:27" s="40" customFormat="1" ht="10.199999999999999">
      <c r="C3" s="41"/>
      <c r="D3" s="42"/>
      <c r="E3" s="42"/>
      <c r="F3" s="42"/>
      <c r="G3" s="42"/>
      <c r="H3" s="42"/>
      <c r="I3" s="42"/>
      <c r="J3" s="221"/>
      <c r="K3" s="221"/>
      <c r="L3" s="221"/>
      <c r="M3" s="42"/>
      <c r="N3" s="221"/>
      <c r="O3" s="221"/>
      <c r="P3" s="221"/>
      <c r="Q3" s="221"/>
      <c r="R3" s="221"/>
      <c r="S3" s="221"/>
      <c r="T3" s="221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60</v>
      </c>
      <c r="D6" s="55" t="s">
        <v>6</v>
      </c>
      <c r="E6" s="55" t="s">
        <v>52</v>
      </c>
      <c r="F6" s="55" t="s">
        <v>4</v>
      </c>
      <c r="H6" s="55"/>
      <c r="I6" s="55"/>
      <c r="J6" s="184" t="str">
        <f>'Calc | CESS Revenue Increments'!D40</f>
        <v>2019-20</v>
      </c>
      <c r="K6" s="184" t="str">
        <f>'Calc | CESS Revenue Increments'!E40</f>
        <v>2020–21</v>
      </c>
      <c r="L6" s="184" t="str">
        <f>'Calc | CESS Revenue Increments'!F40</f>
        <v>2021–22</v>
      </c>
      <c r="M6" s="184" t="str">
        <f>'Calc | CESS Revenue Increments'!G40</f>
        <v>2022–23</v>
      </c>
      <c r="N6" s="184" t="str">
        <f>'Calc | CESS Revenue Increments'!H40</f>
        <v>2023–24</v>
      </c>
      <c r="O6" s="56" t="s">
        <v>89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85</v>
      </c>
      <c r="D8" s="186" t="s">
        <v>58</v>
      </c>
      <c r="E8" s="52" t="s">
        <v>50</v>
      </c>
      <c r="F8" s="185" t="str">
        <f>IF(LEN(J6)&gt;4,CONCATENATE(LEFT(J6,4)-1&amp;"–"&amp;IF(RIGHT(J6,2)="00","99",IF(RIGHT(J6,2)-1&lt;10,"0","")&amp;RIGHT(J6,2)-1)),J6-1)</f>
        <v>2018–19</v>
      </c>
      <c r="H8" s="55"/>
      <c r="I8" s="55"/>
      <c r="J8" s="133">
        <f>'Calc | CESS Revenue Increments'!D42</f>
        <v>2.6568601773149423</v>
      </c>
      <c r="K8" s="133">
        <f>'Calc | CESS Revenue Increments'!E42</f>
        <v>2.6568601773149423</v>
      </c>
      <c r="L8" s="133">
        <f>'Calc | CESS Revenue Increments'!F42</f>
        <v>2.6568601773149423</v>
      </c>
      <c r="M8" s="133">
        <f>'Calc | CESS Revenue Increments'!G42</f>
        <v>2.6568601773149423</v>
      </c>
      <c r="N8" s="133">
        <f>'Calc | CESS Revenue Increments'!H42</f>
        <v>2.6568601773149423</v>
      </c>
      <c r="O8" s="60">
        <f>SUM(J8:N8)</f>
        <v>13.284300886574712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.2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7" spans="13:20" ht="10.199999999999999" hidden="1">
      <c r="M17" s="61"/>
      <c r="N17" s="61"/>
      <c r="O17" s="61"/>
      <c r="P17" s="61"/>
      <c r="Q17" s="61"/>
      <c r="R17" s="61"/>
      <c r="S17" s="61"/>
      <c r="T17" s="61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62E0A-CD73-4EDB-8835-F1A061A76710}">
  <sheetPr>
    <tabColor rgb="FF8DB4E2"/>
  </sheetPr>
  <dimension ref="A1:O32"/>
  <sheetViews>
    <sheetView workbookViewId="0">
      <selection activeCell="A27" sqref="A27"/>
    </sheetView>
  </sheetViews>
  <sheetFormatPr defaultRowHeight="14.4"/>
  <cols>
    <col min="1" max="1" width="40.77734375" customWidth="1"/>
    <col min="2" max="2" width="40.21875" customWidth="1"/>
    <col min="3" max="3" width="9.5546875" customWidth="1"/>
    <col min="6" max="6" width="11.21875" customWidth="1"/>
    <col min="10" max="10" width="10.44140625" customWidth="1"/>
  </cols>
  <sheetData>
    <row r="1" spans="1:15">
      <c r="A1" s="207" t="s">
        <v>118</v>
      </c>
    </row>
    <row r="2" spans="1:15">
      <c r="E2" s="208"/>
      <c r="F2" s="208" t="s">
        <v>105</v>
      </c>
      <c r="G2" s="208" t="s">
        <v>119</v>
      </c>
      <c r="H2" s="208" t="s">
        <v>120</v>
      </c>
      <c r="I2" s="208" t="s">
        <v>121</v>
      </c>
      <c r="J2" s="208" t="s">
        <v>122</v>
      </c>
      <c r="K2" s="208" t="s">
        <v>123</v>
      </c>
      <c r="L2" s="208" t="s">
        <v>124</v>
      </c>
      <c r="M2" s="208" t="s">
        <v>125</v>
      </c>
      <c r="N2" s="208" t="s">
        <v>126</v>
      </c>
      <c r="O2" s="208" t="s">
        <v>127</v>
      </c>
    </row>
    <row r="3" spans="1:15">
      <c r="A3" t="s">
        <v>128</v>
      </c>
      <c r="B3" t="s">
        <v>144</v>
      </c>
      <c r="F3" s="209">
        <v>3.2190287615158963E-2</v>
      </c>
      <c r="G3" s="209">
        <v>3.0060653438764184E-2</v>
      </c>
      <c r="H3" s="209">
        <v>2.7489978671470627E-2</v>
      </c>
      <c r="I3" s="209">
        <v>2.5667411537982909E-2</v>
      </c>
      <c r="J3" s="209">
        <v>2.5532227657772077E-2</v>
      </c>
    </row>
    <row r="4" spans="1:15">
      <c r="A4" t="s">
        <v>129</v>
      </c>
      <c r="B4" t="s">
        <v>130</v>
      </c>
      <c r="F4" s="209"/>
      <c r="G4" s="209"/>
      <c r="H4" s="209"/>
      <c r="I4" s="209"/>
      <c r="J4" s="209"/>
      <c r="K4" s="210">
        <v>2.7663814432180002E-2</v>
      </c>
      <c r="L4" s="210">
        <v>2.8145029748256126E-2</v>
      </c>
      <c r="M4" s="210">
        <v>2.8881015938879574E-2</v>
      </c>
      <c r="N4" s="210">
        <v>2.964324179575524E-2</v>
      </c>
      <c r="O4" s="210">
        <v>3.0536354248023256E-2</v>
      </c>
    </row>
    <row r="5" spans="1:15">
      <c r="A5" t="s">
        <v>131</v>
      </c>
      <c r="E5" s="209"/>
      <c r="F5" s="209">
        <v>1.8404907975460016E-2</v>
      </c>
      <c r="G5" s="209">
        <v>8.6058519793459354E-3</v>
      </c>
      <c r="H5" s="209">
        <v>3.498293515358375E-2</v>
      </c>
      <c r="I5" s="209">
        <v>0.08</v>
      </c>
      <c r="J5" s="209">
        <v>4.7500000000000001E-2</v>
      </c>
      <c r="K5" s="210"/>
      <c r="L5" s="210"/>
      <c r="M5" s="210"/>
      <c r="N5" s="210"/>
      <c r="O5" s="210"/>
    </row>
    <row r="6" spans="1:15">
      <c r="A6" t="s">
        <v>132</v>
      </c>
      <c r="E6" s="211"/>
      <c r="F6" s="212">
        <f>(1+F5)</f>
        <v>1.01840490797546</v>
      </c>
      <c r="G6" s="212">
        <f>F6*(1+G5)</f>
        <v>1.0271691498685362</v>
      </c>
      <c r="H6" s="212">
        <f t="shared" ref="H6:J6" si="0">G6*(1+H5)</f>
        <v>1.0631025416301489</v>
      </c>
      <c r="I6" s="212">
        <f t="shared" si="0"/>
        <v>1.148150744960561</v>
      </c>
      <c r="J6" s="212">
        <f t="shared" si="0"/>
        <v>1.2026879053461879</v>
      </c>
    </row>
    <row r="7" spans="1:15">
      <c r="A7" t="s">
        <v>133</v>
      </c>
      <c r="F7" s="209">
        <f>(1+F3)*(1+F5)-1</f>
        <v>5.1187654871879484E-2</v>
      </c>
      <c r="G7" s="209">
        <f t="shared" ref="G7:J7" si="1">(1+G3)*(1+G5)-1</f>
        <v>3.8925202952006632E-2</v>
      </c>
      <c r="H7" s="209">
        <f t="shared" si="1"/>
        <v>6.3434593966291919E-2</v>
      </c>
      <c r="I7" s="209">
        <f t="shared" si="1"/>
        <v>0.10772080446102161</v>
      </c>
      <c r="J7" s="209">
        <f t="shared" si="1"/>
        <v>7.4245008471516272E-2</v>
      </c>
    </row>
    <row r="9" spans="1:15">
      <c r="A9" t="s">
        <v>85</v>
      </c>
      <c r="B9" t="s">
        <v>134</v>
      </c>
      <c r="C9" t="s">
        <v>50</v>
      </c>
      <c r="D9" t="s">
        <v>110</v>
      </c>
      <c r="F9" s="213">
        <f>'Calc | CESS Revenue Increments'!D42</f>
        <v>2.6568601773149423</v>
      </c>
      <c r="G9" s="213">
        <f>'Calc | CESS Revenue Increments'!E42</f>
        <v>2.6568601773149423</v>
      </c>
      <c r="H9" s="213">
        <f>'Calc | CESS Revenue Increments'!F42</f>
        <v>2.6568601773149423</v>
      </c>
      <c r="I9" s="213">
        <f>'Calc | CESS Revenue Increments'!G42</f>
        <v>2.6568601773149423</v>
      </c>
      <c r="J9" s="213">
        <f>'Calc | CESS Revenue Increments'!H42</f>
        <v>2.6568601773149423</v>
      </c>
    </row>
    <row r="10" spans="1:15">
      <c r="A10" t="s">
        <v>85</v>
      </c>
      <c r="B10" t="s">
        <v>143</v>
      </c>
      <c r="C10" t="s">
        <v>50</v>
      </c>
      <c r="D10" t="s">
        <v>110</v>
      </c>
      <c r="F10" s="213">
        <f>'Calc | CESS Revenue Increments'!J42</f>
        <v>1.6394555053105166</v>
      </c>
      <c r="G10" s="213">
        <f>'Calc | CESS Revenue Increments'!K42</f>
        <v>1.6394555053105166</v>
      </c>
      <c r="H10" s="213">
        <f>'Calc | CESS Revenue Increments'!L42</f>
        <v>1.6394555053105166</v>
      </c>
      <c r="I10" s="213">
        <f>'Calc | CESS Revenue Increments'!M42</f>
        <v>1.6394555053105166</v>
      </c>
      <c r="J10" s="213">
        <f>'Calc | CESS Revenue Increments'!N42</f>
        <v>1.6394555053105166</v>
      </c>
    </row>
    <row r="11" spans="1:15">
      <c r="F11" s="213"/>
      <c r="G11" s="213"/>
      <c r="H11" s="213"/>
      <c r="I11" s="213"/>
      <c r="J11" s="213"/>
    </row>
    <row r="12" spans="1:15">
      <c r="A12" t="s">
        <v>135</v>
      </c>
      <c r="C12" t="s">
        <v>50</v>
      </c>
      <c r="D12" t="s">
        <v>110</v>
      </c>
      <c r="F12" s="213">
        <f>F9-F10</f>
        <v>1.0174046720044256</v>
      </c>
      <c r="G12" s="213">
        <f t="shared" ref="G12:J12" si="2">G9-G10</f>
        <v>1.0174046720044256</v>
      </c>
      <c r="H12" s="213">
        <f t="shared" si="2"/>
        <v>1.0174046720044256</v>
      </c>
      <c r="I12" s="213">
        <f t="shared" si="2"/>
        <v>1.0174046720044256</v>
      </c>
      <c r="J12" s="213">
        <f t="shared" si="2"/>
        <v>1.0174046720044256</v>
      </c>
    </row>
    <row r="13" spans="1:15">
      <c r="A13" t="s">
        <v>135</v>
      </c>
      <c r="B13" t="s">
        <v>136</v>
      </c>
      <c r="C13" t="s">
        <v>50</v>
      </c>
      <c r="D13" t="s">
        <v>53</v>
      </c>
      <c r="F13" s="213">
        <f>F12*F6</f>
        <v>1.0361299113664701</v>
      </c>
      <c r="G13" s="213">
        <f t="shared" ref="G13:J13" si="3">G12*G6</f>
        <v>1.045046692015063</v>
      </c>
      <c r="H13" s="213">
        <f t="shared" si="3"/>
        <v>1.0816054926742928</v>
      </c>
      <c r="I13" s="213">
        <f t="shared" si="3"/>
        <v>1.1681339320882365</v>
      </c>
      <c r="J13" s="213">
        <f t="shared" si="3"/>
        <v>1.2236202938624279</v>
      </c>
    </row>
    <row r="14" spans="1:15">
      <c r="A14" t="s">
        <v>72</v>
      </c>
      <c r="F14" s="213"/>
      <c r="G14" s="214">
        <f>$F$13*G$3</f>
        <v>3.1146742183124909E-2</v>
      </c>
      <c r="H14" s="214">
        <f>$F$13*G$6/$F$6*H$3</f>
        <v>2.8728311274185007E-2</v>
      </c>
      <c r="I14" s="214">
        <f>$F$13*H$6/$F$6*I$3</f>
        <v>2.7762013302213832E-2</v>
      </c>
      <c r="J14" s="214">
        <f>$F$13*I$6/$F$6*J$3</f>
        <v>2.9825061488845325E-2</v>
      </c>
    </row>
    <row r="15" spans="1:15">
      <c r="A15" t="s">
        <v>73</v>
      </c>
      <c r="F15" s="213"/>
      <c r="G15" s="213"/>
      <c r="H15" s="214">
        <f>$G$13*H$3</f>
        <v>2.8728311274185014E-2</v>
      </c>
      <c r="I15" s="214">
        <f>$G$13*H$6/$G$6*I$3</f>
        <v>2.7762013302213839E-2</v>
      </c>
      <c r="J15" s="214">
        <f>$G$13*I$6/$G$6*J$3</f>
        <v>2.9825061488845325E-2</v>
      </c>
    </row>
    <row r="16" spans="1:15">
      <c r="A16" t="s">
        <v>74</v>
      </c>
      <c r="F16" s="213"/>
      <c r="G16" s="213"/>
      <c r="H16" s="213"/>
      <c r="I16" s="214">
        <f>$H$13*I$3</f>
        <v>2.7762013302213832E-2</v>
      </c>
      <c r="J16" s="214">
        <f>$H$13*I$6/$H$6*J$3</f>
        <v>2.9825061488845322E-2</v>
      </c>
    </row>
    <row r="17" spans="1:12">
      <c r="A17" t="s">
        <v>75</v>
      </c>
      <c r="F17" s="213"/>
      <c r="G17" s="213"/>
      <c r="H17" s="213"/>
      <c r="I17" s="213"/>
      <c r="J17" s="214">
        <f>$I$13*J$3</f>
        <v>2.9825061488845322E-2</v>
      </c>
    </row>
    <row r="18" spans="1:12">
      <c r="A18" t="s">
        <v>76</v>
      </c>
      <c r="F18" s="213"/>
      <c r="G18" s="213"/>
      <c r="H18" s="213"/>
      <c r="I18" s="213"/>
      <c r="J18" s="214"/>
    </row>
    <row r="19" spans="1:12">
      <c r="A19" t="s">
        <v>19</v>
      </c>
      <c r="B19" t="s">
        <v>137</v>
      </c>
      <c r="C19" t="s">
        <v>50</v>
      </c>
      <c r="F19" s="213">
        <f>SUM(F14:F18)</f>
        <v>0</v>
      </c>
      <c r="G19" s="213">
        <f>SUM(G14:G18)</f>
        <v>3.1146742183124909E-2</v>
      </c>
      <c r="H19" s="213">
        <f t="shared" ref="H19:J19" si="4">SUM(H14:H18)</f>
        <v>5.7456622548370022E-2</v>
      </c>
      <c r="I19" s="213">
        <f t="shared" si="4"/>
        <v>8.3286039906641504E-2</v>
      </c>
      <c r="J19" s="213">
        <f t="shared" si="4"/>
        <v>0.1193002459553813</v>
      </c>
    </row>
    <row r="20" spans="1:12">
      <c r="F20" s="213"/>
      <c r="G20" s="213"/>
      <c r="H20" s="213"/>
      <c r="I20" s="213"/>
      <c r="J20" s="213"/>
    </row>
    <row r="21" spans="1:12">
      <c r="A21" t="s">
        <v>95</v>
      </c>
      <c r="F21" s="213">
        <f>G21*(1+G7)</f>
        <v>1.3147062350496683</v>
      </c>
      <c r="G21" s="213">
        <f>H21*(1+H7)</f>
        <v>1.2654483992823125</v>
      </c>
      <c r="H21" s="213">
        <f>I21*(1+I7)</f>
        <v>1.1899635449723049</v>
      </c>
      <c r="I21" s="213">
        <f>J21*(1+J7)</f>
        <v>1.0742450084715163</v>
      </c>
      <c r="J21" s="213">
        <v>1</v>
      </c>
    </row>
    <row r="22" spans="1:12">
      <c r="A22" t="s">
        <v>138</v>
      </c>
      <c r="C22" t="s">
        <v>50</v>
      </c>
      <c r="F22" s="213">
        <f>F13*F21</f>
        <v>1.3622064547949586</v>
      </c>
      <c r="G22" s="213">
        <f t="shared" ref="G22:J22" si="5">G13*G21</f>
        <v>1.3224526635857372</v>
      </c>
      <c r="H22" s="213">
        <f t="shared" si="5"/>
        <v>1.287071106324218</v>
      </c>
      <c r="I22" s="213">
        <f t="shared" si="5"/>
        <v>1.2548620457719932</v>
      </c>
      <c r="J22" s="213">
        <f t="shared" si="5"/>
        <v>1.2236202938624279</v>
      </c>
    </row>
    <row r="23" spans="1:12">
      <c r="A23" t="s">
        <v>21</v>
      </c>
      <c r="C23" t="s">
        <v>50</v>
      </c>
      <c r="F23" s="213">
        <f>F19*F21</f>
        <v>0</v>
      </c>
      <c r="G23" s="213">
        <f t="shared" ref="G23:J23" si="6">G19*G21</f>
        <v>3.9414595038494295E-2</v>
      </c>
      <c r="H23" s="213">
        <f t="shared" si="6"/>
        <v>6.8371286249794064E-2</v>
      </c>
      <c r="I23" s="213">
        <f t="shared" si="6"/>
        <v>8.9469612645069141E-2</v>
      </c>
      <c r="J23" s="213">
        <f t="shared" si="6"/>
        <v>0.1193002459553813</v>
      </c>
    </row>
    <row r="24" spans="1:12">
      <c r="A24" t="s">
        <v>139</v>
      </c>
      <c r="C24" t="s">
        <v>50</v>
      </c>
      <c r="F24" s="213"/>
      <c r="G24" s="213"/>
      <c r="H24" s="213"/>
      <c r="I24" s="213"/>
      <c r="J24" s="215">
        <f>SUM(F22:J23)</f>
        <v>6.7667683042280737</v>
      </c>
      <c r="L24" s="216"/>
    </row>
    <row r="25" spans="1:12">
      <c r="F25" s="215"/>
      <c r="G25" s="215"/>
      <c r="H25" s="215"/>
      <c r="I25" s="215"/>
    </row>
    <row r="26" spans="1:12">
      <c r="F26" s="213"/>
      <c r="G26" s="213"/>
      <c r="H26" s="213"/>
      <c r="I26" s="213"/>
      <c r="J26" s="213"/>
    </row>
    <row r="27" spans="1:12">
      <c r="A27" s="207" t="s">
        <v>147</v>
      </c>
      <c r="F27" s="217" t="s">
        <v>123</v>
      </c>
      <c r="G27" s="217" t="s">
        <v>124</v>
      </c>
      <c r="H27" s="217" t="s">
        <v>125</v>
      </c>
      <c r="I27" s="217" t="s">
        <v>126</v>
      </c>
      <c r="J27" s="217" t="s">
        <v>127</v>
      </c>
      <c r="L27" s="216"/>
    </row>
    <row r="28" spans="1:12">
      <c r="A28" t="s">
        <v>101</v>
      </c>
      <c r="F28" s="213">
        <f>1/(1+K4)</f>
        <v>0.97308087134753773</v>
      </c>
      <c r="G28" s="213">
        <f>F28/(1+L4)</f>
        <v>0.94644319934688492</v>
      </c>
      <c r="H28" s="213">
        <f>G28/(1+M4)</f>
        <v>0.91987623902578475</v>
      </c>
      <c r="I28" s="213">
        <f>H28/(1+N4)</f>
        <v>0.89339316928984958</v>
      </c>
      <c r="J28" s="213">
        <f>I28/(1+O4)</f>
        <v>0.86692057549173385</v>
      </c>
    </row>
    <row r="29" spans="1:12">
      <c r="A29" t="s">
        <v>140</v>
      </c>
      <c r="F29" s="218">
        <f>$J$24/SUM($F$28:$J$28)</f>
        <v>1.4711280362320267</v>
      </c>
      <c r="G29" s="218">
        <f>$J$24/SUM($F$28:$J$28)</f>
        <v>1.4711280362320267</v>
      </c>
      <c r="H29" s="218">
        <f>$J$24/SUM($F$28:$J$28)</f>
        <v>1.4711280362320267</v>
      </c>
      <c r="I29" s="218">
        <f>$J$24/SUM($F$28:$J$28)</f>
        <v>1.4711280362320267</v>
      </c>
      <c r="J29" s="218">
        <f>$J$24/SUM($F$28:$J$28)</f>
        <v>1.4711280362320267</v>
      </c>
    </row>
    <row r="31" spans="1:12">
      <c r="A31" t="s">
        <v>141</v>
      </c>
      <c r="F31" s="220">
        <f>SUM(F29:J29)</f>
        <v>7.3556401811601333</v>
      </c>
      <c r="G31" s="213"/>
      <c r="H31" s="213"/>
      <c r="I31" s="213"/>
      <c r="J31" s="213"/>
    </row>
    <row r="32" spans="1:12">
      <c r="G32" s="215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0A58D-7768-4C17-A707-FB147877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3229E1-0CF0-4458-B110-BB970D598D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sheet</vt:lpstr>
      <vt:lpstr>Index</vt:lpstr>
      <vt:lpstr>Input | General</vt:lpstr>
      <vt:lpstr>Input | Inflation and Disc Rate</vt:lpstr>
      <vt:lpstr>FY19 Capex</vt:lpstr>
      <vt:lpstr>Input | Reported Capex</vt:lpstr>
      <vt:lpstr>Calc | CESS Revenue Increments</vt:lpstr>
      <vt:lpstr>Output | Models</vt:lpstr>
      <vt:lpstr>Output|FY19 CESS adjustment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Alison Fox</cp:lastModifiedBy>
  <dcterms:created xsi:type="dcterms:W3CDTF">2017-09-22T02:00:05Z</dcterms:created>
  <dcterms:modified xsi:type="dcterms:W3CDTF">2023-01-20T03:32:58Z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2022-11-14T05:44:03Z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2d43f704-a569-473f-858a-2737593349b4</vt:lpwstr>
  </property>
  <property fmtid="{D5CDD505-2E9C-101B-9397-08002B2CF9AE}" pid="9" name="MSIP_Label_895930eb-db2c-4917-a4e2-4c584d225a4f_ContentBits">
    <vt:lpwstr>2</vt:lpwstr>
  </property>
</Properties>
</file>