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xl/customProperty2.bin" ContentType="application/vnd.openxmlformats-officedocument.spreadsheetml.customProperty"/>
  <Override PartName="/xl/drawings/drawing1.xml" ContentType="application/vnd.openxmlformats-officedocument.drawing+xml"/>
  <Override PartName="/xl/comments1.xml" ContentType="application/vnd.openxmlformats-officedocument.spreadsheetml.comments+xml"/>
  <Override PartName="/xl/customProperty3.bin" ContentType="application/vnd.openxmlformats-officedocument.spreadsheetml.customProperty"/>
  <Override PartName="/xl/drawings/drawing2.xml" ContentType="application/vnd.openxmlformats-officedocument.drawing+xml"/>
  <Override PartName="/xl/comments2.xml" ContentType="application/vnd.openxmlformats-officedocument.spreadsheetml.comments+xml"/>
  <Override PartName="/xl/threadedComments/threadedComment1.xml" ContentType="application/vnd.ms-excel.threadedcomments+xml"/>
  <Override PartName="/xl/customProperty4.bin" ContentType="application/vnd.openxmlformats-officedocument.spreadsheetml.customProperty"/>
  <Override PartName="/xl/drawings/drawing3.xml" ContentType="application/vnd.openxmlformats-officedocument.drawing+xml"/>
  <Override PartName="/xl/comments3.xml" ContentType="application/vnd.openxmlformats-officedocument.spreadsheetml.comments+xml"/>
  <Override PartName="/xl/threadedComments/threadedComment2.xml" ContentType="application/vnd.ms-excel.threadedcomments+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ustomProperty5.bin" ContentType="application/vnd.openxmlformats-officedocument.spreadsheetml.customProperty"/>
  <Override PartName="/xl/drawings/drawing4.xml" ContentType="application/vnd.openxmlformats-officedocument.drawing+xml"/>
  <Override PartName="/xl/customProperty6.bin" ContentType="application/vnd.openxmlformats-officedocument.spreadsheetml.customProperty"/>
  <Override PartName="/xl/customProperty7.bin" ContentType="application/vnd.openxmlformats-officedocument.spreadsheetml.customProperty"/>
  <Override PartName="/xl/customProperty8.bin" ContentType="application/vnd.openxmlformats-officedocument.spreadsheetml.customProperty"/>
  <Override PartName="/xl/drawings/drawing5.xml" ContentType="application/vnd.openxmlformats-officedocument.drawing+xml"/>
  <Override PartName="/xl/customProperty9.bin" ContentType="application/vnd.openxmlformats-officedocument.spreadsheetml.customProperty"/>
  <Override PartName="/xl/drawings/drawing6.xml" ContentType="application/vnd.openxmlformats-officedocument.drawing+xml"/>
  <Override PartName="/xl/customProperty10.bin" ContentType="application/vnd.openxmlformats-officedocument.spreadsheetml.customProperty"/>
  <Override PartName="/xl/customProperty11.bin" ContentType="application/vnd.openxmlformats-officedocument.spreadsheetml.customProperty"/>
  <Override PartName="/xl/drawings/drawing7.xml" ContentType="application/vnd.openxmlformats-officedocument.drawing+xml"/>
  <Override PartName="/xl/comments4.xml" ContentType="application/vnd.openxmlformats-officedocument.spreadsheetml.comments+xml"/>
  <Override PartName="/xl/threadedComments/threadedComment3.xml" ContentType="application/vnd.ms-excel.threadedcomments+xml"/>
  <Override PartName="/xl/customProperty12.bin" ContentType="application/vnd.openxmlformats-officedocument.spreadsheetml.customProperty"/>
  <Override PartName="/xl/drawings/drawing8.xml" ContentType="application/vnd.openxmlformats-officedocument.drawing+xml"/>
  <Override PartName="/xl/comments5.xml" ContentType="application/vnd.openxmlformats-officedocument.spreadsheetml.comments+xml"/>
  <Override PartName="/xl/threadedComments/threadedComment4.xml" ContentType="application/vnd.ms-excel.threadedcomments+xml"/>
  <Override PartName="/xl/customProperty13.bin" ContentType="application/vnd.openxmlformats-officedocument.spreadsheetml.customProperty"/>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726"/>
  <workbookPr codeName="ThisWorkbook"/>
  <mc:AlternateContent xmlns:mc="http://schemas.openxmlformats.org/markup-compatibility/2006">
    <mc:Choice Requires="x15">
      <x15ac:absPath xmlns:x15ac="http://schemas.microsoft.com/office/spreadsheetml/2010/11/ac" url="https://ausgrid.sharepoint.com/sites/GRPO365_Reset25-29/Shared Documents/2024-2029 Regulatory Proposal documents/03. Network capex justifications/03.02.16 OT Programs - Network Digitisation/03.02.01 Supporting model and documentation/"/>
    </mc:Choice>
  </mc:AlternateContent>
  <xr:revisionPtr revIDLastSave="28" documentId="13_ncr:1_{9824EA28-8EFA-4471-9AD3-A686A20128BF}" xr6:coauthVersionLast="47" xr6:coauthVersionMax="47" xr10:uidLastSave="{38314CB9-CD3E-4BAC-878B-E648B907EF39}"/>
  <bookViews>
    <workbookView minimized="1" xWindow="-3864" yWindow="2316" windowWidth="27000" windowHeight="15972" tabRatio="774" firstSheet="1" activeTab="1" xr2:uid="{00000000-000D-0000-FFFF-FFFF00000000}"/>
  </bookViews>
  <sheets>
    <sheet name="NOTES" sheetId="60" r:id="rId1"/>
    <sheet name="QuickCalc" sheetId="57" r:id="rId2"/>
    <sheet name="Input" sheetId="7" r:id="rId3"/>
    <sheet name="Output_charts" sheetId="4" r:id="rId4"/>
    <sheet name="Output_tables" sheetId="53" r:id="rId5"/>
    <sheet name="Reference&gt;&gt;&gt;" sheetId="58" r:id="rId6"/>
    <sheet name="User guide" sheetId="56" r:id="rId7"/>
    <sheet name="MODELoverview" sheetId="49" r:id="rId8"/>
    <sheet name="NPVoverview" sheetId="11" r:id="rId9"/>
    <sheet name="Calculations&gt;&gt;&gt;" sheetId="59" r:id="rId10"/>
    <sheet name="Calcs" sheetId="3" r:id="rId11"/>
    <sheet name="Assumptions" sheetId="9" r:id="rId12"/>
    <sheet name="EBSS_CESS" sheetId="51" r:id="rId13"/>
  </sheets>
  <definedNames>
    <definedName name="Augmentation">Assumptions!$C$116:$C$121</definedName>
    <definedName name="Customer">Output_charts!$D$231:$T$268</definedName>
    <definedName name="CustomerConnections">Assumptions!$C$142</definedName>
    <definedName name="Distribution">Assumptions!$C$55:$C$76</definedName>
    <definedName name="IQ_CH" hidden="1">110000</definedName>
    <definedName name="IQ_CQ" hidden="1">5000</definedName>
    <definedName name="IQ_CY" hidden="1">10000</definedName>
    <definedName name="IQ_DAILY" hidden="1">500000</definedName>
    <definedName name="IQ_DNTM" hidden="1">700000</definedName>
    <definedName name="IQ_FH" hidden="1">100000</definedName>
    <definedName name="IQ_FQ" hidden="1">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Y" hidden="1">1000</definedName>
    <definedName name="IQ_LATESTK" hidden="1">1000</definedName>
    <definedName name="IQ_LATESTQ" hidden="1">500</definedName>
    <definedName name="IQ_LTM" hidden="1">2000</definedName>
    <definedName name="IQ_LTMMONTH" hidden="1">120000</definedName>
    <definedName name="IQ_MONTH" hidden="1">15000</definedName>
    <definedName name="IQ_MTD" hidden="1">800000</definedName>
    <definedName name="IQ_NAMES_REVISION_DATE_" hidden="1">41835.6019791667</definedName>
    <definedName name="IQ_NTM" hidden="1">6000</definedName>
    <definedName name="IQ_QTD" hidden="1">750000</definedName>
    <definedName name="IQ_TODAY" hidden="1">0</definedName>
    <definedName name="IQ_WEEK" hidden="1">50000</definedName>
    <definedName name="IQ_YTD" hidden="1">3000</definedName>
    <definedName name="IQ_YTDMONTH" hidden="1">130000</definedName>
    <definedName name="MajorProjects">Assumptions!$C$104:$C$115</definedName>
    <definedName name="Market">Output_charts!$D$272:$T$309</definedName>
    <definedName name="Replacement">Assumptions!$C$122:$C$141</definedName>
    <definedName name="shareholder">Output_charts!$D$188:$T$223</definedName>
    <definedName name="Transmission">Assumptions!$C$77:$C$100</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V281" i="7" l="1"/>
  <c r="V187" i="3" s="1"/>
  <c r="V268" i="3" s="1"/>
  <c r="V284" i="7"/>
  <c r="V190" i="3" s="1"/>
  <c r="V271" i="3" s="1"/>
  <c r="H413" i="3"/>
  <c r="S413" i="3"/>
  <c r="J413" i="3"/>
  <c r="H491" i="3"/>
  <c r="G491" i="3"/>
  <c r="J491" i="3"/>
  <c r="D491" i="3"/>
  <c r="I188" i="9"/>
  <c r="G413" i="3"/>
  <c r="D413" i="3"/>
  <c r="G192" i="9"/>
  <c r="T413" i="3"/>
  <c r="V413" i="3"/>
  <c r="R413" i="3"/>
  <c r="U413" i="3"/>
  <c r="B16" i="60"/>
  <c r="B15" i="60"/>
  <c r="B7" i="60"/>
  <c r="B8" i="60"/>
  <c r="B9" i="60"/>
  <c r="B10" i="60"/>
  <c r="B11" i="60"/>
  <c r="B12" i="60"/>
  <c r="B13" i="60"/>
  <c r="B14" i="60"/>
  <c r="J29" i="4"/>
  <c r="AG325" i="4"/>
  <c r="K377" i="4"/>
  <c r="K29" i="4"/>
  <c r="E20" i="57"/>
  <c r="E2" i="57"/>
  <c r="F9" i="57"/>
  <c r="F20" i="57" s="1"/>
  <c r="F2" i="57"/>
  <c r="J133" i="3"/>
  <c r="I133" i="3"/>
  <c r="D133" i="3"/>
  <c r="AH325" i="4"/>
  <c r="L377" i="4"/>
  <c r="G9" i="57"/>
  <c r="R276" i="7"/>
  <c r="R216" i="7"/>
  <c r="R195" i="7"/>
  <c r="R184" i="7"/>
  <c r="R173" i="7"/>
  <c r="R161" i="7"/>
  <c r="R143" i="7"/>
  <c r="R4" i="7"/>
  <c r="R127" i="7"/>
  <c r="R67" i="7"/>
  <c r="F21" i="53"/>
  <c r="BD59" i="53"/>
  <c r="BD60" i="53"/>
  <c r="BD61" i="53"/>
  <c r="BD62" i="53"/>
  <c r="BD44" i="53"/>
  <c r="BD45" i="53"/>
  <c r="BD46" i="53"/>
  <c r="BD47" i="53"/>
  <c r="BD49" i="53"/>
  <c r="AQ59" i="53"/>
  <c r="AR59" i="53"/>
  <c r="AS59" i="53"/>
  <c r="AT59" i="53"/>
  <c r="AU59" i="53"/>
  <c r="AV59" i="53"/>
  <c r="AW59" i="53"/>
  <c r="AX59" i="53"/>
  <c r="AY59" i="53"/>
  <c r="AZ59" i="53"/>
  <c r="BA59" i="53"/>
  <c r="BB59" i="53"/>
  <c r="BC59" i="53"/>
  <c r="AQ60" i="53"/>
  <c r="AR60" i="53"/>
  <c r="AS60" i="53"/>
  <c r="AT60" i="53"/>
  <c r="AU60" i="53"/>
  <c r="AV60" i="53"/>
  <c r="AW60" i="53"/>
  <c r="AX60" i="53"/>
  <c r="AY60" i="53"/>
  <c r="AZ60" i="53"/>
  <c r="BA60" i="53"/>
  <c r="BB60" i="53"/>
  <c r="BC60" i="53"/>
  <c r="AQ61" i="53"/>
  <c r="AR61" i="53"/>
  <c r="AS61" i="53"/>
  <c r="AT61" i="53"/>
  <c r="AU61" i="53"/>
  <c r="AV61" i="53"/>
  <c r="AW61" i="53"/>
  <c r="AX61" i="53"/>
  <c r="AY61" i="53"/>
  <c r="AZ61" i="53"/>
  <c r="BA61" i="53"/>
  <c r="BB61" i="53"/>
  <c r="BC61" i="53"/>
  <c r="AQ62" i="53"/>
  <c r="AR62" i="53"/>
  <c r="AS62" i="53"/>
  <c r="AT62" i="53"/>
  <c r="AU62" i="53"/>
  <c r="AV62" i="53"/>
  <c r="AW62" i="53"/>
  <c r="AX62" i="53"/>
  <c r="AY62" i="53"/>
  <c r="AZ62" i="53"/>
  <c r="BA62" i="53"/>
  <c r="BB62" i="53"/>
  <c r="BC62" i="53"/>
  <c r="AQ44" i="53"/>
  <c r="AR44" i="53"/>
  <c r="AS44" i="53"/>
  <c r="AT44" i="53"/>
  <c r="AU44" i="53"/>
  <c r="AV44" i="53"/>
  <c r="AW44" i="53"/>
  <c r="AX44" i="53"/>
  <c r="AY44" i="53"/>
  <c r="AZ44" i="53"/>
  <c r="BA44" i="53"/>
  <c r="BB44" i="53"/>
  <c r="BC44" i="53"/>
  <c r="AQ45" i="53"/>
  <c r="AR45" i="53"/>
  <c r="AS45" i="53"/>
  <c r="AT45" i="53"/>
  <c r="AU45" i="53"/>
  <c r="AV45" i="53"/>
  <c r="AW45" i="53"/>
  <c r="AX45" i="53"/>
  <c r="AY45" i="53"/>
  <c r="AZ45" i="53"/>
  <c r="BA45" i="53"/>
  <c r="BB45" i="53"/>
  <c r="BC45" i="53"/>
  <c r="AQ46" i="53"/>
  <c r="AR46" i="53"/>
  <c r="AS46" i="53"/>
  <c r="AT46" i="53"/>
  <c r="AU46" i="53"/>
  <c r="AV46" i="53"/>
  <c r="AW46" i="53"/>
  <c r="AX46" i="53"/>
  <c r="AY46" i="53"/>
  <c r="AZ46" i="53"/>
  <c r="BA46" i="53"/>
  <c r="BB46" i="53"/>
  <c r="BC46" i="53"/>
  <c r="AQ47" i="53"/>
  <c r="AR47" i="53"/>
  <c r="AS47" i="53"/>
  <c r="AT47" i="53"/>
  <c r="AU47" i="53"/>
  <c r="AV47" i="53"/>
  <c r="AW47" i="53"/>
  <c r="AX47" i="53"/>
  <c r="AY47" i="53"/>
  <c r="AZ47" i="53"/>
  <c r="BA47" i="53"/>
  <c r="BB47" i="53"/>
  <c r="BC47" i="53"/>
  <c r="AQ49" i="53"/>
  <c r="AR49" i="53"/>
  <c r="AS49" i="53"/>
  <c r="AT49" i="53"/>
  <c r="AU49" i="53"/>
  <c r="AV49" i="53"/>
  <c r="AW49" i="53"/>
  <c r="AX49" i="53"/>
  <c r="AY49" i="53"/>
  <c r="AZ49" i="53"/>
  <c r="BA49" i="53"/>
  <c r="BB49" i="53"/>
  <c r="BC49" i="53"/>
  <c r="F58" i="53"/>
  <c r="F43" i="53"/>
  <c r="G7" i="53"/>
  <c r="G43" i="53"/>
  <c r="M377" i="4"/>
  <c r="AI325" i="4"/>
  <c r="L29" i="4"/>
  <c r="H9" i="57"/>
  <c r="I9" i="57" s="1"/>
  <c r="G20" i="57"/>
  <c r="G2" i="57"/>
  <c r="H7" i="53"/>
  <c r="H58" i="53"/>
  <c r="G58" i="53"/>
  <c r="G21" i="53"/>
  <c r="N377" i="4"/>
  <c r="AJ325" i="4"/>
  <c r="M29" i="4"/>
  <c r="H20" i="57"/>
  <c r="I7" i="53"/>
  <c r="H21" i="53"/>
  <c r="H43" i="53"/>
  <c r="S75" i="7"/>
  <c r="T75" i="7"/>
  <c r="T70" i="7" s="1"/>
  <c r="U75" i="7"/>
  <c r="U70" i="7" s="1"/>
  <c r="V75" i="7"/>
  <c r="V70" i="7" s="1"/>
  <c r="V33" i="3" s="1"/>
  <c r="W75" i="7"/>
  <c r="W70" i="7" s="1"/>
  <c r="W33" i="3" s="1"/>
  <c r="X75" i="7"/>
  <c r="X70" i="7" s="1"/>
  <c r="Y75" i="7"/>
  <c r="Q36" i="4" s="1"/>
  <c r="Z75" i="7"/>
  <c r="AA75" i="7"/>
  <c r="AA70" i="7" s="1"/>
  <c r="AA33" i="3" s="1"/>
  <c r="AB75" i="7"/>
  <c r="AC75" i="7"/>
  <c r="AD75" i="7"/>
  <c r="AE75" i="7"/>
  <c r="AF75" i="7"/>
  <c r="AG75" i="7"/>
  <c r="AH75" i="7"/>
  <c r="AI75" i="7"/>
  <c r="AJ75" i="7"/>
  <c r="AK75" i="7"/>
  <c r="AL75" i="7"/>
  <c r="AM75" i="7"/>
  <c r="AN75" i="7"/>
  <c r="AO75" i="7"/>
  <c r="AP75" i="7"/>
  <c r="AQ75" i="7"/>
  <c r="AR75" i="7"/>
  <c r="AS75" i="7"/>
  <c r="AT75" i="7"/>
  <c r="AU75" i="7"/>
  <c r="AV75" i="7"/>
  <c r="AW75" i="7"/>
  <c r="AX75" i="7"/>
  <c r="AY75" i="7"/>
  <c r="AZ75" i="7"/>
  <c r="BA75" i="7"/>
  <c r="BB75" i="7"/>
  <c r="BC75" i="7"/>
  <c r="AQ48" i="53"/>
  <c r="BD75" i="7"/>
  <c r="AR48" i="53"/>
  <c r="BE75" i="7"/>
  <c r="AS48" i="53"/>
  <c r="BF75" i="7"/>
  <c r="AT48" i="53"/>
  <c r="BG75" i="7"/>
  <c r="AU48" i="53"/>
  <c r="BH75" i="7"/>
  <c r="AV48" i="53"/>
  <c r="BI75" i="7"/>
  <c r="AW48" i="53"/>
  <c r="BJ75" i="7"/>
  <c r="AX48" i="53"/>
  <c r="BK75" i="7"/>
  <c r="AY48" i="53"/>
  <c r="BL75" i="7"/>
  <c r="AZ48" i="53"/>
  <c r="BM75" i="7"/>
  <c r="BA48" i="53"/>
  <c r="BN75" i="7"/>
  <c r="BB48" i="53"/>
  <c r="BO75" i="7"/>
  <c r="BC48" i="53"/>
  <c r="BP75" i="7"/>
  <c r="BD48" i="53"/>
  <c r="R75" i="7"/>
  <c r="S201" i="7"/>
  <c r="T201" i="7"/>
  <c r="T156" i="3"/>
  <c r="T157" i="3" s="1"/>
  <c r="U201" i="7"/>
  <c r="U156" i="3" s="1"/>
  <c r="U157" i="3" s="1"/>
  <c r="V201" i="7"/>
  <c r="V156" i="3" s="1"/>
  <c r="V157" i="3" s="1"/>
  <c r="W201" i="7"/>
  <c r="W156" i="3" s="1"/>
  <c r="W157" i="3" s="1"/>
  <c r="X201" i="7"/>
  <c r="X156" i="3" s="1"/>
  <c r="X157" i="3" s="1"/>
  <c r="P45" i="4" s="1"/>
  <c r="Y201" i="7"/>
  <c r="Y156" i="3" s="1"/>
  <c r="Y157" i="3" s="1"/>
  <c r="Z201" i="7"/>
  <c r="Z156" i="3" s="1"/>
  <c r="Z157" i="3" s="1"/>
  <c r="AA201" i="7"/>
  <c r="AA156" i="3"/>
  <c r="AB201" i="7"/>
  <c r="AB156" i="3"/>
  <c r="AC201" i="7"/>
  <c r="AD201" i="7"/>
  <c r="AD156" i="3"/>
  <c r="AE201" i="7"/>
  <c r="AE156" i="3"/>
  <c r="AF201" i="7"/>
  <c r="AF156" i="3"/>
  <c r="AG201" i="7"/>
  <c r="AG156" i="3"/>
  <c r="AH201" i="7"/>
  <c r="AH156" i="3"/>
  <c r="AI201" i="7"/>
  <c r="AI156" i="3"/>
  <c r="AJ201" i="7"/>
  <c r="AJ156" i="3"/>
  <c r="AK201" i="7"/>
  <c r="AK156" i="3"/>
  <c r="AL201" i="7"/>
  <c r="AL156" i="3"/>
  <c r="AM201" i="7"/>
  <c r="AM156" i="3"/>
  <c r="AN201" i="7"/>
  <c r="AN156" i="3"/>
  <c r="AO201" i="7"/>
  <c r="AO156" i="3"/>
  <c r="AP201" i="7"/>
  <c r="AP156" i="3"/>
  <c r="AQ201" i="7"/>
  <c r="AQ156" i="3"/>
  <c r="AR201" i="7"/>
  <c r="AR156" i="3"/>
  <c r="AS201" i="7"/>
  <c r="AS156" i="3"/>
  <c r="AT201" i="7"/>
  <c r="AT156" i="3"/>
  <c r="AU201" i="7"/>
  <c r="AU156" i="3"/>
  <c r="AV201" i="7"/>
  <c r="AV156" i="3"/>
  <c r="AW201" i="7"/>
  <c r="AW156" i="3"/>
  <c r="AX201" i="7"/>
  <c r="AX156" i="3"/>
  <c r="AY201" i="7"/>
  <c r="AY156" i="3"/>
  <c r="AZ201" i="7"/>
  <c r="AZ156" i="3"/>
  <c r="BA201" i="7"/>
  <c r="BA156" i="3"/>
  <c r="BB201" i="7"/>
  <c r="BB156" i="3"/>
  <c r="BC201" i="7"/>
  <c r="BC156" i="3"/>
  <c r="BD201" i="7"/>
  <c r="BD156" i="3"/>
  <c r="BE201" i="7"/>
  <c r="BE156" i="3"/>
  <c r="BF201" i="7"/>
  <c r="BF156" i="3"/>
  <c r="BG201" i="7"/>
  <c r="BG156" i="3"/>
  <c r="BH201" i="7"/>
  <c r="BH156" i="3"/>
  <c r="BI201" i="7"/>
  <c r="BI156" i="3"/>
  <c r="BJ201" i="7"/>
  <c r="BJ156" i="3"/>
  <c r="BK201" i="7"/>
  <c r="BK156" i="3"/>
  <c r="BL201" i="7"/>
  <c r="BL156" i="3"/>
  <c r="BM201" i="7"/>
  <c r="BM156" i="3"/>
  <c r="BN201" i="7"/>
  <c r="BN156" i="3"/>
  <c r="BO201" i="7"/>
  <c r="BO156" i="3"/>
  <c r="BP201" i="7"/>
  <c r="BP156" i="3"/>
  <c r="R201" i="7"/>
  <c r="R156" i="3"/>
  <c r="S147" i="7"/>
  <c r="S73" i="3"/>
  <c r="T147" i="7"/>
  <c r="T73" i="3" s="1"/>
  <c r="U147" i="7"/>
  <c r="U73" i="3" s="1"/>
  <c r="U74" i="3" s="1"/>
  <c r="V147" i="7"/>
  <c r="V73" i="3" s="1"/>
  <c r="W147" i="7"/>
  <c r="W73" i="3" s="1"/>
  <c r="X147" i="7"/>
  <c r="X73" i="3" s="1"/>
  <c r="Y147" i="7"/>
  <c r="Y73" i="3" s="1"/>
  <c r="Y74" i="3" s="1"/>
  <c r="Y124" i="3" s="1"/>
  <c r="Z147" i="7"/>
  <c r="Z73" i="3" s="1"/>
  <c r="AA147" i="7"/>
  <c r="AA73" i="3" s="1"/>
  <c r="AB147" i="7"/>
  <c r="AB73" i="3" s="1"/>
  <c r="AB74" i="3" s="1"/>
  <c r="AB124" i="3" s="1"/>
  <c r="AC147" i="7"/>
  <c r="AC73" i="3"/>
  <c r="AC79" i="3"/>
  <c r="AD147" i="7"/>
  <c r="AD73" i="3"/>
  <c r="AD79" i="3"/>
  <c r="AE147" i="7"/>
  <c r="AE73" i="3"/>
  <c r="AE79" i="3"/>
  <c r="AF147" i="7"/>
  <c r="AF73" i="3"/>
  <c r="AF79" i="3"/>
  <c r="AG147" i="7"/>
  <c r="AG73" i="3"/>
  <c r="AG79" i="3"/>
  <c r="AH147" i="7"/>
  <c r="AH73" i="3"/>
  <c r="AH79" i="3"/>
  <c r="AI147" i="7"/>
  <c r="AI73" i="3"/>
  <c r="AI79" i="3"/>
  <c r="AJ147" i="7"/>
  <c r="AJ73" i="3"/>
  <c r="AJ79" i="3"/>
  <c r="AK147" i="7"/>
  <c r="AK73" i="3"/>
  <c r="AK79" i="3"/>
  <c r="AL147" i="7"/>
  <c r="AL73" i="3"/>
  <c r="AL79" i="3"/>
  <c r="AM147" i="7"/>
  <c r="AM73" i="3"/>
  <c r="AM79" i="3"/>
  <c r="AN147" i="7"/>
  <c r="AN73" i="3"/>
  <c r="AN79" i="3"/>
  <c r="AO147" i="7"/>
  <c r="AO73" i="3"/>
  <c r="AO79" i="3"/>
  <c r="AP147" i="7"/>
  <c r="AP73" i="3"/>
  <c r="AP79" i="3"/>
  <c r="AQ147" i="7"/>
  <c r="AQ73" i="3"/>
  <c r="AQ79" i="3"/>
  <c r="AR147" i="7"/>
  <c r="AR73" i="3"/>
  <c r="AR79" i="3"/>
  <c r="AS147" i="7"/>
  <c r="AS73" i="3"/>
  <c r="AS79" i="3"/>
  <c r="AT147" i="7"/>
  <c r="AT73" i="3"/>
  <c r="AT79" i="3"/>
  <c r="AU147" i="7"/>
  <c r="AU73" i="3"/>
  <c r="AU79" i="3"/>
  <c r="AV147" i="7"/>
  <c r="AV73" i="3"/>
  <c r="AV79" i="3"/>
  <c r="AW147" i="7"/>
  <c r="AW73" i="3"/>
  <c r="AW79" i="3"/>
  <c r="AX147" i="7"/>
  <c r="AX73" i="3"/>
  <c r="AX79" i="3"/>
  <c r="AY147" i="7"/>
  <c r="AY73" i="3"/>
  <c r="AY79" i="3"/>
  <c r="AZ147" i="7"/>
  <c r="AZ73" i="3"/>
  <c r="AZ79" i="3"/>
  <c r="BA147" i="7"/>
  <c r="BA73" i="3"/>
  <c r="BA79" i="3"/>
  <c r="BB147" i="7"/>
  <c r="BB73" i="3"/>
  <c r="BB79" i="3"/>
  <c r="BC147" i="7"/>
  <c r="BC73" i="3"/>
  <c r="BC79" i="3"/>
  <c r="BD147" i="7"/>
  <c r="BD73" i="3"/>
  <c r="BD79" i="3"/>
  <c r="BE147" i="7"/>
  <c r="BE73" i="3"/>
  <c r="BE79" i="3"/>
  <c r="BF147" i="7"/>
  <c r="BF73" i="3"/>
  <c r="BF79" i="3"/>
  <c r="BG147" i="7"/>
  <c r="BG73" i="3"/>
  <c r="BG79" i="3"/>
  <c r="BH147" i="7"/>
  <c r="BH73" i="3"/>
  <c r="BH79" i="3"/>
  <c r="BI147" i="7"/>
  <c r="BI73" i="3"/>
  <c r="BI79" i="3"/>
  <c r="BJ147" i="7"/>
  <c r="BJ73" i="3"/>
  <c r="BJ79" i="3"/>
  <c r="BK147" i="7"/>
  <c r="BK73" i="3"/>
  <c r="BK79" i="3"/>
  <c r="BL147" i="7"/>
  <c r="BL73" i="3"/>
  <c r="BL79" i="3"/>
  <c r="BM147" i="7"/>
  <c r="BM73" i="3"/>
  <c r="BM79" i="3"/>
  <c r="BN147" i="7"/>
  <c r="BN73" i="3"/>
  <c r="BN79" i="3"/>
  <c r="BO147" i="7"/>
  <c r="BO73" i="3"/>
  <c r="BO79" i="3"/>
  <c r="BP147" i="7"/>
  <c r="BP73" i="3"/>
  <c r="BP79" i="3"/>
  <c r="R147" i="7"/>
  <c r="R73" i="3"/>
  <c r="J468" i="3"/>
  <c r="H468" i="3"/>
  <c r="G468" i="3"/>
  <c r="D468" i="3"/>
  <c r="J390" i="3"/>
  <c r="H390" i="3"/>
  <c r="G390" i="3"/>
  <c r="D390" i="3"/>
  <c r="J312" i="3"/>
  <c r="H312" i="3"/>
  <c r="G312" i="3"/>
  <c r="D312" i="3"/>
  <c r="J232" i="3"/>
  <c r="H232" i="3"/>
  <c r="G232" i="3"/>
  <c r="G169" i="9"/>
  <c r="R128" i="3"/>
  <c r="R129" i="3"/>
  <c r="D79" i="3"/>
  <c r="D78" i="3"/>
  <c r="D77" i="3"/>
  <c r="S71" i="3"/>
  <c r="T71" i="3"/>
  <c r="U71" i="3"/>
  <c r="V71" i="3"/>
  <c r="W71" i="3"/>
  <c r="X71" i="3"/>
  <c r="Y71" i="3"/>
  <c r="Y77" i="3"/>
  <c r="Z71" i="3"/>
  <c r="Z77" i="3"/>
  <c r="AA71" i="3"/>
  <c r="AA77" i="3"/>
  <c r="AB71" i="3"/>
  <c r="AC71" i="3"/>
  <c r="AC77" i="3"/>
  <c r="AD71" i="3"/>
  <c r="AD77" i="3"/>
  <c r="AE71" i="3"/>
  <c r="AE77" i="3"/>
  <c r="AF71" i="3"/>
  <c r="AG71" i="3"/>
  <c r="AG77" i="3"/>
  <c r="AH71" i="3"/>
  <c r="AH77" i="3"/>
  <c r="AI71" i="3"/>
  <c r="AI77" i="3"/>
  <c r="AJ71" i="3"/>
  <c r="AK71" i="3"/>
  <c r="AK77" i="3"/>
  <c r="AL71" i="3"/>
  <c r="AL77" i="3"/>
  <c r="AM71" i="3"/>
  <c r="AM77" i="3"/>
  <c r="AN71" i="3"/>
  <c r="AN77" i="3"/>
  <c r="AO71" i="3"/>
  <c r="AO77" i="3"/>
  <c r="AP71" i="3"/>
  <c r="AP77" i="3"/>
  <c r="AQ71" i="3"/>
  <c r="AQ77" i="3"/>
  <c r="AR71" i="3"/>
  <c r="AS71" i="3"/>
  <c r="AS77" i="3"/>
  <c r="AT71" i="3"/>
  <c r="AT77" i="3"/>
  <c r="AU71" i="3"/>
  <c r="AU77" i="3"/>
  <c r="AV71" i="3"/>
  <c r="AW71" i="3"/>
  <c r="AW77" i="3"/>
  <c r="AX71" i="3"/>
  <c r="AX77" i="3"/>
  <c r="AY71" i="3"/>
  <c r="AY77" i="3"/>
  <c r="AZ71" i="3"/>
  <c r="BA71" i="3"/>
  <c r="BA77" i="3"/>
  <c r="BB71" i="3"/>
  <c r="BB77" i="3"/>
  <c r="BC71" i="3"/>
  <c r="BC77" i="3"/>
  <c r="BD71" i="3"/>
  <c r="BD77" i="3"/>
  <c r="BE71" i="3"/>
  <c r="BE77" i="3"/>
  <c r="BF71" i="3"/>
  <c r="BF77" i="3"/>
  <c r="BG71" i="3"/>
  <c r="BG77" i="3"/>
  <c r="BH71" i="3"/>
  <c r="BI71" i="3"/>
  <c r="BI77" i="3"/>
  <c r="BJ71" i="3"/>
  <c r="BJ77" i="3"/>
  <c r="BK71" i="3"/>
  <c r="BK77" i="3"/>
  <c r="BL71" i="3"/>
  <c r="BM71" i="3"/>
  <c r="BM77" i="3"/>
  <c r="BN71" i="3"/>
  <c r="BN77" i="3"/>
  <c r="BO71" i="3"/>
  <c r="BO77" i="3"/>
  <c r="BP71" i="3"/>
  <c r="S72" i="3"/>
  <c r="S78" i="3"/>
  <c r="T72" i="3"/>
  <c r="T78" i="3"/>
  <c r="U72" i="3"/>
  <c r="U78" i="3"/>
  <c r="V72" i="3"/>
  <c r="V78" i="3"/>
  <c r="W72" i="3"/>
  <c r="W78" i="3"/>
  <c r="X72" i="3"/>
  <c r="X78" i="3"/>
  <c r="Y72" i="3"/>
  <c r="Y78" i="3"/>
  <c r="Z72" i="3"/>
  <c r="Z78" i="3"/>
  <c r="AA72" i="3"/>
  <c r="AA78" i="3"/>
  <c r="AB72" i="3"/>
  <c r="AB78" i="3"/>
  <c r="AC72" i="3"/>
  <c r="AC78" i="3"/>
  <c r="AD72" i="3"/>
  <c r="AD78" i="3"/>
  <c r="AE72" i="3"/>
  <c r="AE78" i="3"/>
  <c r="AF72" i="3"/>
  <c r="AF78" i="3"/>
  <c r="AG72" i="3"/>
  <c r="AG78" i="3"/>
  <c r="AH72" i="3"/>
  <c r="AH78" i="3"/>
  <c r="AI72" i="3"/>
  <c r="AI78" i="3"/>
  <c r="AJ72" i="3"/>
  <c r="AJ78" i="3"/>
  <c r="AK72" i="3"/>
  <c r="AK78" i="3"/>
  <c r="AL72" i="3"/>
  <c r="AL78" i="3"/>
  <c r="AM72" i="3"/>
  <c r="AM78" i="3"/>
  <c r="AN72" i="3"/>
  <c r="AN78" i="3"/>
  <c r="AO72" i="3"/>
  <c r="AO78" i="3"/>
  <c r="AP72" i="3"/>
  <c r="AP78" i="3"/>
  <c r="AQ72" i="3"/>
  <c r="AQ78" i="3"/>
  <c r="AR72" i="3"/>
  <c r="AR78" i="3"/>
  <c r="AS72" i="3"/>
  <c r="AS78" i="3"/>
  <c r="AT72" i="3"/>
  <c r="AT78" i="3"/>
  <c r="AU72" i="3"/>
  <c r="AU78" i="3"/>
  <c r="AV72" i="3"/>
  <c r="AV78" i="3"/>
  <c r="AW72" i="3"/>
  <c r="AW78" i="3"/>
  <c r="AX72" i="3"/>
  <c r="AX78" i="3"/>
  <c r="AY72" i="3"/>
  <c r="AY78" i="3"/>
  <c r="AZ72" i="3"/>
  <c r="AZ78" i="3"/>
  <c r="BA72" i="3"/>
  <c r="BA78" i="3"/>
  <c r="BB72" i="3"/>
  <c r="BB78" i="3"/>
  <c r="BC72" i="3"/>
  <c r="BC78" i="3"/>
  <c r="BD72" i="3"/>
  <c r="BD78" i="3"/>
  <c r="BE72" i="3"/>
  <c r="BE78" i="3"/>
  <c r="BF72" i="3"/>
  <c r="BF78" i="3"/>
  <c r="BG72" i="3"/>
  <c r="BG78" i="3"/>
  <c r="BH72" i="3"/>
  <c r="BH78" i="3"/>
  <c r="BI72" i="3"/>
  <c r="BI78" i="3"/>
  <c r="BJ72" i="3"/>
  <c r="BJ78" i="3"/>
  <c r="BK72" i="3"/>
  <c r="BK78" i="3"/>
  <c r="BL72" i="3"/>
  <c r="BL78" i="3"/>
  <c r="BM72" i="3"/>
  <c r="BM78" i="3"/>
  <c r="BN72" i="3"/>
  <c r="BN78" i="3"/>
  <c r="BO72" i="3"/>
  <c r="BO78" i="3"/>
  <c r="BP72" i="3"/>
  <c r="BP78" i="3"/>
  <c r="R72" i="3"/>
  <c r="R78" i="3"/>
  <c r="R71" i="3"/>
  <c r="R77" i="3"/>
  <c r="D73" i="3"/>
  <c r="D72" i="3"/>
  <c r="D71" i="3"/>
  <c r="D70" i="3"/>
  <c r="D231" i="3"/>
  <c r="D311" i="3"/>
  <c r="J487" i="3"/>
  <c r="H487" i="3"/>
  <c r="G487" i="3"/>
  <c r="J409" i="3"/>
  <c r="H409" i="3"/>
  <c r="G409" i="3"/>
  <c r="J331" i="3"/>
  <c r="H331" i="3"/>
  <c r="G331" i="3"/>
  <c r="S159" i="3"/>
  <c r="T159" i="3"/>
  <c r="U159" i="3"/>
  <c r="V159" i="3"/>
  <c r="W159" i="3"/>
  <c r="X159" i="3"/>
  <c r="Y159" i="3"/>
  <c r="Z159" i="3"/>
  <c r="AA159" i="3"/>
  <c r="AB159" i="3"/>
  <c r="AC159" i="3"/>
  <c r="AD159" i="3"/>
  <c r="AE159" i="3"/>
  <c r="AF159" i="3"/>
  <c r="AG159" i="3"/>
  <c r="AH159" i="3"/>
  <c r="AI159" i="3"/>
  <c r="AJ159" i="3"/>
  <c r="AK159" i="3"/>
  <c r="AL159" i="3"/>
  <c r="AM159" i="3"/>
  <c r="AN159" i="3"/>
  <c r="AO159" i="3"/>
  <c r="AP159" i="3"/>
  <c r="AQ159" i="3"/>
  <c r="AR159" i="3"/>
  <c r="AS159" i="3"/>
  <c r="AT159" i="3"/>
  <c r="AU159" i="3"/>
  <c r="AV159" i="3"/>
  <c r="AW159" i="3"/>
  <c r="AX159" i="3"/>
  <c r="AY159" i="3"/>
  <c r="AZ159" i="3"/>
  <c r="BA159" i="3"/>
  <c r="BB159" i="3"/>
  <c r="BC159" i="3"/>
  <c r="BD159" i="3"/>
  <c r="BE159" i="3"/>
  <c r="BF159" i="3"/>
  <c r="BG159" i="3"/>
  <c r="BH159" i="3"/>
  <c r="BI159" i="3"/>
  <c r="BJ159" i="3"/>
  <c r="BK159" i="3"/>
  <c r="BL159" i="3"/>
  <c r="BM159" i="3"/>
  <c r="BN159" i="3"/>
  <c r="BO159" i="3"/>
  <c r="BP159" i="3"/>
  <c r="R159" i="3"/>
  <c r="S154" i="3"/>
  <c r="T154" i="3"/>
  <c r="U154" i="3"/>
  <c r="V154" i="3"/>
  <c r="W154" i="3"/>
  <c r="X154" i="3"/>
  <c r="Y154" i="3"/>
  <c r="Z154" i="3"/>
  <c r="AA154" i="3"/>
  <c r="AB154" i="3"/>
  <c r="AC154" i="3"/>
  <c r="AD154" i="3"/>
  <c r="AE154" i="3"/>
  <c r="AF154" i="3"/>
  <c r="AG154" i="3"/>
  <c r="AH154" i="3"/>
  <c r="AI154" i="3"/>
  <c r="AJ154" i="3"/>
  <c r="AK154" i="3"/>
  <c r="AL154" i="3"/>
  <c r="AM154" i="3"/>
  <c r="AN154" i="3"/>
  <c r="AO154" i="3"/>
  <c r="AP154" i="3"/>
  <c r="AQ154" i="3"/>
  <c r="AR154" i="3"/>
  <c r="AS154" i="3"/>
  <c r="AT154" i="3"/>
  <c r="AU154" i="3"/>
  <c r="AV154" i="3"/>
  <c r="AW154" i="3"/>
  <c r="AX154" i="3"/>
  <c r="AY154" i="3"/>
  <c r="AZ154" i="3"/>
  <c r="BA154" i="3"/>
  <c r="BB154" i="3"/>
  <c r="BC154" i="3"/>
  <c r="BD154" i="3"/>
  <c r="BE154" i="3"/>
  <c r="BF154" i="3"/>
  <c r="BG154" i="3"/>
  <c r="BH154" i="3"/>
  <c r="BI154" i="3"/>
  <c r="BJ154" i="3"/>
  <c r="BK154" i="3"/>
  <c r="BL154" i="3"/>
  <c r="BM154" i="3"/>
  <c r="BN154" i="3"/>
  <c r="BO154" i="3"/>
  <c r="BP154" i="3"/>
  <c r="S155" i="3"/>
  <c r="T155" i="3"/>
  <c r="U155" i="3"/>
  <c r="V155" i="3"/>
  <c r="W155" i="3"/>
  <c r="X155" i="3"/>
  <c r="Y155" i="3"/>
  <c r="Z155" i="3"/>
  <c r="AA155" i="3"/>
  <c r="AB155" i="3"/>
  <c r="AC155" i="3"/>
  <c r="AD155" i="3"/>
  <c r="AE155" i="3"/>
  <c r="AF155" i="3"/>
  <c r="AG155" i="3"/>
  <c r="AH155" i="3"/>
  <c r="AI155" i="3"/>
  <c r="AJ155" i="3"/>
  <c r="AK155" i="3"/>
  <c r="AL155" i="3"/>
  <c r="AM155" i="3"/>
  <c r="AN155" i="3"/>
  <c r="AO155" i="3"/>
  <c r="AP155" i="3"/>
  <c r="AQ155" i="3"/>
  <c r="AR155" i="3"/>
  <c r="AS155" i="3"/>
  <c r="AT155" i="3"/>
  <c r="AU155" i="3"/>
  <c r="AV155" i="3"/>
  <c r="AW155" i="3"/>
  <c r="AX155" i="3"/>
  <c r="AY155" i="3"/>
  <c r="AZ155" i="3"/>
  <c r="BA155" i="3"/>
  <c r="BB155" i="3"/>
  <c r="BC155" i="3"/>
  <c r="BD155" i="3"/>
  <c r="BE155" i="3"/>
  <c r="BF155" i="3"/>
  <c r="BG155" i="3"/>
  <c r="BH155" i="3"/>
  <c r="BI155" i="3"/>
  <c r="BJ155" i="3"/>
  <c r="BK155" i="3"/>
  <c r="BL155" i="3"/>
  <c r="BM155" i="3"/>
  <c r="BN155" i="3"/>
  <c r="BO155" i="3"/>
  <c r="BP155" i="3"/>
  <c r="AC156" i="3"/>
  <c r="R155" i="3"/>
  <c r="R154" i="3"/>
  <c r="J251" i="3"/>
  <c r="H251" i="3"/>
  <c r="G251" i="3"/>
  <c r="G188" i="9"/>
  <c r="S278" i="7"/>
  <c r="S184" i="3" s="1"/>
  <c r="S265" i="3" s="1"/>
  <c r="T278" i="7"/>
  <c r="T184" i="3" s="1"/>
  <c r="T265" i="3" s="1"/>
  <c r="AI339" i="4" s="1"/>
  <c r="AI328" i="4" s="1"/>
  <c r="U278" i="7"/>
  <c r="V278" i="7"/>
  <c r="V184" i="3" s="1"/>
  <c r="V265" i="3" s="1"/>
  <c r="AK339" i="4" s="1"/>
  <c r="AK328" i="4" s="1"/>
  <c r="W278" i="7"/>
  <c r="W184" i="3" s="1"/>
  <c r="X278" i="7"/>
  <c r="X184" i="3" s="1"/>
  <c r="X265" i="3" s="1"/>
  <c r="Y278" i="7"/>
  <c r="Y184" i="3" s="1"/>
  <c r="Y265" i="3" s="1"/>
  <c r="Z278" i="7"/>
  <c r="Z184" i="3" s="1"/>
  <c r="Z265" i="3" s="1"/>
  <c r="AA278" i="7"/>
  <c r="AB278" i="7"/>
  <c r="AB184" i="3" s="1"/>
  <c r="AB265" i="3" s="1"/>
  <c r="AC278" i="7"/>
  <c r="AD278" i="7"/>
  <c r="AD184" i="3" s="1"/>
  <c r="AD265" i="3" s="1"/>
  <c r="AD421" i="3" s="1"/>
  <c r="AE278" i="7"/>
  <c r="AE184" i="3" s="1"/>
  <c r="AE265" i="3" s="1"/>
  <c r="AF278" i="7"/>
  <c r="AF184" i="3" s="1"/>
  <c r="AF265" i="3" s="1"/>
  <c r="AG278" i="7"/>
  <c r="AH278" i="7"/>
  <c r="AH184" i="3" s="1"/>
  <c r="AH265" i="3" s="1"/>
  <c r="AI278" i="7"/>
  <c r="AI184" i="3" s="1"/>
  <c r="AI265" i="3" s="1"/>
  <c r="AX339" i="4" s="1"/>
  <c r="AX328" i="4" s="1"/>
  <c r="AJ278" i="7"/>
  <c r="AJ184" i="3" s="1"/>
  <c r="AJ265" i="3" s="1"/>
  <c r="AJ421" i="3" s="1"/>
  <c r="AK278" i="7"/>
  <c r="AL278" i="7"/>
  <c r="AL184" i="3" s="1"/>
  <c r="AL265" i="3" s="1"/>
  <c r="AM278" i="7"/>
  <c r="AN278" i="7"/>
  <c r="AN184" i="3" s="1"/>
  <c r="AN265" i="3" s="1"/>
  <c r="AO278" i="7"/>
  <c r="AP278" i="7"/>
  <c r="AP184" i="3" s="1"/>
  <c r="AQ278" i="7"/>
  <c r="AQ184" i="3" s="1"/>
  <c r="AQ265" i="3" s="1"/>
  <c r="AR278" i="7"/>
  <c r="AR184" i="3" s="1"/>
  <c r="AR265" i="3" s="1"/>
  <c r="AS278" i="7"/>
  <c r="AT278" i="7"/>
  <c r="AT184" i="3" s="1"/>
  <c r="AU278" i="7"/>
  <c r="AV278" i="7"/>
  <c r="AV184" i="3" s="1"/>
  <c r="AV265" i="3" s="1"/>
  <c r="AW278" i="7"/>
  <c r="AX278" i="7"/>
  <c r="AX184" i="3" s="1"/>
  <c r="AY278" i="7"/>
  <c r="AY184" i="3" s="1"/>
  <c r="AY265" i="3" s="1"/>
  <c r="AZ278" i="7"/>
  <c r="AZ184" i="3" s="1"/>
  <c r="AZ265" i="3" s="1"/>
  <c r="BA278" i="7"/>
  <c r="BB278" i="7"/>
  <c r="BB184" i="3" s="1"/>
  <c r="BC278" i="7"/>
  <c r="BC184" i="3" s="1"/>
  <c r="BC265" i="3" s="1"/>
  <c r="BD278" i="7"/>
  <c r="BD184" i="3" s="1"/>
  <c r="BD265" i="3" s="1"/>
  <c r="BD342" i="3" s="1"/>
  <c r="BE278" i="7"/>
  <c r="BF278" i="7"/>
  <c r="BF184" i="3" s="1"/>
  <c r="BF265" i="3" s="1"/>
  <c r="BU339" i="4" s="1"/>
  <c r="BU328" i="4" s="1"/>
  <c r="BG278" i="7"/>
  <c r="BG184" i="3" s="1"/>
  <c r="BG265" i="3" s="1"/>
  <c r="BH278" i="7"/>
  <c r="BH184" i="3" s="1"/>
  <c r="BH265" i="3" s="1"/>
  <c r="BW339" i="4" s="1"/>
  <c r="BW328" i="4" s="1"/>
  <c r="BI278" i="7"/>
  <c r="BJ278" i="7"/>
  <c r="BJ184" i="3" s="1"/>
  <c r="BK278" i="7"/>
  <c r="BK184" i="3" s="1"/>
  <c r="BK265" i="3" s="1"/>
  <c r="BL278" i="7"/>
  <c r="BL184" i="3" s="1"/>
  <c r="BL265" i="3" s="1"/>
  <c r="BM278" i="7"/>
  <c r="BN278" i="7"/>
  <c r="BN184" i="3" s="1"/>
  <c r="BO278" i="7"/>
  <c r="BO184" i="3" s="1"/>
  <c r="BO265" i="3" s="1"/>
  <c r="BP278" i="7"/>
  <c r="BP184" i="3" s="1"/>
  <c r="BP265" i="3" s="1"/>
  <c r="BP342" i="3" s="1"/>
  <c r="S279" i="7"/>
  <c r="T279" i="7"/>
  <c r="T185" i="3" s="1"/>
  <c r="U279" i="7"/>
  <c r="U185" i="3" s="1"/>
  <c r="U266" i="3" s="1"/>
  <c r="U343" i="3" s="1"/>
  <c r="V279" i="7"/>
  <c r="V185" i="3" s="1"/>
  <c r="V266" i="3" s="1"/>
  <c r="W279" i="7"/>
  <c r="W185" i="3" s="1"/>
  <c r="W266" i="3" s="1"/>
  <c r="W422" i="3" s="1"/>
  <c r="X279" i="7"/>
  <c r="X185" i="3" s="1"/>
  <c r="X266" i="3" s="1"/>
  <c r="Y279" i="7"/>
  <c r="Y185" i="3" s="1"/>
  <c r="Y266" i="3" s="1"/>
  <c r="Y343" i="3" s="1"/>
  <c r="Z279" i="7"/>
  <c r="Z185" i="3" s="1"/>
  <c r="Z266" i="3" s="1"/>
  <c r="Z422" i="3" s="1"/>
  <c r="AA279" i="7"/>
  <c r="AB279" i="7"/>
  <c r="AB185" i="3" s="1"/>
  <c r="AB266" i="3" s="1"/>
  <c r="AB343" i="3" s="1"/>
  <c r="AC279" i="7"/>
  <c r="AC185" i="3" s="1"/>
  <c r="AC266" i="3" s="1"/>
  <c r="AR340" i="4" s="1"/>
  <c r="AD279" i="7"/>
  <c r="AD185" i="3" s="1"/>
  <c r="AD266" i="3" s="1"/>
  <c r="AD422" i="3" s="1"/>
  <c r="AE279" i="7"/>
  <c r="AF279" i="7"/>
  <c r="AF185" i="3" s="1"/>
  <c r="AG279" i="7"/>
  <c r="AH279" i="7"/>
  <c r="AH185" i="3" s="1"/>
  <c r="AH266" i="3" s="1"/>
  <c r="AI279" i="7"/>
  <c r="AJ279" i="7"/>
  <c r="AJ185" i="3" s="1"/>
  <c r="AJ266" i="3" s="1"/>
  <c r="AK279" i="7"/>
  <c r="AK185" i="3" s="1"/>
  <c r="AK266" i="3" s="1"/>
  <c r="AK343" i="3" s="1"/>
  <c r="AL279" i="7"/>
  <c r="AL185" i="3" s="1"/>
  <c r="AL266" i="3" s="1"/>
  <c r="AM279" i="7"/>
  <c r="AN279" i="7"/>
  <c r="AN185" i="3" s="1"/>
  <c r="AN266" i="3" s="1"/>
  <c r="AO279" i="7"/>
  <c r="AP279" i="7"/>
  <c r="AP185" i="3" s="1"/>
  <c r="AP266" i="3" s="1"/>
  <c r="AQ279" i="7"/>
  <c r="AR279" i="7"/>
  <c r="AR185" i="3" s="1"/>
  <c r="AR266" i="3" s="1"/>
  <c r="AS279" i="7"/>
  <c r="AS185" i="3" s="1"/>
  <c r="AT279" i="7"/>
  <c r="AT185" i="3" s="1"/>
  <c r="AT266" i="3" s="1"/>
  <c r="AU279" i="7"/>
  <c r="AV279" i="7"/>
  <c r="AV185" i="3" s="1"/>
  <c r="AV266" i="3" s="1"/>
  <c r="AW279" i="7"/>
  <c r="AW185" i="3" s="1"/>
  <c r="AX279" i="7"/>
  <c r="AX185" i="3" s="1"/>
  <c r="AX266" i="3" s="1"/>
  <c r="AX343" i="3" s="1"/>
  <c r="AY279" i="7"/>
  <c r="AZ279" i="7"/>
  <c r="AZ185" i="3" s="1"/>
  <c r="BA279" i="7"/>
  <c r="BA185" i="3" s="1"/>
  <c r="BA266" i="3" s="1"/>
  <c r="BB279" i="7"/>
  <c r="BB185" i="3" s="1"/>
  <c r="BB266" i="3" s="1"/>
  <c r="BB343" i="3" s="1"/>
  <c r="BC279" i="7"/>
  <c r="BD279" i="7"/>
  <c r="BD185" i="3" s="1"/>
  <c r="BD266" i="3" s="1"/>
  <c r="BE279" i="7"/>
  <c r="BE185" i="3" s="1"/>
  <c r="BE266" i="3" s="1"/>
  <c r="BF279" i="7"/>
  <c r="BF185" i="3" s="1"/>
  <c r="BF266" i="3" s="1"/>
  <c r="BU340" i="4" s="1"/>
  <c r="BG279" i="7"/>
  <c r="BH279" i="7"/>
  <c r="BH185" i="3" s="1"/>
  <c r="BH266" i="3" s="1"/>
  <c r="BW340" i="4" s="1"/>
  <c r="BI279" i="7"/>
  <c r="BI185" i="3" s="1"/>
  <c r="BI266" i="3" s="1"/>
  <c r="BX340" i="4" s="1"/>
  <c r="BJ279" i="7"/>
  <c r="BJ185" i="3" s="1"/>
  <c r="BJ266" i="3" s="1"/>
  <c r="BK279" i="7"/>
  <c r="BL279" i="7"/>
  <c r="BL185" i="3" s="1"/>
  <c r="BL266" i="3" s="1"/>
  <c r="BM279" i="7"/>
  <c r="BM185" i="3" s="1"/>
  <c r="BM266" i="3" s="1"/>
  <c r="BN279" i="7"/>
  <c r="BN185" i="3" s="1"/>
  <c r="BN266" i="3" s="1"/>
  <c r="BO279" i="7"/>
  <c r="BP279" i="7"/>
  <c r="BP185" i="3" s="1"/>
  <c r="BP266" i="3" s="1"/>
  <c r="BP343" i="3" s="1"/>
  <c r="S280" i="7"/>
  <c r="S186" i="3" s="1"/>
  <c r="S267" i="3" s="1"/>
  <c r="T280" i="7"/>
  <c r="T186" i="3" s="1"/>
  <c r="T267" i="3" s="1"/>
  <c r="U280" i="7"/>
  <c r="U186" i="3" s="1"/>
  <c r="U267" i="3" s="1"/>
  <c r="V280" i="7"/>
  <c r="V186" i="3" s="1"/>
  <c r="W280" i="7"/>
  <c r="W186" i="3" s="1"/>
  <c r="W267" i="3" s="1"/>
  <c r="W344" i="3" s="1"/>
  <c r="X280" i="7"/>
  <c r="X186" i="3" s="1"/>
  <c r="X267" i="3" s="1"/>
  <c r="Y280" i="7"/>
  <c r="Y186" i="3" s="1"/>
  <c r="Y267" i="3" s="1"/>
  <c r="AN341" i="4" s="1"/>
  <c r="Z280" i="7"/>
  <c r="Z186" i="3" s="1"/>
  <c r="Z267" i="3" s="1"/>
  <c r="AA280" i="7"/>
  <c r="AA186" i="3" s="1"/>
  <c r="AA267" i="3" s="1"/>
  <c r="AB280" i="7"/>
  <c r="AB186" i="3" s="1"/>
  <c r="AB267" i="3" s="1"/>
  <c r="AB344" i="3" s="1"/>
  <c r="AC280" i="7"/>
  <c r="AD280" i="7"/>
  <c r="AD186" i="3" s="1"/>
  <c r="AD267" i="3" s="1"/>
  <c r="AE280" i="7"/>
  <c r="AE186" i="3" s="1"/>
  <c r="AF280" i="7"/>
  <c r="AF186" i="3" s="1"/>
  <c r="AF267" i="3" s="1"/>
  <c r="AG280" i="7"/>
  <c r="AH280" i="7"/>
  <c r="AH186" i="3" s="1"/>
  <c r="AH267" i="3" s="1"/>
  <c r="AI280" i="7"/>
  <c r="AI186" i="3" s="1"/>
  <c r="AI267" i="3" s="1"/>
  <c r="AJ280" i="7"/>
  <c r="AJ186" i="3" s="1"/>
  <c r="AJ267" i="3" s="1"/>
  <c r="AJ344" i="3" s="1"/>
  <c r="AK280" i="7"/>
  <c r="AL280" i="7"/>
  <c r="AL186" i="3" s="1"/>
  <c r="AL267" i="3" s="1"/>
  <c r="AM280" i="7"/>
  <c r="AM186" i="3" s="1"/>
  <c r="AM267" i="3" s="1"/>
  <c r="AM344" i="3" s="1"/>
  <c r="AN280" i="7"/>
  <c r="AN186" i="3" s="1"/>
  <c r="AN267" i="3" s="1"/>
  <c r="BC341" i="4" s="1"/>
  <c r="AO280" i="7"/>
  <c r="AP280" i="7"/>
  <c r="AP186" i="3" s="1"/>
  <c r="AP267" i="3" s="1"/>
  <c r="AQ280" i="7"/>
  <c r="AQ186" i="3" s="1"/>
  <c r="AQ267" i="3" s="1"/>
  <c r="AR280" i="7"/>
  <c r="AR186" i="3" s="1"/>
  <c r="AR267" i="3" s="1"/>
  <c r="AS280" i="7"/>
  <c r="AT280" i="7"/>
  <c r="AT186" i="3" s="1"/>
  <c r="AT267" i="3" s="1"/>
  <c r="AU280" i="7"/>
  <c r="AU186" i="3" s="1"/>
  <c r="AU267" i="3" s="1"/>
  <c r="AV280" i="7"/>
  <c r="AV186" i="3" s="1"/>
  <c r="AV267" i="3" s="1"/>
  <c r="AW280" i="7"/>
  <c r="AX280" i="7"/>
  <c r="AX186" i="3" s="1"/>
  <c r="AX267" i="3" s="1"/>
  <c r="AY280" i="7"/>
  <c r="AY186" i="3" s="1"/>
  <c r="AY267" i="3" s="1"/>
  <c r="AZ280" i="7"/>
  <c r="AZ186" i="3" s="1"/>
  <c r="AZ267" i="3" s="1"/>
  <c r="BA280" i="7"/>
  <c r="BB280" i="7"/>
  <c r="BB186" i="3" s="1"/>
  <c r="BB267" i="3" s="1"/>
  <c r="BC280" i="7"/>
  <c r="BC186" i="3" s="1"/>
  <c r="BC267" i="3" s="1"/>
  <c r="BD280" i="7"/>
  <c r="BD186" i="3" s="1"/>
  <c r="BD267" i="3" s="1"/>
  <c r="BS341" i="4" s="1"/>
  <c r="BE280" i="7"/>
  <c r="BF280" i="7"/>
  <c r="BF186" i="3" s="1"/>
  <c r="BF267" i="3" s="1"/>
  <c r="BG280" i="7"/>
  <c r="BG186" i="3" s="1"/>
  <c r="BG267" i="3" s="1"/>
  <c r="BH280" i="7"/>
  <c r="BH186" i="3" s="1"/>
  <c r="BH267" i="3" s="1"/>
  <c r="BW341" i="4" s="1"/>
  <c r="BI280" i="7"/>
  <c r="BJ280" i="7"/>
  <c r="BJ186" i="3" s="1"/>
  <c r="BJ267" i="3" s="1"/>
  <c r="BK280" i="7"/>
  <c r="BK186" i="3" s="1"/>
  <c r="BK267" i="3" s="1"/>
  <c r="BK423" i="3" s="1"/>
  <c r="BL280" i="7"/>
  <c r="BL186" i="3" s="1"/>
  <c r="BL267" i="3" s="1"/>
  <c r="BM280" i="7"/>
  <c r="BN280" i="7"/>
  <c r="BN186" i="3" s="1"/>
  <c r="BN267" i="3" s="1"/>
  <c r="BO280" i="7"/>
  <c r="BO186" i="3" s="1"/>
  <c r="BO267" i="3" s="1"/>
  <c r="BP280" i="7"/>
  <c r="BP186" i="3" s="1"/>
  <c r="BP267" i="3" s="1"/>
  <c r="BP344" i="3" s="1"/>
  <c r="S281" i="7"/>
  <c r="T281" i="7"/>
  <c r="T187" i="3" s="1"/>
  <c r="U281" i="7"/>
  <c r="U187" i="3" s="1"/>
  <c r="U268" i="3" s="1"/>
  <c r="W281" i="7"/>
  <c r="W187" i="3" s="1"/>
  <c r="W268" i="3" s="1"/>
  <c r="W424" i="3" s="1"/>
  <c r="X281" i="7"/>
  <c r="X187" i="3" s="1"/>
  <c r="X268" i="3" s="1"/>
  <c r="Y281" i="7"/>
  <c r="Y187" i="3" s="1"/>
  <c r="Y268" i="3" s="1"/>
  <c r="AN342" i="4" s="1"/>
  <c r="AN331" i="4" s="1"/>
  <c r="Z281" i="7"/>
  <c r="Z187" i="3" s="1"/>
  <c r="Z268" i="3" s="1"/>
  <c r="Z345" i="3" s="1"/>
  <c r="AA281" i="7"/>
  <c r="AA187" i="3" s="1"/>
  <c r="AB281" i="7"/>
  <c r="AB187" i="3" s="1"/>
  <c r="AB268" i="3" s="1"/>
  <c r="AC281" i="7"/>
  <c r="AC187" i="3" s="1"/>
  <c r="AC268" i="3" s="1"/>
  <c r="AR342" i="4" s="1"/>
  <c r="AR331" i="4" s="1"/>
  <c r="AD281" i="7"/>
  <c r="AD187" i="3" s="1"/>
  <c r="AD268" i="3" s="1"/>
  <c r="AE281" i="7"/>
  <c r="AE187" i="3" s="1"/>
  <c r="AE268" i="3" s="1"/>
  <c r="AF281" i="7"/>
  <c r="AF187" i="3" s="1"/>
  <c r="AF268" i="3" s="1"/>
  <c r="AG281" i="7"/>
  <c r="AG187" i="3" s="1"/>
  <c r="AG268" i="3" s="1"/>
  <c r="AV342" i="4" s="1"/>
  <c r="AV331" i="4" s="1"/>
  <c r="AH281" i="7"/>
  <c r="AH187" i="3" s="1"/>
  <c r="AH268" i="3" s="1"/>
  <c r="AI281" i="7"/>
  <c r="AJ281" i="7"/>
  <c r="AJ187" i="3" s="1"/>
  <c r="AJ268" i="3" s="1"/>
  <c r="AJ424" i="3" s="1"/>
  <c r="AK281" i="7"/>
  <c r="AK187" i="3" s="1"/>
  <c r="AK268" i="3" s="1"/>
  <c r="AZ342" i="4" s="1"/>
  <c r="AZ331" i="4" s="1"/>
  <c r="AL281" i="7"/>
  <c r="AL187" i="3" s="1"/>
  <c r="AL268" i="3" s="1"/>
  <c r="AM281" i="7"/>
  <c r="AN281" i="7"/>
  <c r="AN187" i="3" s="1"/>
  <c r="AN268" i="3" s="1"/>
  <c r="AO281" i="7"/>
  <c r="AO187" i="3" s="1"/>
  <c r="AO268" i="3" s="1"/>
  <c r="AO345" i="3" s="1"/>
  <c r="AP281" i="7"/>
  <c r="AP187" i="3" s="1"/>
  <c r="AP268" i="3" s="1"/>
  <c r="AQ281" i="7"/>
  <c r="AR281" i="7"/>
  <c r="AR187" i="3" s="1"/>
  <c r="AR268" i="3" s="1"/>
  <c r="AS281" i="7"/>
  <c r="AS187" i="3" s="1"/>
  <c r="AS268" i="3" s="1"/>
  <c r="AS345" i="3" s="1"/>
  <c r="AS502" i="3" s="1"/>
  <c r="AT281" i="7"/>
  <c r="AT187" i="3" s="1"/>
  <c r="AT268" i="3" s="1"/>
  <c r="AU281" i="7"/>
  <c r="AV281" i="7"/>
  <c r="AV187" i="3" s="1"/>
  <c r="AV268" i="3" s="1"/>
  <c r="AW281" i="7"/>
  <c r="AW187" i="3" s="1"/>
  <c r="AW268" i="3" s="1"/>
  <c r="AX281" i="7"/>
  <c r="AX187" i="3" s="1"/>
  <c r="AX268" i="3" s="1"/>
  <c r="AY281" i="7"/>
  <c r="AZ281" i="7"/>
  <c r="AZ187" i="3" s="1"/>
  <c r="AZ268" i="3" s="1"/>
  <c r="BA281" i="7"/>
  <c r="BA187" i="3" s="1"/>
  <c r="BA268" i="3" s="1"/>
  <c r="BB281" i="7"/>
  <c r="BB187" i="3" s="1"/>
  <c r="BB268" i="3" s="1"/>
  <c r="BC281" i="7"/>
  <c r="BD281" i="7"/>
  <c r="BD187" i="3" s="1"/>
  <c r="BD268" i="3" s="1"/>
  <c r="BE281" i="7"/>
  <c r="BE187" i="3" s="1"/>
  <c r="BE268" i="3" s="1"/>
  <c r="BF281" i="7"/>
  <c r="BF187" i="3" s="1"/>
  <c r="BF268" i="3" s="1"/>
  <c r="BF345" i="3" s="1"/>
  <c r="BG281" i="7"/>
  <c r="BH281" i="7"/>
  <c r="BH187" i="3" s="1"/>
  <c r="BH268" i="3" s="1"/>
  <c r="BI281" i="7"/>
  <c r="BI187" i="3" s="1"/>
  <c r="BI268" i="3" s="1"/>
  <c r="BJ281" i="7"/>
  <c r="BJ187" i="3" s="1"/>
  <c r="BJ268" i="3" s="1"/>
  <c r="BY342" i="4" s="1"/>
  <c r="BY331" i="4" s="1"/>
  <c r="BK281" i="7"/>
  <c r="BL281" i="7"/>
  <c r="BL187" i="3" s="1"/>
  <c r="BL268" i="3" s="1"/>
  <c r="BM281" i="7"/>
  <c r="BM187" i="3" s="1"/>
  <c r="BM268" i="3" s="1"/>
  <c r="BN281" i="7"/>
  <c r="BN187" i="3" s="1"/>
  <c r="BN268" i="3" s="1"/>
  <c r="BO281" i="7"/>
  <c r="BP281" i="7"/>
  <c r="BP187" i="3" s="1"/>
  <c r="BP268" i="3" s="1"/>
  <c r="S282" i="7"/>
  <c r="S188" i="3" s="1"/>
  <c r="S269" i="3" s="1"/>
  <c r="T282" i="7"/>
  <c r="T188" i="3" s="1"/>
  <c r="T269" i="3" s="1"/>
  <c r="T346" i="3" s="1"/>
  <c r="U282" i="7"/>
  <c r="V282" i="7"/>
  <c r="V188" i="3" s="1"/>
  <c r="W282" i="7"/>
  <c r="W188" i="3" s="1"/>
  <c r="W269" i="3" s="1"/>
  <c r="X282" i="7"/>
  <c r="X188" i="3" s="1"/>
  <c r="X269" i="3" s="1"/>
  <c r="Y282" i="7"/>
  <c r="Y188" i="3" s="1"/>
  <c r="Y269" i="3" s="1"/>
  <c r="Z282" i="7"/>
  <c r="Z188" i="3" s="1"/>
  <c r="Z269" i="3" s="1"/>
  <c r="Z346" i="3" s="1"/>
  <c r="AA282" i="7"/>
  <c r="AA188" i="3" s="1"/>
  <c r="AA269" i="3" s="1"/>
  <c r="AB282" i="7"/>
  <c r="AB188" i="3" s="1"/>
  <c r="AB269" i="3" s="1"/>
  <c r="AC282" i="7"/>
  <c r="AD282" i="7"/>
  <c r="AD188" i="3" s="1"/>
  <c r="AD269" i="3" s="1"/>
  <c r="AE282" i="7"/>
  <c r="AE188" i="3" s="1"/>
  <c r="AE269" i="3" s="1"/>
  <c r="AF282" i="7"/>
  <c r="AF188" i="3" s="1"/>
  <c r="AF269" i="3" s="1"/>
  <c r="AF346" i="3" s="1"/>
  <c r="AG282" i="7"/>
  <c r="AH282" i="7"/>
  <c r="AH188" i="3" s="1"/>
  <c r="AH269" i="3" s="1"/>
  <c r="AI282" i="7"/>
  <c r="AI188" i="3" s="1"/>
  <c r="AI269" i="3" s="1"/>
  <c r="AJ282" i="7"/>
  <c r="AJ188" i="3" s="1"/>
  <c r="AJ269" i="3" s="1"/>
  <c r="AK282" i="7"/>
  <c r="AL282" i="7"/>
  <c r="AL188" i="3" s="1"/>
  <c r="AL269" i="3" s="1"/>
  <c r="AM282" i="7"/>
  <c r="AM188" i="3" s="1"/>
  <c r="AM269" i="3" s="1"/>
  <c r="BB343" i="4" s="1"/>
  <c r="BB329" i="4" s="1"/>
  <c r="AN282" i="7"/>
  <c r="AN188" i="3" s="1"/>
  <c r="AN269" i="3" s="1"/>
  <c r="AN425" i="3" s="1"/>
  <c r="AO282" i="7"/>
  <c r="AP282" i="7"/>
  <c r="AP188" i="3" s="1"/>
  <c r="AP269" i="3" s="1"/>
  <c r="AQ282" i="7"/>
  <c r="AQ188" i="3" s="1"/>
  <c r="AR282" i="7"/>
  <c r="AR188" i="3" s="1"/>
  <c r="AR269" i="3" s="1"/>
  <c r="BG343" i="4" s="1"/>
  <c r="BG329" i="4" s="1"/>
  <c r="AS282" i="7"/>
  <c r="AT282" i="7"/>
  <c r="AT188" i="3" s="1"/>
  <c r="AT269" i="3" s="1"/>
  <c r="AU282" i="7"/>
  <c r="AU188" i="3" s="1"/>
  <c r="AU269" i="3" s="1"/>
  <c r="AU346" i="3" s="1"/>
  <c r="AV282" i="7"/>
  <c r="AV188" i="3" s="1"/>
  <c r="AV269" i="3" s="1"/>
  <c r="AV425" i="3" s="1"/>
  <c r="AW282" i="7"/>
  <c r="AX282" i="7"/>
  <c r="AX188" i="3" s="1"/>
  <c r="AX269" i="3" s="1"/>
  <c r="AX425" i="3" s="1"/>
  <c r="AY282" i="7"/>
  <c r="AZ282" i="7"/>
  <c r="AZ188" i="3" s="1"/>
  <c r="AZ269" i="3" s="1"/>
  <c r="BA282" i="7"/>
  <c r="BB282" i="7"/>
  <c r="BB188" i="3" s="1"/>
  <c r="BB269" i="3" s="1"/>
  <c r="BC282" i="7"/>
  <c r="BC188" i="3" s="1"/>
  <c r="BC269" i="3" s="1"/>
  <c r="BD282" i="7"/>
  <c r="BD188" i="3" s="1"/>
  <c r="BD269" i="3" s="1"/>
  <c r="BE282" i="7"/>
  <c r="BF282" i="7"/>
  <c r="BF188" i="3" s="1"/>
  <c r="BF269" i="3" s="1"/>
  <c r="BG282" i="7"/>
  <c r="BG188" i="3" s="1"/>
  <c r="BH282" i="7"/>
  <c r="BH188" i="3" s="1"/>
  <c r="BH269" i="3" s="1"/>
  <c r="BI282" i="7"/>
  <c r="BJ282" i="7"/>
  <c r="BJ188" i="3" s="1"/>
  <c r="BJ269" i="3" s="1"/>
  <c r="BK282" i="7"/>
  <c r="BK188" i="3" s="1"/>
  <c r="BK269" i="3" s="1"/>
  <c r="BK425" i="3" s="1"/>
  <c r="BL282" i="7"/>
  <c r="BL188" i="3" s="1"/>
  <c r="BL269" i="3" s="1"/>
  <c r="CA343" i="4" s="1"/>
  <c r="CA329" i="4" s="1"/>
  <c r="BM282" i="7"/>
  <c r="BN282" i="7"/>
  <c r="BO282" i="7"/>
  <c r="BO188" i="3" s="1"/>
  <c r="BO269" i="3" s="1"/>
  <c r="BP282" i="7"/>
  <c r="BP188" i="3" s="1"/>
  <c r="BP269" i="3" s="1"/>
  <c r="S283" i="7"/>
  <c r="T283" i="7"/>
  <c r="T189" i="3" s="1"/>
  <c r="T270" i="3" s="1"/>
  <c r="U283" i="7"/>
  <c r="U189" i="3" s="1"/>
  <c r="U270" i="3" s="1"/>
  <c r="U426" i="3" s="1"/>
  <c r="V283" i="7"/>
  <c r="V189" i="3" s="1"/>
  <c r="V270" i="3" s="1"/>
  <c r="V347" i="3" s="1"/>
  <c r="W283" i="7"/>
  <c r="W189" i="3" s="1"/>
  <c r="W270" i="3" s="1"/>
  <c r="X283" i="7"/>
  <c r="X189" i="3" s="1"/>
  <c r="X270" i="3" s="1"/>
  <c r="Y283" i="7"/>
  <c r="Y189" i="3" s="1"/>
  <c r="Y270" i="3" s="1"/>
  <c r="AN344" i="4" s="1"/>
  <c r="Z283" i="7"/>
  <c r="Z189" i="3" s="1"/>
  <c r="Z270" i="3" s="1"/>
  <c r="AA283" i="7"/>
  <c r="AB283" i="7"/>
  <c r="AB189" i="3" s="1"/>
  <c r="AB270" i="3" s="1"/>
  <c r="AC283" i="7"/>
  <c r="AC189" i="3" s="1"/>
  <c r="AC270" i="3" s="1"/>
  <c r="AD283" i="7"/>
  <c r="AD189" i="3" s="1"/>
  <c r="AD270" i="3" s="1"/>
  <c r="AD426" i="3" s="1"/>
  <c r="AE283" i="7"/>
  <c r="AF283" i="7"/>
  <c r="AF189" i="3" s="1"/>
  <c r="AF270" i="3" s="1"/>
  <c r="AG283" i="7"/>
  <c r="AG189" i="3" s="1"/>
  <c r="AG270" i="3" s="1"/>
  <c r="AH283" i="7"/>
  <c r="AH189" i="3" s="1"/>
  <c r="AH270" i="3" s="1"/>
  <c r="AI283" i="7"/>
  <c r="AJ283" i="7"/>
  <c r="AJ189" i="3" s="1"/>
  <c r="AJ270" i="3" s="1"/>
  <c r="AK283" i="7"/>
  <c r="AL283" i="7"/>
  <c r="AL189" i="3" s="1"/>
  <c r="AL270" i="3" s="1"/>
  <c r="AM283" i="7"/>
  <c r="AN283" i="7"/>
  <c r="AN189" i="3" s="1"/>
  <c r="AN270" i="3" s="1"/>
  <c r="AO283" i="7"/>
  <c r="AO189" i="3" s="1"/>
  <c r="AO270" i="3" s="1"/>
  <c r="AP283" i="7"/>
  <c r="AP189" i="3" s="1"/>
  <c r="AP270" i="3" s="1"/>
  <c r="AQ283" i="7"/>
  <c r="AR283" i="7"/>
  <c r="AR189" i="3" s="1"/>
  <c r="AR270" i="3" s="1"/>
  <c r="AS283" i="7"/>
  <c r="AS189" i="3" s="1"/>
  <c r="AS270" i="3" s="1"/>
  <c r="AT283" i="7"/>
  <c r="AT189" i="3" s="1"/>
  <c r="AT270" i="3" s="1"/>
  <c r="AU283" i="7"/>
  <c r="AV283" i="7"/>
  <c r="AV189" i="3" s="1"/>
  <c r="AV270" i="3" s="1"/>
  <c r="AW283" i="7"/>
  <c r="AW189" i="3" s="1"/>
  <c r="AW270" i="3" s="1"/>
  <c r="AX283" i="7"/>
  <c r="AX189" i="3" s="1"/>
  <c r="AX270" i="3" s="1"/>
  <c r="AY283" i="7"/>
  <c r="AZ283" i="7"/>
  <c r="AZ189" i="3" s="1"/>
  <c r="AZ270" i="3" s="1"/>
  <c r="BA283" i="7"/>
  <c r="BA189" i="3" s="1"/>
  <c r="BB283" i="7"/>
  <c r="BB189" i="3" s="1"/>
  <c r="BB270" i="3" s="1"/>
  <c r="BC283" i="7"/>
  <c r="BD283" i="7"/>
  <c r="BD189" i="3" s="1"/>
  <c r="BD270" i="3" s="1"/>
  <c r="BD426" i="3" s="1"/>
  <c r="BE283" i="7"/>
  <c r="BE189" i="3" s="1"/>
  <c r="BE270" i="3" s="1"/>
  <c r="BF283" i="7"/>
  <c r="BF189" i="3" s="1"/>
  <c r="BF270" i="3" s="1"/>
  <c r="BG283" i="7"/>
  <c r="BH283" i="7"/>
  <c r="BH189" i="3" s="1"/>
  <c r="BH270" i="3" s="1"/>
  <c r="BI283" i="7"/>
  <c r="BI189" i="3" s="1"/>
  <c r="BI270" i="3" s="1"/>
  <c r="BJ283" i="7"/>
  <c r="BJ189" i="3" s="1"/>
  <c r="BJ270" i="3" s="1"/>
  <c r="BK283" i="7"/>
  <c r="BL283" i="7"/>
  <c r="BL189" i="3" s="1"/>
  <c r="BL270" i="3" s="1"/>
  <c r="BM283" i="7"/>
  <c r="BM189" i="3" s="1"/>
  <c r="BM270" i="3" s="1"/>
  <c r="BN283" i="7"/>
  <c r="BN189" i="3" s="1"/>
  <c r="BN270" i="3" s="1"/>
  <c r="BO283" i="7"/>
  <c r="BP283" i="7"/>
  <c r="BP189" i="3" s="1"/>
  <c r="BP270" i="3" s="1"/>
  <c r="S284" i="7"/>
  <c r="S190" i="3" s="1"/>
  <c r="S271" i="3" s="1"/>
  <c r="T284" i="7"/>
  <c r="T190" i="3" s="1"/>
  <c r="T271" i="3" s="1"/>
  <c r="T427" i="3" s="1"/>
  <c r="U284" i="7"/>
  <c r="U190" i="3" s="1"/>
  <c r="W284" i="7"/>
  <c r="W190" i="3" s="1"/>
  <c r="W271" i="3" s="1"/>
  <c r="X284" i="7"/>
  <c r="X190" i="3" s="1"/>
  <c r="X271" i="3" s="1"/>
  <c r="Y284" i="7"/>
  <c r="Y190" i="3" s="1"/>
  <c r="Y271" i="3" s="1"/>
  <c r="Z284" i="7"/>
  <c r="Z190" i="3" s="1"/>
  <c r="Z271" i="3" s="1"/>
  <c r="AA284" i="7"/>
  <c r="AA190" i="3" s="1"/>
  <c r="AA271" i="3" s="1"/>
  <c r="AB284" i="7"/>
  <c r="AB190" i="3" s="1"/>
  <c r="AB271" i="3" s="1"/>
  <c r="AC284" i="7"/>
  <c r="AD284" i="7"/>
  <c r="AD190" i="3" s="1"/>
  <c r="AD271" i="3" s="1"/>
  <c r="AE284" i="7"/>
  <c r="AE190" i="3" s="1"/>
  <c r="AE271" i="3" s="1"/>
  <c r="AT345" i="4" s="1"/>
  <c r="AF284" i="7"/>
  <c r="AF190" i="3" s="1"/>
  <c r="AF271" i="3" s="1"/>
  <c r="AG284" i="7"/>
  <c r="AH284" i="7"/>
  <c r="AH190" i="3" s="1"/>
  <c r="AH271" i="3" s="1"/>
  <c r="AH427" i="3" s="1"/>
  <c r="AI284" i="7"/>
  <c r="AI190" i="3" s="1"/>
  <c r="AI271" i="3" s="1"/>
  <c r="AI348" i="3" s="1"/>
  <c r="AJ284" i="7"/>
  <c r="AJ190" i="3" s="1"/>
  <c r="AJ271" i="3" s="1"/>
  <c r="AJ348" i="3" s="1"/>
  <c r="AK284" i="7"/>
  <c r="AL284" i="7"/>
  <c r="AL190" i="3" s="1"/>
  <c r="AL271" i="3" s="1"/>
  <c r="AM284" i="7"/>
  <c r="AM190" i="3" s="1"/>
  <c r="AM271" i="3" s="1"/>
  <c r="AM427" i="3" s="1"/>
  <c r="AN284" i="7"/>
  <c r="AN190" i="3" s="1"/>
  <c r="AN271" i="3" s="1"/>
  <c r="AN427" i="3" s="1"/>
  <c r="AO284" i="7"/>
  <c r="AP284" i="7"/>
  <c r="AP190" i="3" s="1"/>
  <c r="AP271" i="3" s="1"/>
  <c r="AP427" i="3" s="1"/>
  <c r="AQ284" i="7"/>
  <c r="AQ190" i="3" s="1"/>
  <c r="AQ271" i="3" s="1"/>
  <c r="AR284" i="7"/>
  <c r="AR190" i="3" s="1"/>
  <c r="AR271" i="3" s="1"/>
  <c r="AR348" i="3" s="1"/>
  <c r="AS284" i="7"/>
  <c r="AT284" i="7"/>
  <c r="AT190" i="3" s="1"/>
  <c r="AT271" i="3" s="1"/>
  <c r="AT427" i="3" s="1"/>
  <c r="AU284" i="7"/>
  <c r="AU190" i="3" s="1"/>
  <c r="AU271" i="3" s="1"/>
  <c r="AV284" i="7"/>
  <c r="AV190" i="3" s="1"/>
  <c r="AV271" i="3" s="1"/>
  <c r="AW284" i="7"/>
  <c r="AX284" i="7"/>
  <c r="AX190" i="3" s="1"/>
  <c r="AX271" i="3" s="1"/>
  <c r="AY284" i="7"/>
  <c r="AY190" i="3" s="1"/>
  <c r="AY271" i="3" s="1"/>
  <c r="AY348" i="3" s="1"/>
  <c r="AZ284" i="7"/>
  <c r="AZ190" i="3" s="1"/>
  <c r="AZ271" i="3" s="1"/>
  <c r="BA284" i="7"/>
  <c r="BB284" i="7"/>
  <c r="BB190" i="3" s="1"/>
  <c r="BB271" i="3" s="1"/>
  <c r="BB427" i="3" s="1"/>
  <c r="BC284" i="7"/>
  <c r="BD284" i="7"/>
  <c r="BD190" i="3" s="1"/>
  <c r="BD271" i="3" s="1"/>
  <c r="BD427" i="3" s="1"/>
  <c r="BE284" i="7"/>
  <c r="BF284" i="7"/>
  <c r="BF190" i="3" s="1"/>
  <c r="BF271" i="3" s="1"/>
  <c r="BF348" i="3" s="1"/>
  <c r="BG284" i="7"/>
  <c r="BG190" i="3" s="1"/>
  <c r="BG271" i="3" s="1"/>
  <c r="BH284" i="7"/>
  <c r="BH190" i="3" s="1"/>
  <c r="BH271" i="3" s="1"/>
  <c r="BI284" i="7"/>
  <c r="BJ284" i="7"/>
  <c r="BJ190" i="3" s="1"/>
  <c r="BJ271" i="3" s="1"/>
  <c r="BK284" i="7"/>
  <c r="BK190" i="3" s="1"/>
  <c r="BK271" i="3" s="1"/>
  <c r="BZ345" i="4" s="1"/>
  <c r="BL284" i="7"/>
  <c r="BL190" i="3" s="1"/>
  <c r="BL271" i="3" s="1"/>
  <c r="BM284" i="7"/>
  <c r="BN284" i="7"/>
  <c r="BN190" i="3" s="1"/>
  <c r="BN271" i="3" s="1"/>
  <c r="BO284" i="7"/>
  <c r="BO190" i="3" s="1"/>
  <c r="BO271" i="3" s="1"/>
  <c r="CD345" i="4" s="1"/>
  <c r="BP284" i="7"/>
  <c r="BP190" i="3" s="1"/>
  <c r="BP271" i="3" s="1"/>
  <c r="S285" i="7"/>
  <c r="T285" i="7"/>
  <c r="T191" i="3" s="1"/>
  <c r="U285" i="7"/>
  <c r="U191" i="3" s="1"/>
  <c r="U272" i="3" s="1"/>
  <c r="AJ346" i="4" s="1"/>
  <c r="V285" i="7"/>
  <c r="V191" i="3" s="1"/>
  <c r="V272" i="3" s="1"/>
  <c r="V428" i="3" s="1"/>
  <c r="W285" i="7"/>
  <c r="W191" i="3" s="1"/>
  <c r="W272" i="3" s="1"/>
  <c r="X285" i="7"/>
  <c r="X191" i="3" s="1"/>
  <c r="X272" i="3" s="1"/>
  <c r="Y285" i="7"/>
  <c r="Y191" i="3" s="1"/>
  <c r="Y272" i="3" s="1"/>
  <c r="Z285" i="7"/>
  <c r="Z191" i="3" s="1"/>
  <c r="Z272" i="3" s="1"/>
  <c r="AA285" i="7"/>
  <c r="AB285" i="7"/>
  <c r="AB191" i="3" s="1"/>
  <c r="AB272" i="3" s="1"/>
  <c r="AC285" i="7"/>
  <c r="AC191" i="3" s="1"/>
  <c r="AC272" i="3" s="1"/>
  <c r="AD285" i="7"/>
  <c r="AD191" i="3" s="1"/>
  <c r="AD272" i="3" s="1"/>
  <c r="AE285" i="7"/>
  <c r="AF285" i="7"/>
  <c r="AF191" i="3" s="1"/>
  <c r="AF272" i="3" s="1"/>
  <c r="AF428" i="3" s="1"/>
  <c r="AG285" i="7"/>
  <c r="AH285" i="7"/>
  <c r="AH191" i="3" s="1"/>
  <c r="AH272" i="3" s="1"/>
  <c r="AI285" i="7"/>
  <c r="AJ285" i="7"/>
  <c r="AJ191" i="3" s="1"/>
  <c r="AJ272" i="3" s="1"/>
  <c r="AK285" i="7"/>
  <c r="AK191" i="3" s="1"/>
  <c r="AK272" i="3" s="1"/>
  <c r="AK428" i="3" s="1"/>
  <c r="AL285" i="7"/>
  <c r="AL191" i="3" s="1"/>
  <c r="AL272" i="3" s="1"/>
  <c r="AM285" i="7"/>
  <c r="AN285" i="7"/>
  <c r="AN191" i="3" s="1"/>
  <c r="AN272" i="3" s="1"/>
  <c r="AO285" i="7"/>
  <c r="AO191" i="3" s="1"/>
  <c r="AO272" i="3" s="1"/>
  <c r="AP285" i="7"/>
  <c r="AP191" i="3" s="1"/>
  <c r="AP272" i="3" s="1"/>
  <c r="AQ285" i="7"/>
  <c r="AR285" i="7"/>
  <c r="AR191" i="3" s="1"/>
  <c r="AR272" i="3" s="1"/>
  <c r="BG346" i="4" s="1"/>
  <c r="AS285" i="7"/>
  <c r="AS191" i="3" s="1"/>
  <c r="AS272" i="3" s="1"/>
  <c r="AT285" i="7"/>
  <c r="AT191" i="3" s="1"/>
  <c r="AT272" i="3" s="1"/>
  <c r="AU285" i="7"/>
  <c r="AV285" i="7"/>
  <c r="AV191" i="3" s="1"/>
  <c r="AV272" i="3" s="1"/>
  <c r="AW285" i="7"/>
  <c r="AW191" i="3" s="1"/>
  <c r="AW272" i="3" s="1"/>
  <c r="AX285" i="7"/>
  <c r="AX191" i="3" s="1"/>
  <c r="AX272" i="3" s="1"/>
  <c r="AX428" i="3" s="1"/>
  <c r="AY285" i="7"/>
  <c r="AZ285" i="7"/>
  <c r="AZ191" i="3" s="1"/>
  <c r="AZ272" i="3" s="1"/>
  <c r="AZ428" i="3" s="1"/>
  <c r="BA285" i="7"/>
  <c r="BA191" i="3" s="1"/>
  <c r="BA272" i="3" s="1"/>
  <c r="BB285" i="7"/>
  <c r="BB191" i="3" s="1"/>
  <c r="BB272" i="3" s="1"/>
  <c r="BQ346" i="4" s="1"/>
  <c r="BC285" i="7"/>
  <c r="BD285" i="7"/>
  <c r="BD191" i="3" s="1"/>
  <c r="BD272" i="3" s="1"/>
  <c r="BE285" i="7"/>
  <c r="BE191" i="3" s="1"/>
  <c r="BF285" i="7"/>
  <c r="BF191" i="3" s="1"/>
  <c r="BF272" i="3" s="1"/>
  <c r="BG285" i="7"/>
  <c r="BH285" i="7"/>
  <c r="BH191" i="3" s="1"/>
  <c r="BH272" i="3" s="1"/>
  <c r="BI285" i="7"/>
  <c r="BI191" i="3" s="1"/>
  <c r="BI272" i="3" s="1"/>
  <c r="BJ285" i="7"/>
  <c r="BJ191" i="3" s="1"/>
  <c r="BJ272" i="3" s="1"/>
  <c r="BK285" i="7"/>
  <c r="BL285" i="7"/>
  <c r="BL191" i="3" s="1"/>
  <c r="BL272" i="3" s="1"/>
  <c r="BM285" i="7"/>
  <c r="BM191" i="3" s="1"/>
  <c r="BM272" i="3" s="1"/>
  <c r="BN285" i="7"/>
  <c r="BN191" i="3" s="1"/>
  <c r="BN272" i="3" s="1"/>
  <c r="BO285" i="7"/>
  <c r="BP285" i="7"/>
  <c r="BP191" i="3" s="1"/>
  <c r="BP272" i="3" s="1"/>
  <c r="S287" i="7"/>
  <c r="T287" i="7"/>
  <c r="T193" i="3" s="1"/>
  <c r="T274" i="3" s="1"/>
  <c r="U287" i="7"/>
  <c r="V287" i="7"/>
  <c r="V193" i="3" s="1"/>
  <c r="W287" i="7"/>
  <c r="W193" i="3" s="1"/>
  <c r="W274" i="3" s="1"/>
  <c r="W351" i="3" s="1"/>
  <c r="X287" i="7"/>
  <c r="X193" i="3" s="1"/>
  <c r="X274" i="3" s="1"/>
  <c r="X430" i="3" s="1"/>
  <c r="Y287" i="7"/>
  <c r="Y193" i="3" s="1"/>
  <c r="Y274" i="3" s="1"/>
  <c r="Z287" i="7"/>
  <c r="Z193" i="3" s="1"/>
  <c r="Z274" i="3" s="1"/>
  <c r="Z430" i="3" s="1"/>
  <c r="AA287" i="7"/>
  <c r="AB287" i="7"/>
  <c r="AB193" i="3" s="1"/>
  <c r="AB274" i="3" s="1"/>
  <c r="AC287" i="7"/>
  <c r="AD287" i="7"/>
  <c r="AD193" i="3" s="1"/>
  <c r="AD274" i="3" s="1"/>
  <c r="AE287" i="7"/>
  <c r="AE193" i="3" s="1"/>
  <c r="AE274" i="3" s="1"/>
  <c r="AF287" i="7"/>
  <c r="AF193" i="3" s="1"/>
  <c r="AF274" i="3" s="1"/>
  <c r="AG287" i="7"/>
  <c r="AH287" i="7"/>
  <c r="AH193" i="3" s="1"/>
  <c r="AH274" i="3" s="1"/>
  <c r="AH351" i="3" s="1"/>
  <c r="AI287" i="7"/>
  <c r="AI193" i="3" s="1"/>
  <c r="AI274" i="3" s="1"/>
  <c r="AJ287" i="7"/>
  <c r="AJ193" i="3" s="1"/>
  <c r="AJ274" i="3" s="1"/>
  <c r="AJ351" i="3" s="1"/>
  <c r="AK287" i="7"/>
  <c r="AL287" i="7"/>
  <c r="AL193" i="3" s="1"/>
  <c r="AL274" i="3" s="1"/>
  <c r="AL351" i="3" s="1"/>
  <c r="AM287" i="7"/>
  <c r="AM193" i="3" s="1"/>
  <c r="AM274" i="3" s="1"/>
  <c r="AN287" i="7"/>
  <c r="AN193" i="3" s="1"/>
  <c r="AN274" i="3" s="1"/>
  <c r="AN430" i="3" s="1"/>
  <c r="AO287" i="7"/>
  <c r="AP287" i="7"/>
  <c r="AP193" i="3" s="1"/>
  <c r="AP274" i="3" s="1"/>
  <c r="AQ287" i="7"/>
  <c r="AQ193" i="3" s="1"/>
  <c r="AQ274" i="3" s="1"/>
  <c r="AR287" i="7"/>
  <c r="AR193" i="3" s="1"/>
  <c r="AR274" i="3" s="1"/>
  <c r="AR430" i="3" s="1"/>
  <c r="AS287" i="7"/>
  <c r="AT287" i="7"/>
  <c r="AT193" i="3" s="1"/>
  <c r="AT274" i="3" s="1"/>
  <c r="AT351" i="3" s="1"/>
  <c r="AU287" i="7"/>
  <c r="AU193" i="3" s="1"/>
  <c r="AU274" i="3" s="1"/>
  <c r="AV287" i="7"/>
  <c r="AV193" i="3" s="1"/>
  <c r="AV274" i="3" s="1"/>
  <c r="AV351" i="3" s="1"/>
  <c r="AW287" i="7"/>
  <c r="AX287" i="7"/>
  <c r="AX193" i="3" s="1"/>
  <c r="AX274" i="3" s="1"/>
  <c r="AY287" i="7"/>
  <c r="AY193" i="3" s="1"/>
  <c r="AY274" i="3" s="1"/>
  <c r="AZ287" i="7"/>
  <c r="AZ193" i="3" s="1"/>
  <c r="AZ274" i="3" s="1"/>
  <c r="BA287" i="7"/>
  <c r="BB287" i="7"/>
  <c r="BB193" i="3" s="1"/>
  <c r="BB274" i="3" s="1"/>
  <c r="BB430" i="3" s="1"/>
  <c r="BC287" i="7"/>
  <c r="BC193" i="3" s="1"/>
  <c r="BC274" i="3" s="1"/>
  <c r="BD287" i="7"/>
  <c r="BD193" i="3" s="1"/>
  <c r="BD274" i="3" s="1"/>
  <c r="BD351" i="3" s="1"/>
  <c r="BE287" i="7"/>
  <c r="BF287" i="7"/>
  <c r="BF193" i="3" s="1"/>
  <c r="BF274" i="3" s="1"/>
  <c r="BG287" i="7"/>
  <c r="BG193" i="3" s="1"/>
  <c r="BG274" i="3" s="1"/>
  <c r="BH287" i="7"/>
  <c r="BH193" i="3" s="1"/>
  <c r="BH274" i="3" s="1"/>
  <c r="BI287" i="7"/>
  <c r="BJ287" i="7"/>
  <c r="BJ193" i="3" s="1"/>
  <c r="BJ274" i="3" s="1"/>
  <c r="BK287" i="7"/>
  <c r="BK193" i="3" s="1"/>
  <c r="BK274" i="3" s="1"/>
  <c r="BL287" i="7"/>
  <c r="BL193" i="3" s="1"/>
  <c r="BL274" i="3" s="1"/>
  <c r="BL430" i="3" s="1"/>
  <c r="BM287" i="7"/>
  <c r="BN287" i="7"/>
  <c r="BN193" i="3" s="1"/>
  <c r="BN274" i="3" s="1"/>
  <c r="BO287" i="7"/>
  <c r="BO193" i="3" s="1"/>
  <c r="BO274" i="3" s="1"/>
  <c r="BO351" i="3" s="1"/>
  <c r="BP287" i="7"/>
  <c r="BP193" i="3" s="1"/>
  <c r="BP274" i="3" s="1"/>
  <c r="BP430" i="3" s="1"/>
  <c r="S289" i="7"/>
  <c r="T289" i="7"/>
  <c r="T195" i="3" s="1"/>
  <c r="T276" i="3" s="1"/>
  <c r="U289" i="7"/>
  <c r="U195" i="3" s="1"/>
  <c r="V289" i="7"/>
  <c r="V195" i="3" s="1"/>
  <c r="V276" i="3" s="1"/>
  <c r="W289" i="7"/>
  <c r="W195" i="3" s="1"/>
  <c r="W276" i="3" s="1"/>
  <c r="X289" i="7"/>
  <c r="X195" i="3" s="1"/>
  <c r="X276" i="3" s="1"/>
  <c r="X432" i="3" s="1"/>
  <c r="Y289" i="7"/>
  <c r="Y195" i="3" s="1"/>
  <c r="Y276" i="3" s="1"/>
  <c r="Z289" i="7"/>
  <c r="Z195" i="3" s="1"/>
  <c r="Z276" i="3" s="1"/>
  <c r="Z353" i="3" s="1"/>
  <c r="AA289" i="7"/>
  <c r="AB289" i="7"/>
  <c r="AB195" i="3" s="1"/>
  <c r="AB276" i="3" s="1"/>
  <c r="AB353" i="3" s="1"/>
  <c r="AC289" i="7"/>
  <c r="AC195" i="3" s="1"/>
  <c r="AC276" i="3" s="1"/>
  <c r="AD289" i="7"/>
  <c r="AD195" i="3" s="1"/>
  <c r="AD276" i="3" s="1"/>
  <c r="AE289" i="7"/>
  <c r="AF289" i="7"/>
  <c r="AF195" i="3" s="1"/>
  <c r="AF276" i="3" s="1"/>
  <c r="AG289" i="7"/>
  <c r="AG195" i="3" s="1"/>
  <c r="AG276" i="3" s="1"/>
  <c r="AG432" i="3" s="1"/>
  <c r="AH289" i="7"/>
  <c r="AH195" i="3" s="1"/>
  <c r="AH276" i="3" s="1"/>
  <c r="AH432" i="3" s="1"/>
  <c r="AI289" i="7"/>
  <c r="AJ289" i="7"/>
  <c r="AJ195" i="3" s="1"/>
  <c r="AJ276" i="3" s="1"/>
  <c r="AK289" i="7"/>
  <c r="AK195" i="3" s="1"/>
  <c r="AL289" i="7"/>
  <c r="AL195" i="3" s="1"/>
  <c r="AL276" i="3" s="1"/>
  <c r="AL432" i="3" s="1"/>
  <c r="AM289" i="7"/>
  <c r="AN289" i="7"/>
  <c r="AN195" i="3" s="1"/>
  <c r="AN276" i="3" s="1"/>
  <c r="AO289" i="7"/>
  <c r="AO195" i="3" s="1"/>
  <c r="AO276" i="3" s="1"/>
  <c r="AO353" i="3" s="1"/>
  <c r="AP289" i="7"/>
  <c r="AP195" i="3" s="1"/>
  <c r="AP276" i="3" s="1"/>
  <c r="AQ289" i="7"/>
  <c r="AR289" i="7"/>
  <c r="AR195" i="3" s="1"/>
  <c r="AR276" i="3" s="1"/>
  <c r="AS289" i="7"/>
  <c r="AS195" i="3" s="1"/>
  <c r="AS276" i="3" s="1"/>
  <c r="AS432" i="3" s="1"/>
  <c r="AT289" i="7"/>
  <c r="AT195" i="3" s="1"/>
  <c r="AT276" i="3" s="1"/>
  <c r="AU289" i="7"/>
  <c r="AV289" i="7"/>
  <c r="AV195" i="3" s="1"/>
  <c r="AV276" i="3" s="1"/>
  <c r="AV432" i="3" s="1"/>
  <c r="AW289" i="7"/>
  <c r="AX289" i="7"/>
  <c r="AX195" i="3" s="1"/>
  <c r="AX276" i="3" s="1"/>
  <c r="AY289" i="7"/>
  <c r="AZ289" i="7"/>
  <c r="AZ195" i="3" s="1"/>
  <c r="AZ276" i="3" s="1"/>
  <c r="AZ432" i="3" s="1"/>
  <c r="BA289" i="7"/>
  <c r="BA195" i="3" s="1"/>
  <c r="BA276" i="3" s="1"/>
  <c r="BB289" i="7"/>
  <c r="BB195" i="3" s="1"/>
  <c r="BB276" i="3" s="1"/>
  <c r="BB353" i="3" s="1"/>
  <c r="BC289" i="7"/>
  <c r="BD289" i="7"/>
  <c r="BD195" i="3" s="1"/>
  <c r="BD276" i="3" s="1"/>
  <c r="BE289" i="7"/>
  <c r="BE195" i="3" s="1"/>
  <c r="BE276" i="3" s="1"/>
  <c r="BE432" i="3" s="1"/>
  <c r="BF289" i="7"/>
  <c r="BF195" i="3" s="1"/>
  <c r="BF276" i="3" s="1"/>
  <c r="BF432" i="3" s="1"/>
  <c r="BG289" i="7"/>
  <c r="BH289" i="7"/>
  <c r="BH195" i="3" s="1"/>
  <c r="BH276" i="3" s="1"/>
  <c r="BI289" i="7"/>
  <c r="BI195" i="3" s="1"/>
  <c r="BJ289" i="7"/>
  <c r="BJ195" i="3" s="1"/>
  <c r="BJ276" i="3" s="1"/>
  <c r="BJ432" i="3" s="1"/>
  <c r="BK289" i="7"/>
  <c r="BL289" i="7"/>
  <c r="BL195" i="3" s="1"/>
  <c r="BL276" i="3" s="1"/>
  <c r="BM289" i="7"/>
  <c r="BM195" i="3" s="1"/>
  <c r="BM276" i="3" s="1"/>
  <c r="BN289" i="7"/>
  <c r="BN195" i="3" s="1"/>
  <c r="BN276" i="3" s="1"/>
  <c r="BN353" i="3" s="1"/>
  <c r="BO289" i="7"/>
  <c r="BP289" i="7"/>
  <c r="BP195" i="3" s="1"/>
  <c r="BP276" i="3" s="1"/>
  <c r="S290" i="7"/>
  <c r="S196" i="3" s="1"/>
  <c r="T290" i="7"/>
  <c r="T196" i="3" s="1"/>
  <c r="T277" i="3" s="1"/>
  <c r="U290" i="7"/>
  <c r="U196" i="3" s="1"/>
  <c r="V290" i="7"/>
  <c r="W290" i="7"/>
  <c r="W196" i="3" s="1"/>
  <c r="W197" i="3" s="1"/>
  <c r="X290" i="7"/>
  <c r="X196" i="3" s="1"/>
  <c r="Y290" i="7"/>
  <c r="Y196" i="3" s="1"/>
  <c r="Y197" i="3" s="1"/>
  <c r="Z290" i="7"/>
  <c r="AA290" i="7"/>
  <c r="AA196" i="3" s="1"/>
  <c r="AB290" i="7"/>
  <c r="AB196" i="3" s="1"/>
  <c r="AC290" i="7"/>
  <c r="AD290" i="7"/>
  <c r="AE290" i="7"/>
  <c r="AE196" i="3" s="1"/>
  <c r="AF290" i="7"/>
  <c r="AF196" i="3" s="1"/>
  <c r="AG290" i="7"/>
  <c r="AH290" i="7"/>
  <c r="AH196" i="3" s="1"/>
  <c r="AI290" i="7"/>
  <c r="AI196" i="3" s="1"/>
  <c r="AJ290" i="7"/>
  <c r="AJ196" i="3" s="1"/>
  <c r="AK290" i="7"/>
  <c r="AL290" i="7"/>
  <c r="AM290" i="7"/>
  <c r="AM196" i="3" s="1"/>
  <c r="AN290" i="7"/>
  <c r="AN196" i="3" s="1"/>
  <c r="AO290" i="7"/>
  <c r="AP290" i="7"/>
  <c r="AQ290" i="7"/>
  <c r="AQ196" i="3" s="1"/>
  <c r="AQ197" i="3" s="1"/>
  <c r="AR290" i="7"/>
  <c r="AR196" i="3" s="1"/>
  <c r="AS290" i="7"/>
  <c r="AT290" i="7"/>
  <c r="AU290" i="7"/>
  <c r="AU196" i="3" s="1"/>
  <c r="AV290" i="7"/>
  <c r="AV196" i="3" s="1"/>
  <c r="AW290" i="7"/>
  <c r="AX290" i="7"/>
  <c r="AX196" i="3" s="1"/>
  <c r="AY290" i="7"/>
  <c r="AY196" i="3" s="1"/>
  <c r="AY197" i="3" s="1"/>
  <c r="AZ290" i="7"/>
  <c r="AZ196" i="3" s="1"/>
  <c r="BA290" i="7"/>
  <c r="BB290" i="7"/>
  <c r="BC290" i="7"/>
  <c r="BC196" i="3" s="1"/>
  <c r="BC277" i="3" s="1"/>
  <c r="BD290" i="7"/>
  <c r="BD196" i="3" s="1"/>
  <c r="BE290" i="7"/>
  <c r="BF290" i="7"/>
  <c r="BG290" i="7"/>
  <c r="BG196" i="3" s="1"/>
  <c r="BH290" i="7"/>
  <c r="BH196" i="3" s="1"/>
  <c r="BI290" i="7"/>
  <c r="BJ290" i="7"/>
  <c r="BK290" i="7"/>
  <c r="BK196" i="3" s="1"/>
  <c r="BK197" i="3" s="1"/>
  <c r="BL290" i="7"/>
  <c r="BL196" i="3" s="1"/>
  <c r="BM290" i="7"/>
  <c r="BN290" i="7"/>
  <c r="BN196" i="3" s="1"/>
  <c r="BO290" i="7"/>
  <c r="BO196" i="3" s="1"/>
  <c r="BP290" i="7"/>
  <c r="BP196" i="3" s="1"/>
  <c r="BP197" i="3" s="1"/>
  <c r="S291" i="7"/>
  <c r="T291" i="7"/>
  <c r="T198" i="3" s="1"/>
  <c r="T278" i="3" s="1"/>
  <c r="U291" i="7"/>
  <c r="U198" i="3" s="1"/>
  <c r="U278" i="3" s="1"/>
  <c r="U434" i="3" s="1"/>
  <c r="V291" i="7"/>
  <c r="V198" i="3" s="1"/>
  <c r="V278" i="3" s="1"/>
  <c r="W291" i="7"/>
  <c r="W198" i="3" s="1"/>
  <c r="W278" i="3" s="1"/>
  <c r="W434" i="3" s="1"/>
  <c r="X291" i="7"/>
  <c r="X198" i="3" s="1"/>
  <c r="X278" i="3" s="1"/>
  <c r="X434" i="3" s="1"/>
  <c r="Y291" i="7"/>
  <c r="Y198" i="3" s="1"/>
  <c r="Y278" i="3" s="1"/>
  <c r="Y434" i="3" s="1"/>
  <c r="Z291" i="7"/>
  <c r="Z198" i="3" s="1"/>
  <c r="Z278" i="3" s="1"/>
  <c r="AA291" i="7"/>
  <c r="AB291" i="7"/>
  <c r="AB198" i="3" s="1"/>
  <c r="AB278" i="3" s="1"/>
  <c r="AB434" i="3" s="1"/>
  <c r="AC291" i="7"/>
  <c r="AD291" i="7"/>
  <c r="AD198" i="3" s="1"/>
  <c r="AD278" i="3" s="1"/>
  <c r="AD434" i="3" s="1"/>
  <c r="AE291" i="7"/>
  <c r="AF291" i="7"/>
  <c r="AF198" i="3" s="1"/>
  <c r="AF278" i="3" s="1"/>
  <c r="AG291" i="7"/>
  <c r="AG198" i="3" s="1"/>
  <c r="AG278" i="3" s="1"/>
  <c r="AG434" i="3" s="1"/>
  <c r="AH291" i="7"/>
  <c r="AH198" i="3" s="1"/>
  <c r="AH278" i="3" s="1"/>
  <c r="AI291" i="7"/>
  <c r="AJ291" i="7"/>
  <c r="AJ198" i="3" s="1"/>
  <c r="AJ278" i="3" s="1"/>
  <c r="AK291" i="7"/>
  <c r="AK198" i="3" s="1"/>
  <c r="AK278" i="3" s="1"/>
  <c r="AL291" i="7"/>
  <c r="AL198" i="3" s="1"/>
  <c r="AL278" i="3" s="1"/>
  <c r="AM291" i="7"/>
  <c r="AN291" i="7"/>
  <c r="AN198" i="3" s="1"/>
  <c r="AN278" i="3" s="1"/>
  <c r="AN355" i="3" s="1"/>
  <c r="AO291" i="7"/>
  <c r="AO198" i="3" s="1"/>
  <c r="AP291" i="7"/>
  <c r="AP198" i="3" s="1"/>
  <c r="AP278" i="3" s="1"/>
  <c r="AP434" i="3" s="1"/>
  <c r="AQ291" i="7"/>
  <c r="AR291" i="7"/>
  <c r="AR198" i="3" s="1"/>
  <c r="AR278" i="3" s="1"/>
  <c r="AS291" i="7"/>
  <c r="AS198" i="3" s="1"/>
  <c r="AS278" i="3" s="1"/>
  <c r="AT291" i="7"/>
  <c r="AT198" i="3" s="1"/>
  <c r="AT278" i="3" s="1"/>
  <c r="AU291" i="7"/>
  <c r="AV291" i="7"/>
  <c r="AV198" i="3" s="1"/>
  <c r="AV278" i="3" s="1"/>
  <c r="AV355" i="3" s="1"/>
  <c r="AW291" i="7"/>
  <c r="AW198" i="3" s="1"/>
  <c r="AW278" i="3" s="1"/>
  <c r="AX291" i="7"/>
  <c r="AX198" i="3" s="1"/>
  <c r="AX278" i="3" s="1"/>
  <c r="AX434" i="3" s="1"/>
  <c r="AY291" i="7"/>
  <c r="AZ291" i="7"/>
  <c r="AZ198" i="3" s="1"/>
  <c r="AZ278" i="3" s="1"/>
  <c r="AZ355" i="3" s="1"/>
  <c r="BA291" i="7"/>
  <c r="BA198" i="3" s="1"/>
  <c r="BA278" i="3" s="1"/>
  <c r="BA434" i="3" s="1"/>
  <c r="BB291" i="7"/>
  <c r="BB198" i="3" s="1"/>
  <c r="BB278" i="3" s="1"/>
  <c r="BC291" i="7"/>
  <c r="BD291" i="7"/>
  <c r="BD198" i="3" s="1"/>
  <c r="BD278" i="3" s="1"/>
  <c r="BE291" i="7"/>
  <c r="BE198" i="3" s="1"/>
  <c r="BE278" i="3" s="1"/>
  <c r="BE434" i="3" s="1"/>
  <c r="BF291" i="7"/>
  <c r="BF198" i="3" s="1"/>
  <c r="BF278" i="3" s="1"/>
  <c r="BG291" i="7"/>
  <c r="BH291" i="7"/>
  <c r="BH198" i="3" s="1"/>
  <c r="BH278" i="3" s="1"/>
  <c r="BI291" i="7"/>
  <c r="BI198" i="3" s="1"/>
  <c r="BI278" i="3" s="1"/>
  <c r="BJ291" i="7"/>
  <c r="BJ198" i="3" s="1"/>
  <c r="BJ278" i="3" s="1"/>
  <c r="BK291" i="7"/>
  <c r="BL291" i="7"/>
  <c r="BL198" i="3" s="1"/>
  <c r="BL278" i="3" s="1"/>
  <c r="BM291" i="7"/>
  <c r="BM198" i="3" s="1"/>
  <c r="BM278" i="3" s="1"/>
  <c r="BN291" i="7"/>
  <c r="BN198" i="3" s="1"/>
  <c r="BN278" i="3" s="1"/>
  <c r="BN434" i="3" s="1"/>
  <c r="BO291" i="7"/>
  <c r="BP291" i="7"/>
  <c r="BP198" i="3" s="1"/>
  <c r="BP278" i="3" s="1"/>
  <c r="BP355" i="3" s="1"/>
  <c r="S292" i="7"/>
  <c r="S199" i="3" s="1"/>
  <c r="S279" i="3" s="1"/>
  <c r="T292" i="7"/>
  <c r="T199" i="3" s="1"/>
  <c r="T279" i="3" s="1"/>
  <c r="U292" i="7"/>
  <c r="U199" i="3" s="1"/>
  <c r="U279" i="3" s="1"/>
  <c r="V292" i="7"/>
  <c r="V199" i="3" s="1"/>
  <c r="V279" i="3" s="1"/>
  <c r="V435" i="3" s="1"/>
  <c r="W292" i="7"/>
  <c r="W199" i="3" s="1"/>
  <c r="W279" i="3" s="1"/>
  <c r="X292" i="7"/>
  <c r="X199" i="3" s="1"/>
  <c r="X279" i="3" s="1"/>
  <c r="Y292" i="7"/>
  <c r="Y199" i="3" s="1"/>
  <c r="Y279" i="3" s="1"/>
  <c r="Z292" i="7"/>
  <c r="Z199" i="3" s="1"/>
  <c r="Z279" i="3" s="1"/>
  <c r="Z435" i="3" s="1"/>
  <c r="AA292" i="7"/>
  <c r="AA199" i="3" s="1"/>
  <c r="AA279" i="3" s="1"/>
  <c r="AB292" i="7"/>
  <c r="AB199" i="3" s="1"/>
  <c r="AB279" i="3" s="1"/>
  <c r="AC292" i="7"/>
  <c r="AD292" i="7"/>
  <c r="AD199" i="3" s="1"/>
  <c r="AD279" i="3" s="1"/>
  <c r="AD356" i="3" s="1"/>
  <c r="AE292" i="7"/>
  <c r="AE199" i="3" s="1"/>
  <c r="AE279" i="3" s="1"/>
  <c r="AF292" i="7"/>
  <c r="AF199" i="3" s="1"/>
  <c r="AF279" i="3" s="1"/>
  <c r="AG292" i="7"/>
  <c r="AH292" i="7"/>
  <c r="AH199" i="3" s="1"/>
  <c r="AH279" i="3" s="1"/>
  <c r="AH435" i="3" s="1"/>
  <c r="AI292" i="7"/>
  <c r="AI199" i="3" s="1"/>
  <c r="AI279" i="3" s="1"/>
  <c r="AJ292" i="7"/>
  <c r="AJ199" i="3" s="1"/>
  <c r="AJ279" i="3" s="1"/>
  <c r="AJ356" i="3" s="1"/>
  <c r="AK292" i="7"/>
  <c r="AL292" i="7"/>
  <c r="AL199" i="3" s="1"/>
  <c r="AL279" i="3" s="1"/>
  <c r="AL435" i="3" s="1"/>
  <c r="AM292" i="7"/>
  <c r="AM199" i="3" s="1"/>
  <c r="AN292" i="7"/>
  <c r="AN199" i="3" s="1"/>
  <c r="AN279" i="3" s="1"/>
  <c r="AN435" i="3" s="1"/>
  <c r="AO292" i="7"/>
  <c r="AP292" i="7"/>
  <c r="AP199" i="3" s="1"/>
  <c r="AP279" i="3" s="1"/>
  <c r="AP356" i="3" s="1"/>
  <c r="AQ292" i="7"/>
  <c r="AR292" i="7"/>
  <c r="AR199" i="3" s="1"/>
  <c r="AR279" i="3" s="1"/>
  <c r="AS292" i="7"/>
  <c r="AT292" i="7"/>
  <c r="AT199" i="3" s="1"/>
  <c r="AT279" i="3" s="1"/>
  <c r="AU292" i="7"/>
  <c r="AU199" i="3" s="1"/>
  <c r="AU279" i="3" s="1"/>
  <c r="AV292" i="7"/>
  <c r="AV199" i="3" s="1"/>
  <c r="AV279" i="3" s="1"/>
  <c r="AW292" i="7"/>
  <c r="AX292" i="7"/>
  <c r="AX199" i="3" s="1"/>
  <c r="AX279" i="3" s="1"/>
  <c r="AY292" i="7"/>
  <c r="AY199" i="3" s="1"/>
  <c r="AY279" i="3" s="1"/>
  <c r="AY435" i="3" s="1"/>
  <c r="AZ292" i="7"/>
  <c r="AZ199" i="3" s="1"/>
  <c r="AZ279" i="3" s="1"/>
  <c r="BA292" i="7"/>
  <c r="BB292" i="7"/>
  <c r="BB199" i="3" s="1"/>
  <c r="BB279" i="3" s="1"/>
  <c r="BB435" i="3" s="1"/>
  <c r="BC292" i="7"/>
  <c r="BC199" i="3" s="1"/>
  <c r="BC279" i="3" s="1"/>
  <c r="BC435" i="3" s="1"/>
  <c r="BD292" i="7"/>
  <c r="BD199" i="3" s="1"/>
  <c r="BD279" i="3" s="1"/>
  <c r="BE292" i="7"/>
  <c r="BF292" i="7"/>
  <c r="BF199" i="3" s="1"/>
  <c r="BF279" i="3" s="1"/>
  <c r="BF435" i="3" s="1"/>
  <c r="BG292" i="7"/>
  <c r="BG199" i="3" s="1"/>
  <c r="BG279" i="3" s="1"/>
  <c r="BG435" i="3" s="1"/>
  <c r="BH292" i="7"/>
  <c r="BH199" i="3" s="1"/>
  <c r="BH279" i="3" s="1"/>
  <c r="BH356" i="3" s="1"/>
  <c r="BI292" i="7"/>
  <c r="BJ292" i="7"/>
  <c r="BJ199" i="3" s="1"/>
  <c r="BJ279" i="3" s="1"/>
  <c r="BJ435" i="3" s="1"/>
  <c r="BK292" i="7"/>
  <c r="BK199" i="3" s="1"/>
  <c r="BK279" i="3" s="1"/>
  <c r="BL292" i="7"/>
  <c r="BL199" i="3" s="1"/>
  <c r="BL279" i="3" s="1"/>
  <c r="BM292" i="7"/>
  <c r="BN292" i="7"/>
  <c r="BN199" i="3" s="1"/>
  <c r="BN279" i="3" s="1"/>
  <c r="BO292" i="7"/>
  <c r="BO199" i="3" s="1"/>
  <c r="BO279" i="3" s="1"/>
  <c r="BP292" i="7"/>
  <c r="BP199" i="3" s="1"/>
  <c r="BP279" i="3" s="1"/>
  <c r="BP356" i="3" s="1"/>
  <c r="S293" i="7"/>
  <c r="T293" i="7"/>
  <c r="T200" i="3" s="1"/>
  <c r="T280" i="3" s="1"/>
  <c r="U293" i="7"/>
  <c r="U200" i="3" s="1"/>
  <c r="U280" i="3" s="1"/>
  <c r="V293" i="7"/>
  <c r="V200" i="3" s="1"/>
  <c r="V280" i="3" s="1"/>
  <c r="W293" i="7"/>
  <c r="W200" i="3" s="1"/>
  <c r="W280" i="3" s="1"/>
  <c r="W357" i="3" s="1"/>
  <c r="X293" i="7"/>
  <c r="X200" i="3" s="1"/>
  <c r="X280" i="3" s="1"/>
  <c r="Y293" i="7"/>
  <c r="Y200" i="3" s="1"/>
  <c r="Y280" i="3" s="1"/>
  <c r="Y436" i="3" s="1"/>
  <c r="Z293" i="7"/>
  <c r="Z200" i="3" s="1"/>
  <c r="Z280" i="3" s="1"/>
  <c r="Z436" i="3" s="1"/>
  <c r="AA293" i="7"/>
  <c r="AB293" i="7"/>
  <c r="AB200" i="3" s="1"/>
  <c r="AB280" i="3" s="1"/>
  <c r="AC293" i="7"/>
  <c r="AC200" i="3" s="1"/>
  <c r="AD293" i="7"/>
  <c r="AD200" i="3" s="1"/>
  <c r="AD280" i="3" s="1"/>
  <c r="AE293" i="7"/>
  <c r="AF293" i="7"/>
  <c r="AF200" i="3" s="1"/>
  <c r="AF280" i="3" s="1"/>
  <c r="AF357" i="3" s="1"/>
  <c r="AG293" i="7"/>
  <c r="AG200" i="3" s="1"/>
  <c r="AG280" i="3" s="1"/>
  <c r="AH293" i="7"/>
  <c r="AH200" i="3" s="1"/>
  <c r="AH280" i="3" s="1"/>
  <c r="AH436" i="3" s="1"/>
  <c r="AI293" i="7"/>
  <c r="AJ293" i="7"/>
  <c r="AJ200" i="3" s="1"/>
  <c r="AJ280" i="3" s="1"/>
  <c r="AK293" i="7"/>
  <c r="AK200" i="3" s="1"/>
  <c r="AK280" i="3" s="1"/>
  <c r="AL293" i="7"/>
  <c r="AL200" i="3" s="1"/>
  <c r="AL280" i="3" s="1"/>
  <c r="AL357" i="3" s="1"/>
  <c r="AM293" i="7"/>
  <c r="AN293" i="7"/>
  <c r="AN200" i="3" s="1"/>
  <c r="AN280" i="3" s="1"/>
  <c r="AO293" i="7"/>
  <c r="AO200" i="3" s="1"/>
  <c r="AO280" i="3" s="1"/>
  <c r="AP293" i="7"/>
  <c r="AP200" i="3" s="1"/>
  <c r="AP280" i="3" s="1"/>
  <c r="AP357" i="3" s="1"/>
  <c r="AQ293" i="7"/>
  <c r="AR293" i="7"/>
  <c r="AR200" i="3" s="1"/>
  <c r="AR280" i="3" s="1"/>
  <c r="AS293" i="7"/>
  <c r="AS200" i="3" s="1"/>
  <c r="AS280" i="3" s="1"/>
  <c r="AS357" i="3" s="1"/>
  <c r="AT293" i="7"/>
  <c r="AT200" i="3" s="1"/>
  <c r="AT280" i="3" s="1"/>
  <c r="AU293" i="7"/>
  <c r="AV293" i="7"/>
  <c r="AV200" i="3" s="1"/>
  <c r="AV280" i="3" s="1"/>
  <c r="AV357" i="3" s="1"/>
  <c r="AW293" i="7"/>
  <c r="AW200" i="3" s="1"/>
  <c r="AW280" i="3" s="1"/>
  <c r="AX293" i="7"/>
  <c r="AX200" i="3" s="1"/>
  <c r="AX280" i="3" s="1"/>
  <c r="AY293" i="7"/>
  <c r="AZ293" i="7"/>
  <c r="AZ200" i="3" s="1"/>
  <c r="AZ280" i="3" s="1"/>
  <c r="BA293" i="7"/>
  <c r="BA200" i="3" s="1"/>
  <c r="BA280" i="3" s="1"/>
  <c r="BB293" i="7"/>
  <c r="BB200" i="3" s="1"/>
  <c r="BB280" i="3" s="1"/>
  <c r="BB357" i="3" s="1"/>
  <c r="BC293" i="7"/>
  <c r="BD293" i="7"/>
  <c r="BD200" i="3" s="1"/>
  <c r="BD280" i="3" s="1"/>
  <c r="BE293" i="7"/>
  <c r="BE200" i="3" s="1"/>
  <c r="BE280" i="3" s="1"/>
  <c r="BE436" i="3" s="1"/>
  <c r="BF293" i="7"/>
  <c r="BF200" i="3" s="1"/>
  <c r="BF280" i="3" s="1"/>
  <c r="BG293" i="7"/>
  <c r="BH293" i="7"/>
  <c r="BH200" i="3" s="1"/>
  <c r="BH280" i="3" s="1"/>
  <c r="BI293" i="7"/>
  <c r="BI200" i="3" s="1"/>
  <c r="BI280" i="3" s="1"/>
  <c r="BJ293" i="7"/>
  <c r="BJ200" i="3" s="1"/>
  <c r="BJ280" i="3" s="1"/>
  <c r="BJ436" i="3" s="1"/>
  <c r="BK293" i="7"/>
  <c r="BL293" i="7"/>
  <c r="BL200" i="3" s="1"/>
  <c r="BL280" i="3" s="1"/>
  <c r="BM293" i="7"/>
  <c r="BM200" i="3" s="1"/>
  <c r="BM280" i="3" s="1"/>
  <c r="BM357" i="3" s="1"/>
  <c r="BN293" i="7"/>
  <c r="BN200" i="3" s="1"/>
  <c r="BN280" i="3" s="1"/>
  <c r="BO293" i="7"/>
  <c r="BP293" i="7"/>
  <c r="BP200" i="3" s="1"/>
  <c r="BP280" i="3" s="1"/>
  <c r="S295" i="7"/>
  <c r="S202" i="3" s="1"/>
  <c r="S282" i="3" s="1"/>
  <c r="S359" i="3" s="1"/>
  <c r="T295" i="7"/>
  <c r="T202" i="3" s="1"/>
  <c r="T282" i="3" s="1"/>
  <c r="U295" i="7"/>
  <c r="U202" i="3" s="1"/>
  <c r="U282" i="3" s="1"/>
  <c r="V295" i="7"/>
  <c r="V202" i="3" s="1"/>
  <c r="W295" i="7"/>
  <c r="W202" i="3" s="1"/>
  <c r="W282" i="3" s="1"/>
  <c r="X295" i="7"/>
  <c r="X202" i="3" s="1"/>
  <c r="X282" i="3" s="1"/>
  <c r="Y295" i="7"/>
  <c r="Y202" i="3" s="1"/>
  <c r="Y282" i="3" s="1"/>
  <c r="Y438" i="3" s="1"/>
  <c r="Z295" i="7"/>
  <c r="Z202" i="3" s="1"/>
  <c r="Z282" i="3" s="1"/>
  <c r="Z359" i="3" s="1"/>
  <c r="AA295" i="7"/>
  <c r="AA202" i="3" s="1"/>
  <c r="AA282" i="3" s="1"/>
  <c r="AA359" i="3" s="1"/>
  <c r="AB295" i="7"/>
  <c r="AB202" i="3" s="1"/>
  <c r="AB282" i="3" s="1"/>
  <c r="AB359" i="3" s="1"/>
  <c r="AC295" i="7"/>
  <c r="AD295" i="7"/>
  <c r="AD202" i="3" s="1"/>
  <c r="AD282" i="3" s="1"/>
  <c r="AD438" i="3" s="1"/>
  <c r="AE295" i="7"/>
  <c r="AE202" i="3" s="1"/>
  <c r="AE282" i="3" s="1"/>
  <c r="AF295" i="7"/>
  <c r="AF202" i="3" s="1"/>
  <c r="AF282" i="3" s="1"/>
  <c r="AF359" i="3" s="1"/>
  <c r="AG295" i="7"/>
  <c r="AH295" i="7"/>
  <c r="AH202" i="3" s="1"/>
  <c r="AH282" i="3" s="1"/>
  <c r="AI295" i="7"/>
  <c r="AI202" i="3" s="1"/>
  <c r="AI282" i="3" s="1"/>
  <c r="AJ295" i="7"/>
  <c r="AJ202" i="3" s="1"/>
  <c r="AJ282" i="3" s="1"/>
  <c r="AJ438" i="3" s="1"/>
  <c r="AK295" i="7"/>
  <c r="AL295" i="7"/>
  <c r="AL202" i="3" s="1"/>
  <c r="AL282" i="3" s="1"/>
  <c r="AL438" i="3" s="1"/>
  <c r="AM295" i="7"/>
  <c r="AM202" i="3" s="1"/>
  <c r="AM282" i="3" s="1"/>
  <c r="AN295" i="7"/>
  <c r="AN202" i="3" s="1"/>
  <c r="AN282" i="3" s="1"/>
  <c r="AN438" i="3" s="1"/>
  <c r="AO295" i="7"/>
  <c r="AP295" i="7"/>
  <c r="AP202" i="3" s="1"/>
  <c r="AP282" i="3" s="1"/>
  <c r="AP359" i="3" s="1"/>
  <c r="AQ295" i="7"/>
  <c r="AQ202" i="3" s="1"/>
  <c r="AQ282" i="3" s="1"/>
  <c r="AR295" i="7"/>
  <c r="AR202" i="3" s="1"/>
  <c r="AR282" i="3" s="1"/>
  <c r="AR359" i="3" s="1"/>
  <c r="AS295" i="7"/>
  <c r="AT295" i="7"/>
  <c r="AT202" i="3" s="1"/>
  <c r="AT282" i="3" s="1"/>
  <c r="AU295" i="7"/>
  <c r="AU202" i="3" s="1"/>
  <c r="AU282" i="3" s="1"/>
  <c r="AU359" i="3" s="1"/>
  <c r="AV295" i="7"/>
  <c r="AV202" i="3" s="1"/>
  <c r="AW295" i="7"/>
  <c r="AX295" i="7"/>
  <c r="AX202" i="3" s="1"/>
  <c r="AX282" i="3" s="1"/>
  <c r="AX359" i="3" s="1"/>
  <c r="AY295" i="7"/>
  <c r="AY202" i="3" s="1"/>
  <c r="AY282" i="3" s="1"/>
  <c r="AZ295" i="7"/>
  <c r="AZ202" i="3" s="1"/>
  <c r="AZ282" i="3" s="1"/>
  <c r="AZ438" i="3" s="1"/>
  <c r="BA295" i="7"/>
  <c r="BB295" i="7"/>
  <c r="BB202" i="3" s="1"/>
  <c r="BB282" i="3" s="1"/>
  <c r="BB359" i="3" s="1"/>
  <c r="BC295" i="7"/>
  <c r="BC202" i="3" s="1"/>
  <c r="BC282" i="3" s="1"/>
  <c r="BD295" i="7"/>
  <c r="BD202" i="3" s="1"/>
  <c r="BD282" i="3" s="1"/>
  <c r="BE295" i="7"/>
  <c r="BF295" i="7"/>
  <c r="BF202" i="3" s="1"/>
  <c r="BF282" i="3" s="1"/>
  <c r="BG295" i="7"/>
  <c r="BG202" i="3" s="1"/>
  <c r="BG282" i="3" s="1"/>
  <c r="BH295" i="7"/>
  <c r="BH202" i="3" s="1"/>
  <c r="BH282" i="3" s="1"/>
  <c r="BH359" i="3" s="1"/>
  <c r="BI295" i="7"/>
  <c r="BJ295" i="7"/>
  <c r="BJ202" i="3" s="1"/>
  <c r="BJ282" i="3" s="1"/>
  <c r="BK295" i="7"/>
  <c r="BK202" i="3" s="1"/>
  <c r="BK282" i="3" s="1"/>
  <c r="BK438" i="3" s="1"/>
  <c r="BK516" i="3" s="1"/>
  <c r="BL295" i="7"/>
  <c r="BL202" i="3" s="1"/>
  <c r="BL282" i="3" s="1"/>
  <c r="BL359" i="3" s="1"/>
  <c r="BM295" i="7"/>
  <c r="BN295" i="7"/>
  <c r="BN202" i="3" s="1"/>
  <c r="BN282" i="3" s="1"/>
  <c r="BN438" i="3" s="1"/>
  <c r="BO295" i="7"/>
  <c r="BO202" i="3" s="1"/>
  <c r="BO282" i="3" s="1"/>
  <c r="BP295" i="7"/>
  <c r="BP202" i="3" s="1"/>
  <c r="BP282" i="3" s="1"/>
  <c r="BP359" i="3" s="1"/>
  <c r="S297" i="7"/>
  <c r="T297" i="7"/>
  <c r="T204" i="3" s="1"/>
  <c r="T284" i="3" s="1"/>
  <c r="U297" i="7"/>
  <c r="U204" i="3" s="1"/>
  <c r="U284" i="3" s="1"/>
  <c r="V297" i="7"/>
  <c r="V204" i="3" s="1"/>
  <c r="V284" i="3" s="1"/>
  <c r="W297" i="7"/>
  <c r="W204" i="3" s="1"/>
  <c r="W284" i="3" s="1"/>
  <c r="X297" i="7"/>
  <c r="X204" i="3" s="1"/>
  <c r="X284" i="3" s="1"/>
  <c r="Y297" i="7"/>
  <c r="Y204" i="3" s="1"/>
  <c r="Y284" i="3" s="1"/>
  <c r="Z297" i="7"/>
  <c r="Z204" i="3" s="1"/>
  <c r="Z284" i="3" s="1"/>
  <c r="Z440" i="3" s="1"/>
  <c r="AA297" i="7"/>
  <c r="AB297" i="7"/>
  <c r="AB204" i="3" s="1"/>
  <c r="AB284" i="3" s="1"/>
  <c r="AB361" i="3" s="1"/>
  <c r="AC297" i="7"/>
  <c r="AC204" i="3" s="1"/>
  <c r="AC284" i="3" s="1"/>
  <c r="AD297" i="7"/>
  <c r="AD204" i="3" s="1"/>
  <c r="AD284" i="3" s="1"/>
  <c r="AD361" i="3" s="1"/>
  <c r="AE297" i="7"/>
  <c r="AF297" i="7"/>
  <c r="AF204" i="3" s="1"/>
  <c r="AF284" i="3" s="1"/>
  <c r="AF361" i="3" s="1"/>
  <c r="AG297" i="7"/>
  <c r="AG204" i="3" s="1"/>
  <c r="AG284" i="3" s="1"/>
  <c r="AH297" i="7"/>
  <c r="AH204" i="3" s="1"/>
  <c r="AH284" i="3" s="1"/>
  <c r="AH440" i="3" s="1"/>
  <c r="AI297" i="7"/>
  <c r="AJ297" i="7"/>
  <c r="AJ204" i="3" s="1"/>
  <c r="AJ284" i="3" s="1"/>
  <c r="AJ361" i="3" s="1"/>
  <c r="AK297" i="7"/>
  <c r="AK204" i="3" s="1"/>
  <c r="AK284" i="3" s="1"/>
  <c r="AL297" i="7"/>
  <c r="AL204" i="3" s="1"/>
  <c r="AL284" i="3" s="1"/>
  <c r="AM297" i="7"/>
  <c r="AN297" i="7"/>
  <c r="AN204" i="3" s="1"/>
  <c r="AN284" i="3" s="1"/>
  <c r="AO297" i="7"/>
  <c r="AO204" i="3" s="1"/>
  <c r="AO284" i="3" s="1"/>
  <c r="AP297" i="7"/>
  <c r="AP204" i="3" s="1"/>
  <c r="AP284" i="3" s="1"/>
  <c r="AQ297" i="7"/>
  <c r="AR297" i="7"/>
  <c r="AR204" i="3" s="1"/>
  <c r="AR284" i="3" s="1"/>
  <c r="AS297" i="7"/>
  <c r="AS204" i="3" s="1"/>
  <c r="AS284" i="3" s="1"/>
  <c r="AT297" i="7"/>
  <c r="AT204" i="3" s="1"/>
  <c r="AT284" i="3" s="1"/>
  <c r="AU297" i="7"/>
  <c r="AV297" i="7"/>
  <c r="AV204" i="3" s="1"/>
  <c r="AV284" i="3" s="1"/>
  <c r="AW297" i="7"/>
  <c r="AW204" i="3" s="1"/>
  <c r="AW284" i="3" s="1"/>
  <c r="AX297" i="7"/>
  <c r="AX204" i="3" s="1"/>
  <c r="AX284" i="3" s="1"/>
  <c r="AY297" i="7"/>
  <c r="AZ297" i="7"/>
  <c r="AZ204" i="3" s="1"/>
  <c r="AZ284" i="3" s="1"/>
  <c r="AZ361" i="3" s="1"/>
  <c r="BA297" i="7"/>
  <c r="BA204" i="3" s="1"/>
  <c r="BA284" i="3" s="1"/>
  <c r="BA440" i="3" s="1"/>
  <c r="BB297" i="7"/>
  <c r="BB204" i="3" s="1"/>
  <c r="BB284" i="3" s="1"/>
  <c r="BC297" i="7"/>
  <c r="BD297" i="7"/>
  <c r="BD204" i="3" s="1"/>
  <c r="BD284" i="3" s="1"/>
  <c r="BE297" i="7"/>
  <c r="BE204" i="3" s="1"/>
  <c r="BE284" i="3" s="1"/>
  <c r="BE440" i="3" s="1"/>
  <c r="BF297" i="7"/>
  <c r="BF204" i="3" s="1"/>
  <c r="BF284" i="3" s="1"/>
  <c r="BF361" i="3" s="1"/>
  <c r="BG297" i="7"/>
  <c r="BH297" i="7"/>
  <c r="BH204" i="3" s="1"/>
  <c r="BH284" i="3" s="1"/>
  <c r="BI297" i="7"/>
  <c r="BI204" i="3" s="1"/>
  <c r="BI284" i="3" s="1"/>
  <c r="BI361" i="3" s="1"/>
  <c r="BJ297" i="7"/>
  <c r="BJ204" i="3" s="1"/>
  <c r="BJ284" i="3" s="1"/>
  <c r="BJ361" i="3" s="1"/>
  <c r="BK297" i="7"/>
  <c r="BL297" i="7"/>
  <c r="BL204" i="3" s="1"/>
  <c r="BL284" i="3" s="1"/>
  <c r="BM297" i="7"/>
  <c r="BM204" i="3" s="1"/>
  <c r="BM284" i="3" s="1"/>
  <c r="BN297" i="7"/>
  <c r="BN204" i="3" s="1"/>
  <c r="BN284" i="3" s="1"/>
  <c r="BN440" i="3" s="1"/>
  <c r="BO297" i="7"/>
  <c r="BP297" i="7"/>
  <c r="BP204" i="3" s="1"/>
  <c r="BP284" i="3" s="1"/>
  <c r="BP440" i="3" s="1"/>
  <c r="S298" i="7"/>
  <c r="S205" i="3" s="1"/>
  <c r="T298" i="7"/>
  <c r="T205" i="3" s="1"/>
  <c r="U298" i="7"/>
  <c r="U205" i="3" s="1"/>
  <c r="V298" i="7"/>
  <c r="V205" i="3" s="1"/>
  <c r="V206" i="3" s="1"/>
  <c r="W298" i="7"/>
  <c r="W205" i="3" s="1"/>
  <c r="W285" i="3" s="1"/>
  <c r="X298" i="7"/>
  <c r="X205" i="3" s="1"/>
  <c r="Y298" i="7"/>
  <c r="Y205" i="3" s="1"/>
  <c r="Z298" i="7"/>
  <c r="Z205" i="3" s="1"/>
  <c r="Z206" i="3" s="1"/>
  <c r="AA298" i="7"/>
  <c r="AA205" i="3" s="1"/>
  <c r="AB298" i="7"/>
  <c r="AB205" i="3" s="1"/>
  <c r="AC298" i="7"/>
  <c r="AD298" i="7"/>
  <c r="AD205" i="3" s="1"/>
  <c r="AE298" i="7"/>
  <c r="AE205" i="3" s="1"/>
  <c r="AF298" i="7"/>
  <c r="AF205" i="3" s="1"/>
  <c r="AG298" i="7"/>
  <c r="AH298" i="7"/>
  <c r="AH205" i="3" s="1"/>
  <c r="AI298" i="7"/>
  <c r="AI205" i="3" s="1"/>
  <c r="AI285" i="3" s="1"/>
  <c r="AJ298" i="7"/>
  <c r="AJ205" i="3" s="1"/>
  <c r="AJ206" i="3" s="1"/>
  <c r="AK298" i="7"/>
  <c r="AL298" i="7"/>
  <c r="AL205" i="3" s="1"/>
  <c r="AL206" i="3" s="1"/>
  <c r="AM298" i="7"/>
  <c r="AN298" i="7"/>
  <c r="AN205" i="3" s="1"/>
  <c r="AO298" i="7"/>
  <c r="AP298" i="7"/>
  <c r="AP205" i="3" s="1"/>
  <c r="AQ298" i="7"/>
  <c r="AQ205" i="3" s="1"/>
  <c r="AQ206" i="3" s="1"/>
  <c r="AR298" i="7"/>
  <c r="AR205" i="3" s="1"/>
  <c r="AS298" i="7"/>
  <c r="AT298" i="7"/>
  <c r="AU298" i="7"/>
  <c r="AV298" i="7"/>
  <c r="AV205" i="3" s="1"/>
  <c r="AW298" i="7"/>
  <c r="AX298" i="7"/>
  <c r="AY298" i="7"/>
  <c r="AY205" i="3" s="1"/>
  <c r="AY285" i="3" s="1"/>
  <c r="AZ298" i="7"/>
  <c r="AZ205" i="3" s="1"/>
  <c r="BA298" i="7"/>
  <c r="BB298" i="7"/>
  <c r="BB205" i="3" s="1"/>
  <c r="BC298" i="7"/>
  <c r="BD298" i="7"/>
  <c r="BD205" i="3" s="1"/>
  <c r="BE298" i="7"/>
  <c r="BF298" i="7"/>
  <c r="BG298" i="7"/>
  <c r="BG205" i="3" s="1"/>
  <c r="BG206" i="3" s="1"/>
  <c r="BH298" i="7"/>
  <c r="BH205" i="3" s="1"/>
  <c r="BI298" i="7"/>
  <c r="BJ298" i="7"/>
  <c r="BJ205" i="3" s="1"/>
  <c r="BK298" i="7"/>
  <c r="BL298" i="7"/>
  <c r="BL205" i="3" s="1"/>
  <c r="BM298" i="7"/>
  <c r="BN298" i="7"/>
  <c r="BN205" i="3" s="1"/>
  <c r="BO298" i="7"/>
  <c r="BO205" i="3" s="1"/>
  <c r="BP298" i="7"/>
  <c r="BP205" i="3" s="1"/>
  <c r="S299" i="7"/>
  <c r="T299" i="7"/>
  <c r="T207" i="3" s="1"/>
  <c r="U299" i="7"/>
  <c r="U207" i="3" s="1"/>
  <c r="U286" i="3" s="1"/>
  <c r="U363" i="3" s="1"/>
  <c r="V299" i="7"/>
  <c r="V207" i="3" s="1"/>
  <c r="V286" i="3" s="1"/>
  <c r="W299" i="7"/>
  <c r="W207" i="3" s="1"/>
  <c r="W286" i="3" s="1"/>
  <c r="W363" i="3" s="1"/>
  <c r="X299" i="7"/>
  <c r="X207" i="3" s="1"/>
  <c r="X286" i="3" s="1"/>
  <c r="X363" i="3" s="1"/>
  <c r="Y299" i="7"/>
  <c r="Y207" i="3" s="1"/>
  <c r="Y286" i="3" s="1"/>
  <c r="Z299" i="7"/>
  <c r="Z207" i="3" s="1"/>
  <c r="Z286" i="3" s="1"/>
  <c r="AA299" i="7"/>
  <c r="AB299" i="7"/>
  <c r="AB207" i="3" s="1"/>
  <c r="AB286" i="3" s="1"/>
  <c r="AB442" i="3" s="1"/>
  <c r="AC299" i="7"/>
  <c r="AC207" i="3" s="1"/>
  <c r="AC286" i="3" s="1"/>
  <c r="AD299" i="7"/>
  <c r="AD207" i="3" s="1"/>
  <c r="AD286" i="3" s="1"/>
  <c r="AE299" i="7"/>
  <c r="AF299" i="7"/>
  <c r="AF207" i="3" s="1"/>
  <c r="AF286" i="3" s="1"/>
  <c r="AF363" i="3" s="1"/>
  <c r="AG299" i="7"/>
  <c r="AG207" i="3" s="1"/>
  <c r="AG286" i="3" s="1"/>
  <c r="AG363" i="3" s="1"/>
  <c r="AH299" i="7"/>
  <c r="AH207" i="3" s="1"/>
  <c r="AH286" i="3" s="1"/>
  <c r="AI299" i="7"/>
  <c r="AJ299" i="7"/>
  <c r="AJ207" i="3" s="1"/>
  <c r="AJ286" i="3" s="1"/>
  <c r="AJ442" i="3" s="1"/>
  <c r="AK299" i="7"/>
  <c r="AK207" i="3" s="1"/>
  <c r="AK286" i="3" s="1"/>
  <c r="AK363" i="3" s="1"/>
  <c r="AL299" i="7"/>
  <c r="AL207" i="3" s="1"/>
  <c r="AL286" i="3" s="1"/>
  <c r="AM299" i="7"/>
  <c r="AN299" i="7"/>
  <c r="AN207" i="3" s="1"/>
  <c r="AN286" i="3" s="1"/>
  <c r="AN442" i="3" s="1"/>
  <c r="AO299" i="7"/>
  <c r="AO207" i="3" s="1"/>
  <c r="AO286" i="3" s="1"/>
  <c r="AP299" i="7"/>
  <c r="AP207" i="3" s="1"/>
  <c r="AP286" i="3" s="1"/>
  <c r="AP442" i="3" s="1"/>
  <c r="AQ299" i="7"/>
  <c r="AR299" i="7"/>
  <c r="AR207" i="3" s="1"/>
  <c r="AR286" i="3" s="1"/>
  <c r="AR442" i="3" s="1"/>
  <c r="AS299" i="7"/>
  <c r="AS207" i="3" s="1"/>
  <c r="AS286" i="3" s="1"/>
  <c r="AT299" i="7"/>
  <c r="AT207" i="3" s="1"/>
  <c r="AT286" i="3" s="1"/>
  <c r="AU299" i="7"/>
  <c r="AV299" i="7"/>
  <c r="AV207" i="3" s="1"/>
  <c r="AV286" i="3" s="1"/>
  <c r="AW299" i="7"/>
  <c r="AW207" i="3" s="1"/>
  <c r="AW286" i="3" s="1"/>
  <c r="AX299" i="7"/>
  <c r="AX207" i="3" s="1"/>
  <c r="AX286" i="3" s="1"/>
  <c r="AX363" i="3" s="1"/>
  <c r="AY299" i="7"/>
  <c r="AZ299" i="7"/>
  <c r="AZ207" i="3" s="1"/>
  <c r="AZ286" i="3" s="1"/>
  <c r="BA299" i="7"/>
  <c r="BA207" i="3" s="1"/>
  <c r="BA286" i="3" s="1"/>
  <c r="BB299" i="7"/>
  <c r="BB207" i="3" s="1"/>
  <c r="BB286" i="3" s="1"/>
  <c r="BB363" i="3" s="1"/>
  <c r="BC299" i="7"/>
  <c r="BD299" i="7"/>
  <c r="BD207" i="3" s="1"/>
  <c r="BD286" i="3" s="1"/>
  <c r="BE299" i="7"/>
  <c r="BE207" i="3" s="1"/>
  <c r="BE286" i="3" s="1"/>
  <c r="BF299" i="7"/>
  <c r="BF207" i="3" s="1"/>
  <c r="BF286" i="3" s="1"/>
  <c r="BF442" i="3" s="1"/>
  <c r="BG299" i="7"/>
  <c r="BH299" i="7"/>
  <c r="BH207" i="3" s="1"/>
  <c r="BH286" i="3" s="1"/>
  <c r="BH442" i="3" s="1"/>
  <c r="BI299" i="7"/>
  <c r="BI207" i="3" s="1"/>
  <c r="BI286" i="3" s="1"/>
  <c r="BJ299" i="7"/>
  <c r="BJ207" i="3" s="1"/>
  <c r="BJ286" i="3" s="1"/>
  <c r="BJ363" i="3" s="1"/>
  <c r="BK299" i="7"/>
  <c r="BL299" i="7"/>
  <c r="BL207" i="3" s="1"/>
  <c r="BL286" i="3" s="1"/>
  <c r="BL442" i="3" s="1"/>
  <c r="BM299" i="7"/>
  <c r="BM207" i="3" s="1"/>
  <c r="BM286" i="3" s="1"/>
  <c r="BM442" i="3" s="1"/>
  <c r="BN299" i="7"/>
  <c r="BN207" i="3" s="1"/>
  <c r="BN286" i="3" s="1"/>
  <c r="BO299" i="7"/>
  <c r="BP299" i="7"/>
  <c r="BP207" i="3" s="1"/>
  <c r="BP286" i="3" s="1"/>
  <c r="BP363" i="3" s="1"/>
  <c r="S301" i="7"/>
  <c r="S209" i="3" s="1"/>
  <c r="S288" i="3" s="1"/>
  <c r="T301" i="7"/>
  <c r="T209" i="3" s="1"/>
  <c r="T288" i="3" s="1"/>
  <c r="T365" i="3" s="1"/>
  <c r="U301" i="7"/>
  <c r="U209" i="3" s="1"/>
  <c r="U288" i="3" s="1"/>
  <c r="U444" i="3" s="1"/>
  <c r="V301" i="7"/>
  <c r="V209" i="3" s="1"/>
  <c r="W301" i="7"/>
  <c r="W209" i="3" s="1"/>
  <c r="W288" i="3" s="1"/>
  <c r="X301" i="7"/>
  <c r="X209" i="3" s="1"/>
  <c r="X288" i="3" s="1"/>
  <c r="Y301" i="7"/>
  <c r="Y209" i="3" s="1"/>
  <c r="Z301" i="7"/>
  <c r="Z209" i="3" s="1"/>
  <c r="Z288" i="3" s="1"/>
  <c r="AA301" i="7"/>
  <c r="AA209" i="3" s="1"/>
  <c r="AA288" i="3" s="1"/>
  <c r="AB301" i="7"/>
  <c r="AB209" i="3" s="1"/>
  <c r="AB288" i="3" s="1"/>
  <c r="AB365" i="3" s="1"/>
  <c r="AC301" i="7"/>
  <c r="AD301" i="7"/>
  <c r="AD209" i="3" s="1"/>
  <c r="AD288" i="3" s="1"/>
  <c r="AD365" i="3" s="1"/>
  <c r="AE301" i="7"/>
  <c r="AE209" i="3" s="1"/>
  <c r="AE288" i="3" s="1"/>
  <c r="AF301" i="7"/>
  <c r="AF209" i="3" s="1"/>
  <c r="AF288" i="3" s="1"/>
  <c r="AF365" i="3" s="1"/>
  <c r="AG301" i="7"/>
  <c r="AH301" i="7"/>
  <c r="AH209" i="3" s="1"/>
  <c r="AH288" i="3" s="1"/>
  <c r="AI301" i="7"/>
  <c r="AI209" i="3" s="1"/>
  <c r="AI288" i="3" s="1"/>
  <c r="AJ301" i="7"/>
  <c r="AJ209" i="3" s="1"/>
  <c r="AJ288" i="3" s="1"/>
  <c r="AK301" i="7"/>
  <c r="AL301" i="7"/>
  <c r="AL209" i="3" s="1"/>
  <c r="AL288" i="3" s="1"/>
  <c r="AM301" i="7"/>
  <c r="AN301" i="7"/>
  <c r="AN209" i="3" s="1"/>
  <c r="AN288" i="3" s="1"/>
  <c r="AO301" i="7"/>
  <c r="AP301" i="7"/>
  <c r="AP209" i="3" s="1"/>
  <c r="AP288" i="3" s="1"/>
  <c r="AQ301" i="7"/>
  <c r="AQ209" i="3" s="1"/>
  <c r="AQ288" i="3" s="1"/>
  <c r="AQ365" i="3" s="1"/>
  <c r="AR301" i="7"/>
  <c r="AR209" i="3" s="1"/>
  <c r="AR288" i="3" s="1"/>
  <c r="AS301" i="7"/>
  <c r="AT301" i="7"/>
  <c r="AT209" i="3" s="1"/>
  <c r="AT288" i="3" s="1"/>
  <c r="AU301" i="7"/>
  <c r="AU209" i="3" s="1"/>
  <c r="AU288" i="3" s="1"/>
  <c r="AV301" i="7"/>
  <c r="AV209" i="3" s="1"/>
  <c r="AV288" i="3" s="1"/>
  <c r="AV444" i="3" s="1"/>
  <c r="AW301" i="7"/>
  <c r="AX301" i="7"/>
  <c r="AX209" i="3" s="1"/>
  <c r="AX288" i="3" s="1"/>
  <c r="AX444" i="3" s="1"/>
  <c r="AY301" i="7"/>
  <c r="AY209" i="3" s="1"/>
  <c r="AY288" i="3" s="1"/>
  <c r="AZ301" i="7"/>
  <c r="AZ209" i="3" s="1"/>
  <c r="AZ288" i="3" s="1"/>
  <c r="AZ444" i="3" s="1"/>
  <c r="BA301" i="7"/>
  <c r="BB301" i="7"/>
  <c r="BB209" i="3" s="1"/>
  <c r="BB288" i="3" s="1"/>
  <c r="BC301" i="7"/>
  <c r="BC209" i="3" s="1"/>
  <c r="BC288" i="3" s="1"/>
  <c r="BC365" i="3" s="1"/>
  <c r="BD301" i="7"/>
  <c r="BD209" i="3" s="1"/>
  <c r="BD288" i="3" s="1"/>
  <c r="BD444" i="3" s="1"/>
  <c r="BE301" i="7"/>
  <c r="BF301" i="7"/>
  <c r="BF209" i="3" s="1"/>
  <c r="BF288" i="3" s="1"/>
  <c r="BG301" i="7"/>
  <c r="BG209" i="3" s="1"/>
  <c r="BG288" i="3" s="1"/>
  <c r="BH301" i="7"/>
  <c r="BH209" i="3" s="1"/>
  <c r="BH288" i="3" s="1"/>
  <c r="BH444" i="3" s="1"/>
  <c r="BI301" i="7"/>
  <c r="BJ301" i="7"/>
  <c r="BJ209" i="3" s="1"/>
  <c r="BJ288" i="3" s="1"/>
  <c r="BJ365" i="3" s="1"/>
  <c r="BK301" i="7"/>
  <c r="BK209" i="3" s="1"/>
  <c r="BK288" i="3" s="1"/>
  <c r="BL301" i="7"/>
  <c r="BL209" i="3" s="1"/>
  <c r="BL288" i="3" s="1"/>
  <c r="BL444" i="3" s="1"/>
  <c r="BM301" i="7"/>
  <c r="BN301" i="7"/>
  <c r="BN209" i="3" s="1"/>
  <c r="BN288" i="3" s="1"/>
  <c r="BO301" i="7"/>
  <c r="BO209" i="3" s="1"/>
  <c r="BO288" i="3" s="1"/>
  <c r="BP301" i="7"/>
  <c r="BP209" i="3" s="1"/>
  <c r="BP288" i="3" s="1"/>
  <c r="BP365" i="3" s="1"/>
  <c r="S302" i="7"/>
  <c r="T302" i="7"/>
  <c r="T210" i="3" s="1"/>
  <c r="T211" i="3" s="1"/>
  <c r="U302" i="7"/>
  <c r="U210" i="3" s="1"/>
  <c r="V302" i="7"/>
  <c r="V210" i="3" s="1"/>
  <c r="W302" i="7"/>
  <c r="W210" i="3" s="1"/>
  <c r="W211" i="3" s="1"/>
  <c r="X302" i="7"/>
  <c r="X210" i="3" s="1"/>
  <c r="X211" i="3" s="1"/>
  <c r="Y302" i="7"/>
  <c r="Y210" i="3" s="1"/>
  <c r="Z302" i="7"/>
  <c r="Z210" i="3" s="1"/>
  <c r="Z289" i="3" s="1"/>
  <c r="AA302" i="7"/>
  <c r="AA210" i="3" s="1"/>
  <c r="AB302" i="7"/>
  <c r="AB210" i="3" s="1"/>
  <c r="AB289" i="3" s="1"/>
  <c r="AC302" i="7"/>
  <c r="AC210" i="3" s="1"/>
  <c r="AC211" i="3" s="1"/>
  <c r="AD302" i="7"/>
  <c r="AD210" i="3" s="1"/>
  <c r="AE302" i="7"/>
  <c r="AF302" i="7"/>
  <c r="AF210" i="3" s="1"/>
  <c r="AG302" i="7"/>
  <c r="AH302" i="7"/>
  <c r="AH210" i="3" s="1"/>
  <c r="AI302" i="7"/>
  <c r="AJ302" i="7"/>
  <c r="AJ210" i="3" s="1"/>
  <c r="AJ211" i="3" s="1"/>
  <c r="AK302" i="7"/>
  <c r="AK210" i="3" s="1"/>
  <c r="AL302" i="7"/>
  <c r="AL210" i="3" s="1"/>
  <c r="AM302" i="7"/>
  <c r="AN302" i="7"/>
  <c r="AN210" i="3" s="1"/>
  <c r="AN289" i="3" s="1"/>
  <c r="AO302" i="7"/>
  <c r="AO210" i="3" s="1"/>
  <c r="AP302" i="7"/>
  <c r="AP210" i="3" s="1"/>
  <c r="AQ302" i="7"/>
  <c r="AR302" i="7"/>
  <c r="AR210" i="3" s="1"/>
  <c r="AS302" i="7"/>
  <c r="AS210" i="3" s="1"/>
  <c r="AS211" i="3" s="1"/>
  <c r="AT302" i="7"/>
  <c r="AT210" i="3" s="1"/>
  <c r="AT211" i="3" s="1"/>
  <c r="AU302" i="7"/>
  <c r="AV302" i="7"/>
  <c r="AV210" i="3" s="1"/>
  <c r="AW302" i="7"/>
  <c r="AW210" i="3" s="1"/>
  <c r="AW211" i="3" s="1"/>
  <c r="AX302" i="7"/>
  <c r="AX210" i="3" s="1"/>
  <c r="AY302" i="7"/>
  <c r="AZ302" i="7"/>
  <c r="AZ210" i="3" s="1"/>
  <c r="BA302" i="7"/>
  <c r="BA210" i="3" s="1"/>
  <c r="BA211" i="3" s="1"/>
  <c r="BB302" i="7"/>
  <c r="BB210" i="3" s="1"/>
  <c r="BC302" i="7"/>
  <c r="BD302" i="7"/>
  <c r="BD210" i="3" s="1"/>
  <c r="BD211" i="3" s="1"/>
  <c r="BE302" i="7"/>
  <c r="BE210" i="3" s="1"/>
  <c r="BE289" i="3" s="1"/>
  <c r="BT349" i="4" s="1"/>
  <c r="BF302" i="7"/>
  <c r="BF210" i="3" s="1"/>
  <c r="BF211" i="3" s="1"/>
  <c r="BG302" i="7"/>
  <c r="BH302" i="7"/>
  <c r="BH210" i="3" s="1"/>
  <c r="BH211" i="3" s="1"/>
  <c r="BI302" i="7"/>
  <c r="BI210" i="3" s="1"/>
  <c r="BJ302" i="7"/>
  <c r="BJ210" i="3" s="1"/>
  <c r="BK302" i="7"/>
  <c r="BL302" i="7"/>
  <c r="BL210" i="3" s="1"/>
  <c r="BM302" i="7"/>
  <c r="BM210" i="3" s="1"/>
  <c r="BN302" i="7"/>
  <c r="BN210" i="3" s="1"/>
  <c r="BO302" i="7"/>
  <c r="BP302" i="7"/>
  <c r="BP210" i="3" s="1"/>
  <c r="S303" i="7"/>
  <c r="S212" i="3" s="1"/>
  <c r="S290" i="3" s="1"/>
  <c r="S446" i="3" s="1"/>
  <c r="T303" i="7"/>
  <c r="T212" i="3" s="1"/>
  <c r="T290" i="3" s="1"/>
  <c r="U303" i="7"/>
  <c r="U212" i="3" s="1"/>
  <c r="U290" i="3" s="1"/>
  <c r="V303" i="7"/>
  <c r="V212" i="3" s="1"/>
  <c r="W303" i="7"/>
  <c r="W212" i="3" s="1"/>
  <c r="W290" i="3" s="1"/>
  <c r="X303" i="7"/>
  <c r="X212" i="3" s="1"/>
  <c r="X290" i="3" s="1"/>
  <c r="Y303" i="7"/>
  <c r="Y212" i="3" s="1"/>
  <c r="Y290" i="3" s="1"/>
  <c r="Z303" i="7"/>
  <c r="Z212" i="3" s="1"/>
  <c r="Z290" i="3" s="1"/>
  <c r="AA303" i="7"/>
  <c r="AA212" i="3" s="1"/>
  <c r="AA290" i="3" s="1"/>
  <c r="AP350" i="4" s="1"/>
  <c r="AB303" i="7"/>
  <c r="AB212" i="3" s="1"/>
  <c r="AB290" i="3" s="1"/>
  <c r="AC303" i="7"/>
  <c r="AC212" i="3" s="1"/>
  <c r="AC290" i="3" s="1"/>
  <c r="AD303" i="7"/>
  <c r="AD212" i="3" s="1"/>
  <c r="AD290" i="3" s="1"/>
  <c r="AE303" i="7"/>
  <c r="AE212" i="3" s="1"/>
  <c r="AE290" i="3" s="1"/>
  <c r="AF303" i="7"/>
  <c r="AF212" i="3" s="1"/>
  <c r="AF290" i="3" s="1"/>
  <c r="AU350" i="4" s="1"/>
  <c r="AG303" i="7"/>
  <c r="AH303" i="7"/>
  <c r="AH212" i="3" s="1"/>
  <c r="AH290" i="3" s="1"/>
  <c r="AI303" i="7"/>
  <c r="AI212" i="3" s="1"/>
  <c r="AI290" i="3" s="1"/>
  <c r="AI367" i="3" s="1"/>
  <c r="AJ303" i="7"/>
  <c r="AJ212" i="3" s="1"/>
  <c r="AJ290" i="3" s="1"/>
  <c r="AK303" i="7"/>
  <c r="AL303" i="7"/>
  <c r="AL212" i="3" s="1"/>
  <c r="AL290" i="3" s="1"/>
  <c r="AM303" i="7"/>
  <c r="AM212" i="3" s="1"/>
  <c r="AM290" i="3" s="1"/>
  <c r="AN303" i="7"/>
  <c r="AN212" i="3" s="1"/>
  <c r="AN290" i="3" s="1"/>
  <c r="AO303" i="7"/>
  <c r="AP303" i="7"/>
  <c r="AP212" i="3" s="1"/>
  <c r="AP290" i="3" s="1"/>
  <c r="AQ303" i="7"/>
  <c r="AQ212" i="3" s="1"/>
  <c r="AQ290" i="3" s="1"/>
  <c r="AR303" i="7"/>
  <c r="AR212" i="3" s="1"/>
  <c r="AR290" i="3" s="1"/>
  <c r="AS303" i="7"/>
  <c r="AT303" i="7"/>
  <c r="AT212" i="3" s="1"/>
  <c r="AT290" i="3" s="1"/>
  <c r="AU303" i="7"/>
  <c r="AU212" i="3" s="1"/>
  <c r="AU290" i="3" s="1"/>
  <c r="AV303" i="7"/>
  <c r="AV212" i="3" s="1"/>
  <c r="AV290" i="3" s="1"/>
  <c r="AW303" i="7"/>
  <c r="AX303" i="7"/>
  <c r="AX212" i="3" s="1"/>
  <c r="AX290" i="3" s="1"/>
  <c r="AY303" i="7"/>
  <c r="AY212" i="3" s="1"/>
  <c r="AY290" i="3" s="1"/>
  <c r="AZ303" i="7"/>
  <c r="AZ212" i="3" s="1"/>
  <c r="AZ290" i="3" s="1"/>
  <c r="BA303" i="7"/>
  <c r="BB303" i="7"/>
  <c r="BB212" i="3" s="1"/>
  <c r="BB290" i="3" s="1"/>
  <c r="BC303" i="7"/>
  <c r="BC212" i="3" s="1"/>
  <c r="BC290" i="3" s="1"/>
  <c r="BD303" i="7"/>
  <c r="BD212" i="3" s="1"/>
  <c r="BD290" i="3" s="1"/>
  <c r="BD367" i="3" s="1"/>
  <c r="BE303" i="7"/>
  <c r="BF303" i="7"/>
  <c r="BF212" i="3" s="1"/>
  <c r="BF290" i="3" s="1"/>
  <c r="BG303" i="7"/>
  <c r="BG212" i="3" s="1"/>
  <c r="BG290" i="3" s="1"/>
  <c r="BG367" i="3" s="1"/>
  <c r="BH303" i="7"/>
  <c r="BH212" i="3" s="1"/>
  <c r="BH290" i="3" s="1"/>
  <c r="BW350" i="4" s="1"/>
  <c r="BI303" i="7"/>
  <c r="BJ303" i="7"/>
  <c r="BJ212" i="3" s="1"/>
  <c r="BJ290" i="3" s="1"/>
  <c r="BY350" i="4" s="1"/>
  <c r="BK303" i="7"/>
  <c r="BL303" i="7"/>
  <c r="BL212" i="3" s="1"/>
  <c r="BL290" i="3" s="1"/>
  <c r="BM303" i="7"/>
  <c r="BN303" i="7"/>
  <c r="BN212" i="3" s="1"/>
  <c r="BN290" i="3" s="1"/>
  <c r="BO303" i="7"/>
  <c r="BO212" i="3" s="1"/>
  <c r="BO290" i="3" s="1"/>
  <c r="BP303" i="7"/>
  <c r="BP212" i="3" s="1"/>
  <c r="BP290" i="3" s="1"/>
  <c r="CE350" i="4" s="1"/>
  <c r="R303" i="7"/>
  <c r="R302" i="7"/>
  <c r="R210" i="3" s="1"/>
  <c r="R301" i="7"/>
  <c r="R209" i="3" s="1"/>
  <c r="R288" i="3" s="1"/>
  <c r="R365" i="3" s="1"/>
  <c r="R299" i="7"/>
  <c r="R207" i="3" s="1"/>
  <c r="R286" i="3" s="1"/>
  <c r="R363" i="3" s="1"/>
  <c r="R298" i="7"/>
  <c r="R297" i="7"/>
  <c r="R204" i="3" s="1"/>
  <c r="R295" i="7"/>
  <c r="R202" i="3" s="1"/>
  <c r="R282" i="3" s="1"/>
  <c r="R359" i="3" s="1"/>
  <c r="R293" i="7"/>
  <c r="R200" i="3" s="1"/>
  <c r="R280" i="3" s="1"/>
  <c r="R292" i="7"/>
  <c r="R291" i="7"/>
  <c r="R198" i="3" s="1"/>
  <c r="R290" i="7"/>
  <c r="R196" i="3" s="1"/>
  <c r="R289" i="7"/>
  <c r="R195" i="3" s="1"/>
  <c r="R276" i="3" s="1"/>
  <c r="R287" i="7"/>
  <c r="R279" i="7"/>
  <c r="R185" i="3" s="1"/>
  <c r="R280" i="7"/>
  <c r="R186" i="3" s="1"/>
  <c r="R267" i="3" s="1"/>
  <c r="R281" i="7"/>
  <c r="R187" i="3" s="1"/>
  <c r="R268" i="3" s="1"/>
  <c r="R282" i="7"/>
  <c r="R283" i="7"/>
  <c r="R189" i="3" s="1"/>
  <c r="R284" i="7"/>
  <c r="R190" i="3" s="1"/>
  <c r="R271" i="3" s="1"/>
  <c r="R285" i="7"/>
  <c r="R191" i="3" s="1"/>
  <c r="R272" i="3" s="1"/>
  <c r="R278" i="7"/>
  <c r="S260" i="7"/>
  <c r="T260" i="7"/>
  <c r="T255" i="7" s="1"/>
  <c r="U260" i="7"/>
  <c r="U255" i="7" s="1"/>
  <c r="U167" i="3" s="1"/>
  <c r="U168" i="3" s="1"/>
  <c r="V260" i="7"/>
  <c r="V255" i="7" s="1"/>
  <c r="V167" i="3" s="1"/>
  <c r="V168" i="3" s="1"/>
  <c r="W260" i="7"/>
  <c r="X260" i="7"/>
  <c r="X255" i="7" s="1"/>
  <c r="X167" i="3" s="1"/>
  <c r="X168" i="3" s="1"/>
  <c r="Y260" i="7"/>
  <c r="Y255" i="7" s="1"/>
  <c r="Y167" i="3" s="1"/>
  <c r="Y168" i="3" s="1"/>
  <c r="Z260" i="7"/>
  <c r="AA260" i="7"/>
  <c r="AA255" i="7" s="1"/>
  <c r="AA167" i="3" s="1"/>
  <c r="AB260" i="7"/>
  <c r="AB255" i="7" s="1"/>
  <c r="AC260" i="7"/>
  <c r="AD260" i="7"/>
  <c r="AE260" i="7"/>
  <c r="AF260" i="7"/>
  <c r="AG260" i="7"/>
  <c r="AH260" i="7"/>
  <c r="AI260" i="7"/>
  <c r="AJ260" i="7"/>
  <c r="AK260" i="7"/>
  <c r="AL260" i="7"/>
  <c r="AM260" i="7"/>
  <c r="AN260" i="7"/>
  <c r="AO260" i="7"/>
  <c r="AP260" i="7"/>
  <c r="AQ260" i="7"/>
  <c r="AR260" i="7"/>
  <c r="AS260" i="7"/>
  <c r="AT260" i="7"/>
  <c r="AU260" i="7"/>
  <c r="AV260" i="7"/>
  <c r="AW260" i="7"/>
  <c r="AX260" i="7"/>
  <c r="AY260" i="7"/>
  <c r="AZ260" i="7"/>
  <c r="BA260" i="7"/>
  <c r="BB260" i="7"/>
  <c r="BC260" i="7"/>
  <c r="AQ63" i="53"/>
  <c r="BD260" i="7"/>
  <c r="AR63" i="53"/>
  <c r="BE260" i="7"/>
  <c r="AS63" i="53"/>
  <c r="BF260" i="7"/>
  <c r="AT63" i="53"/>
  <c r="BG260" i="7"/>
  <c r="AU63" i="53"/>
  <c r="BH260" i="7"/>
  <c r="AV63" i="53"/>
  <c r="BI260" i="7"/>
  <c r="AW63" i="53"/>
  <c r="BJ260" i="7"/>
  <c r="AX63" i="53"/>
  <c r="BK260" i="7"/>
  <c r="AY63" i="53"/>
  <c r="BL260" i="7"/>
  <c r="AZ63" i="53"/>
  <c r="BM260" i="7"/>
  <c r="BA63" i="53"/>
  <c r="BN260" i="7"/>
  <c r="BB63" i="53"/>
  <c r="BO260" i="7"/>
  <c r="BC63" i="53"/>
  <c r="BP260" i="7"/>
  <c r="BD63" i="53"/>
  <c r="R260" i="7"/>
  <c r="S187" i="7"/>
  <c r="T187" i="7"/>
  <c r="U187" i="7"/>
  <c r="U147" i="3" s="1"/>
  <c r="U148" i="3" s="1"/>
  <c r="V187" i="7"/>
  <c r="V147" i="3" s="1"/>
  <c r="W187" i="7"/>
  <c r="W147" i="3" s="1"/>
  <c r="W148" i="3" s="1"/>
  <c r="X187" i="7"/>
  <c r="X147" i="3" s="1"/>
  <c r="Y187" i="7"/>
  <c r="Y147" i="3" s="1"/>
  <c r="Y148" i="3" s="1"/>
  <c r="Z187" i="7"/>
  <c r="AA187" i="7"/>
  <c r="AB187" i="7"/>
  <c r="AC187" i="7"/>
  <c r="AD187" i="7"/>
  <c r="AE187" i="7"/>
  <c r="AF187" i="7"/>
  <c r="AG187" i="7"/>
  <c r="AH187" i="7"/>
  <c r="AI187" i="7"/>
  <c r="AJ187" i="7"/>
  <c r="AK187" i="7"/>
  <c r="AL187" i="7"/>
  <c r="AM187" i="7"/>
  <c r="AN187" i="7"/>
  <c r="AO187" i="7"/>
  <c r="AP187" i="7"/>
  <c r="AQ187" i="7"/>
  <c r="AR187" i="7"/>
  <c r="AS187" i="7"/>
  <c r="AT187" i="7"/>
  <c r="AU187" i="7"/>
  <c r="AV187" i="7"/>
  <c r="AW187" i="7"/>
  <c r="AX187" i="7"/>
  <c r="AY187" i="7"/>
  <c r="AZ187" i="7"/>
  <c r="BA187" i="7"/>
  <c r="BB187" i="7"/>
  <c r="BC187" i="7"/>
  <c r="BD187" i="7"/>
  <c r="BE187" i="7"/>
  <c r="BF187" i="7"/>
  <c r="BG187" i="7"/>
  <c r="BH187" i="7"/>
  <c r="BI187" i="7"/>
  <c r="BJ187" i="7"/>
  <c r="BK187" i="7"/>
  <c r="BL187" i="7"/>
  <c r="BM187" i="7"/>
  <c r="BN187" i="7"/>
  <c r="BO187" i="7"/>
  <c r="BP187" i="7"/>
  <c r="R187" i="7"/>
  <c r="S175" i="7"/>
  <c r="T175" i="7"/>
  <c r="T143" i="3" s="1"/>
  <c r="U175" i="7"/>
  <c r="U143" i="3" s="1"/>
  <c r="U244" i="3" s="1"/>
  <c r="V175" i="7"/>
  <c r="V143" i="3" s="1"/>
  <c r="V244" i="3" s="1"/>
  <c r="V324" i="3" s="1"/>
  <c r="W175" i="7"/>
  <c r="X175" i="7"/>
  <c r="X143" i="3" s="1"/>
  <c r="X244" i="3" s="1"/>
  <c r="Y175" i="7"/>
  <c r="Y143" i="3" s="1"/>
  <c r="Y244" i="3" s="1"/>
  <c r="Z175" i="7"/>
  <c r="AA175" i="7"/>
  <c r="AB175" i="7"/>
  <c r="AC175" i="7"/>
  <c r="AD175" i="7"/>
  <c r="AE175" i="7"/>
  <c r="AF175" i="7"/>
  <c r="AG175" i="7"/>
  <c r="AH175" i="7"/>
  <c r="AI175" i="7"/>
  <c r="AJ175" i="7"/>
  <c r="AK175" i="7"/>
  <c r="AL175" i="7"/>
  <c r="AM175" i="7"/>
  <c r="AN175" i="7"/>
  <c r="AO175" i="7"/>
  <c r="AP175" i="7"/>
  <c r="AQ175" i="7"/>
  <c r="AR175" i="7"/>
  <c r="AS175" i="7"/>
  <c r="AT175" i="7"/>
  <c r="AU175" i="7"/>
  <c r="AV175" i="7"/>
  <c r="AW175" i="7"/>
  <c r="AX175" i="7"/>
  <c r="AY175" i="7"/>
  <c r="AZ175" i="7"/>
  <c r="BA175" i="7"/>
  <c r="BB175" i="7"/>
  <c r="BC175" i="7"/>
  <c r="BD175" i="7"/>
  <c r="BE175" i="7"/>
  <c r="BF175" i="7"/>
  <c r="BG175" i="7"/>
  <c r="BH175" i="7"/>
  <c r="BI175" i="7"/>
  <c r="BJ175" i="7"/>
  <c r="BK175" i="7"/>
  <c r="BL175" i="7"/>
  <c r="BM175" i="7"/>
  <c r="BN175" i="7"/>
  <c r="BO175" i="7"/>
  <c r="BP175" i="7"/>
  <c r="R175" i="7"/>
  <c r="S163" i="7"/>
  <c r="T163" i="7"/>
  <c r="T171" i="3" s="1"/>
  <c r="U163" i="7"/>
  <c r="U171" i="3" s="1"/>
  <c r="V163" i="7"/>
  <c r="V171" i="3" s="1"/>
  <c r="W163" i="7"/>
  <c r="W171" i="3" s="1"/>
  <c r="X163" i="7"/>
  <c r="X171" i="3" s="1"/>
  <c r="X254" i="3" s="1"/>
  <c r="Y163" i="7"/>
  <c r="Y171" i="3" s="1"/>
  <c r="Z163" i="7"/>
  <c r="AA163" i="7"/>
  <c r="AB163" i="7"/>
  <c r="AC163" i="7"/>
  <c r="AD163" i="7"/>
  <c r="AE163" i="7"/>
  <c r="AF163" i="7"/>
  <c r="AG163" i="7"/>
  <c r="AH163" i="7"/>
  <c r="AI163" i="7"/>
  <c r="AJ163" i="7"/>
  <c r="AK163" i="7"/>
  <c r="AL163" i="7"/>
  <c r="AM163" i="7"/>
  <c r="AN163" i="7"/>
  <c r="AO163" i="7"/>
  <c r="AP163" i="7"/>
  <c r="AQ163" i="7"/>
  <c r="AR163" i="7"/>
  <c r="AS163" i="7"/>
  <c r="AT163" i="7"/>
  <c r="AU163" i="7"/>
  <c r="AV163" i="7"/>
  <c r="AW163" i="7"/>
  <c r="AX163" i="7"/>
  <c r="AY163" i="7"/>
  <c r="AZ163" i="7"/>
  <c r="BA163" i="7"/>
  <c r="BB163" i="7"/>
  <c r="BC163" i="7"/>
  <c r="BD163" i="7"/>
  <c r="BE163" i="7"/>
  <c r="BF163" i="7"/>
  <c r="BG163" i="7"/>
  <c r="BH163" i="7"/>
  <c r="BI163" i="7"/>
  <c r="BJ163" i="7"/>
  <c r="BK163" i="7"/>
  <c r="BL163" i="7"/>
  <c r="BM163" i="7"/>
  <c r="BN163" i="7"/>
  <c r="BO163" i="7"/>
  <c r="BP163" i="7"/>
  <c r="R163" i="7"/>
  <c r="R171" i="3"/>
  <c r="S133" i="7"/>
  <c r="T133" i="7"/>
  <c r="U133" i="7"/>
  <c r="U57" i="3" s="1"/>
  <c r="U67" i="3" s="1"/>
  <c r="V133" i="7"/>
  <c r="V57" i="3" s="1"/>
  <c r="V67" i="3" s="1"/>
  <c r="W133" i="7"/>
  <c r="W57" i="3" s="1"/>
  <c r="W67" i="3" s="1"/>
  <c r="X133" i="7"/>
  <c r="Y133" i="7"/>
  <c r="Y57" i="3" s="1"/>
  <c r="Y67" i="3" s="1"/>
  <c r="Z133" i="7"/>
  <c r="AA133" i="7"/>
  <c r="AA57" i="3" s="1"/>
  <c r="AB133" i="7"/>
  <c r="AC133" i="7"/>
  <c r="AD133" i="7"/>
  <c r="AE133" i="7"/>
  <c r="AF133" i="7"/>
  <c r="AG133" i="7"/>
  <c r="AH133" i="7"/>
  <c r="AI133" i="7"/>
  <c r="AJ133" i="7"/>
  <c r="AK133" i="7"/>
  <c r="AL133" i="7"/>
  <c r="AM133" i="7"/>
  <c r="AN133" i="7"/>
  <c r="AO133" i="7"/>
  <c r="AP133" i="7"/>
  <c r="AQ133" i="7"/>
  <c r="AR133" i="7"/>
  <c r="AS133" i="7"/>
  <c r="AT133" i="7"/>
  <c r="AU133" i="7"/>
  <c r="AV133" i="7"/>
  <c r="AW133" i="7"/>
  <c r="AX133" i="7"/>
  <c r="AY133" i="7"/>
  <c r="AZ133" i="7"/>
  <c r="BA133" i="7"/>
  <c r="BB133" i="7"/>
  <c r="BC133" i="7"/>
  <c r="BD133" i="7"/>
  <c r="BE133" i="7"/>
  <c r="BF133" i="7"/>
  <c r="BG133" i="7"/>
  <c r="BH133" i="7"/>
  <c r="BI133" i="7"/>
  <c r="BJ133" i="7"/>
  <c r="BK133" i="7"/>
  <c r="BL133" i="7"/>
  <c r="BM133" i="7"/>
  <c r="BN133" i="7"/>
  <c r="BO133" i="7"/>
  <c r="BP133" i="7"/>
  <c r="R133" i="7"/>
  <c r="B2" i="57"/>
  <c r="B2" i="53"/>
  <c r="O377" i="4"/>
  <c r="N29" i="4"/>
  <c r="AK325" i="4"/>
  <c r="D467" i="3"/>
  <c r="J7" i="53"/>
  <c r="I43" i="53"/>
  <c r="I58" i="53"/>
  <c r="I21" i="53"/>
  <c r="S156" i="3"/>
  <c r="S157" i="3"/>
  <c r="K45" i="4"/>
  <c r="R74" i="3"/>
  <c r="R124" i="3"/>
  <c r="D389" i="3"/>
  <c r="L72" i="3"/>
  <c r="AF74" i="3"/>
  <c r="AF124" i="3"/>
  <c r="AJ74" i="3"/>
  <c r="AJ124" i="3"/>
  <c r="AN74" i="3"/>
  <c r="AN124" i="3"/>
  <c r="AR74" i="3"/>
  <c r="AR124" i="3"/>
  <c r="AV74" i="3"/>
  <c r="AV124" i="3"/>
  <c r="AZ74" i="3"/>
  <c r="AZ124" i="3"/>
  <c r="BD74" i="3"/>
  <c r="BD124" i="3"/>
  <c r="BH74" i="3"/>
  <c r="BH124" i="3"/>
  <c r="BL74" i="3"/>
  <c r="BL124" i="3"/>
  <c r="BP74" i="3"/>
  <c r="BP124" i="3"/>
  <c r="AF77" i="3"/>
  <c r="AV77" i="3"/>
  <c r="BL77" i="3"/>
  <c r="AG74" i="3"/>
  <c r="AG124" i="3"/>
  <c r="AO74" i="3"/>
  <c r="AO124" i="3"/>
  <c r="AW74" i="3"/>
  <c r="AW124" i="3"/>
  <c r="BA74" i="3"/>
  <c r="BA124" i="3"/>
  <c r="BE74" i="3"/>
  <c r="BE124" i="3"/>
  <c r="BI74" i="3"/>
  <c r="BI124" i="3"/>
  <c r="BM74" i="3"/>
  <c r="BM124" i="3"/>
  <c r="AD74" i="3"/>
  <c r="AD124" i="3"/>
  <c r="AH74" i="3"/>
  <c r="AH124" i="3"/>
  <c r="AL74" i="3"/>
  <c r="AL124" i="3"/>
  <c r="AP74" i="3"/>
  <c r="AP124" i="3"/>
  <c r="AT74" i="3"/>
  <c r="AT124" i="3"/>
  <c r="AX74" i="3"/>
  <c r="AX124" i="3"/>
  <c r="BB74" i="3"/>
  <c r="BB124" i="3"/>
  <c r="BF74" i="3"/>
  <c r="BF124" i="3"/>
  <c r="BJ74" i="3"/>
  <c r="BJ124" i="3"/>
  <c r="BN74" i="3"/>
  <c r="BN124" i="3"/>
  <c r="S74" i="3"/>
  <c r="S124" i="3"/>
  <c r="AE74" i="3"/>
  <c r="AE124" i="3"/>
  <c r="AI74" i="3"/>
  <c r="AI124" i="3"/>
  <c r="AM74" i="3"/>
  <c r="AM124" i="3"/>
  <c r="AQ74" i="3"/>
  <c r="AQ124" i="3"/>
  <c r="AU74" i="3"/>
  <c r="AU124" i="3"/>
  <c r="AY74" i="3"/>
  <c r="AY124" i="3"/>
  <c r="BC74" i="3"/>
  <c r="BC124" i="3"/>
  <c r="BG74" i="3"/>
  <c r="BG124" i="3"/>
  <c r="BK74" i="3"/>
  <c r="BK124" i="3"/>
  <c r="BO74" i="3"/>
  <c r="BO124" i="3"/>
  <c r="AB77" i="3"/>
  <c r="AJ77" i="3"/>
  <c r="AR77" i="3"/>
  <c r="AZ77" i="3"/>
  <c r="BH77" i="3"/>
  <c r="BP77" i="3"/>
  <c r="AC74" i="3"/>
  <c r="AC124" i="3"/>
  <c r="AK74" i="3"/>
  <c r="AK124" i="3"/>
  <c r="AS74" i="3"/>
  <c r="AS124" i="3"/>
  <c r="L71" i="3"/>
  <c r="BI157" i="3"/>
  <c r="BA45" i="4"/>
  <c r="BE157" i="3"/>
  <c r="AW45" i="4"/>
  <c r="BA157" i="3"/>
  <c r="AS45" i="4"/>
  <c r="AW157" i="3"/>
  <c r="AO45" i="4"/>
  <c r="AS157" i="3"/>
  <c r="AK45" i="4"/>
  <c r="AO157" i="3"/>
  <c r="AG45" i="4"/>
  <c r="AG157" i="3"/>
  <c r="Y45" i="4"/>
  <c r="AC157" i="3"/>
  <c r="U45" i="4"/>
  <c r="BG157" i="3"/>
  <c r="AY45" i="4"/>
  <c r="AR157" i="3"/>
  <c r="AJ45" i="4"/>
  <c r="BM157" i="3"/>
  <c r="BE45" i="4"/>
  <c r="AK157" i="3"/>
  <c r="AC45" i="4"/>
  <c r="AY157" i="3"/>
  <c r="AQ45" i="4"/>
  <c r="AB157" i="3"/>
  <c r="T45" i="4"/>
  <c r="BO157" i="3"/>
  <c r="BG45" i="4"/>
  <c r="AQ157" i="3"/>
  <c r="AI45" i="4"/>
  <c r="BH157" i="3"/>
  <c r="AZ45" i="4"/>
  <c r="BK157" i="3"/>
  <c r="BC45" i="4"/>
  <c r="AU157" i="3"/>
  <c r="AM45" i="4"/>
  <c r="AI157" i="3"/>
  <c r="AA45" i="4"/>
  <c r="AE157" i="3"/>
  <c r="W45" i="4"/>
  <c r="BC157" i="3"/>
  <c r="AU45" i="4"/>
  <c r="AM157" i="3"/>
  <c r="AE45" i="4"/>
  <c r="AA157" i="3"/>
  <c r="S45" i="4"/>
  <c r="BP157" i="3"/>
  <c r="BH45" i="4"/>
  <c r="BL157" i="3"/>
  <c r="BD45" i="4"/>
  <c r="BD157" i="3"/>
  <c r="AV45" i="4"/>
  <c r="AZ157" i="3"/>
  <c r="AR45" i="4"/>
  <c r="AV157" i="3"/>
  <c r="AN45" i="4"/>
  <c r="AN157" i="3"/>
  <c r="AF45" i="4"/>
  <c r="AJ157" i="3"/>
  <c r="AB45" i="4"/>
  <c r="AF157" i="3"/>
  <c r="X45" i="4"/>
  <c r="BN157" i="3"/>
  <c r="BF45" i="4"/>
  <c r="BJ157" i="3"/>
  <c r="BB45" i="4"/>
  <c r="BF157" i="3"/>
  <c r="AX45" i="4"/>
  <c r="BB157" i="3"/>
  <c r="AT45" i="4"/>
  <c r="AX157" i="3"/>
  <c r="AP45" i="4"/>
  <c r="AT157" i="3"/>
  <c r="AL45" i="4"/>
  <c r="AP157" i="3"/>
  <c r="AH45" i="4"/>
  <c r="AL157" i="3"/>
  <c r="AD45" i="4"/>
  <c r="AH157" i="3"/>
  <c r="Z45" i="4"/>
  <c r="AD157" i="3"/>
  <c r="V45" i="4"/>
  <c r="R157" i="3"/>
  <c r="J45" i="4"/>
  <c r="P377" i="4"/>
  <c r="O29" i="4"/>
  <c r="AL325" i="4"/>
  <c r="K7" i="53"/>
  <c r="J43" i="53"/>
  <c r="J21" i="53"/>
  <c r="J58" i="53"/>
  <c r="BH80" i="3"/>
  <c r="AR80" i="3"/>
  <c r="AV80" i="3"/>
  <c r="BD80" i="3"/>
  <c r="BL80" i="3"/>
  <c r="AF80" i="3"/>
  <c r="BP80" i="3"/>
  <c r="AZ80" i="3"/>
  <c r="AJ80" i="3"/>
  <c r="AN80" i="3"/>
  <c r="BO80" i="3"/>
  <c r="AY80" i="3"/>
  <c r="AI80" i="3"/>
  <c r="BJ80" i="3"/>
  <c r="AT80" i="3"/>
  <c r="AD80" i="3"/>
  <c r="BI80" i="3"/>
  <c r="AO80" i="3"/>
  <c r="BC80" i="3"/>
  <c r="AM80" i="3"/>
  <c r="BN80" i="3"/>
  <c r="AX80" i="3"/>
  <c r="AH80" i="3"/>
  <c r="BM80" i="3"/>
  <c r="AW80" i="3"/>
  <c r="AS80" i="3"/>
  <c r="BK80" i="3"/>
  <c r="AU80" i="3"/>
  <c r="AE80" i="3"/>
  <c r="BF80" i="3"/>
  <c r="AP80" i="3"/>
  <c r="BE80" i="3"/>
  <c r="AG80" i="3"/>
  <c r="AC80" i="3"/>
  <c r="AK80" i="3"/>
  <c r="BG80" i="3"/>
  <c r="AQ80" i="3"/>
  <c r="BB80" i="3"/>
  <c r="AL80" i="3"/>
  <c r="BA80" i="3"/>
  <c r="Q377" i="4"/>
  <c r="AM325" i="4"/>
  <c r="P29" i="4"/>
  <c r="L7" i="53"/>
  <c r="K21" i="53"/>
  <c r="K58" i="53"/>
  <c r="K43" i="53"/>
  <c r="R377" i="4"/>
  <c r="AN325" i="4"/>
  <c r="Q29" i="4"/>
  <c r="M7" i="53"/>
  <c r="L58" i="53"/>
  <c r="L21" i="53"/>
  <c r="L43" i="53"/>
  <c r="S377" i="4"/>
  <c r="R29" i="4"/>
  <c r="AO325" i="4"/>
  <c r="N7" i="53"/>
  <c r="M43" i="53"/>
  <c r="M58" i="53"/>
  <c r="M21" i="53"/>
  <c r="T377" i="4"/>
  <c r="S29" i="4"/>
  <c r="AP325" i="4"/>
  <c r="O7" i="53"/>
  <c r="N58" i="53"/>
  <c r="N43" i="53"/>
  <c r="N21" i="53"/>
  <c r="U377" i="4"/>
  <c r="AQ325" i="4"/>
  <c r="T29" i="4"/>
  <c r="P7" i="53"/>
  <c r="O58" i="53"/>
  <c r="O21" i="53"/>
  <c r="O43" i="53"/>
  <c r="V377" i="4"/>
  <c r="AR325" i="4"/>
  <c r="U29" i="4"/>
  <c r="Q7" i="53"/>
  <c r="P21" i="53"/>
  <c r="P58" i="53"/>
  <c r="P43" i="53"/>
  <c r="W377" i="4"/>
  <c r="AS325" i="4"/>
  <c r="V29" i="4"/>
  <c r="R7" i="53"/>
  <c r="Q21" i="53"/>
  <c r="Q43" i="53"/>
  <c r="Q58" i="53"/>
  <c r="X377" i="4"/>
  <c r="W29" i="4"/>
  <c r="AT325" i="4"/>
  <c r="S7" i="53"/>
  <c r="R21" i="53"/>
  <c r="R58" i="53"/>
  <c r="R43" i="53"/>
  <c r="Y377" i="4"/>
  <c r="AU325" i="4"/>
  <c r="X29" i="4"/>
  <c r="T7" i="53"/>
  <c r="S21" i="53"/>
  <c r="S58" i="53"/>
  <c r="S43" i="53"/>
  <c r="Z377" i="4"/>
  <c r="AV325" i="4"/>
  <c r="Y29" i="4"/>
  <c r="U7" i="53"/>
  <c r="T58" i="53"/>
  <c r="T43" i="53"/>
  <c r="T21" i="53"/>
  <c r="AA377" i="4"/>
  <c r="Z29" i="4"/>
  <c r="AW325" i="4"/>
  <c r="V7" i="53"/>
  <c r="U43" i="53"/>
  <c r="U21" i="53"/>
  <c r="U58" i="53"/>
  <c r="AB377" i="4"/>
  <c r="AA29" i="4"/>
  <c r="AX325" i="4"/>
  <c r="W7" i="53"/>
  <c r="V21" i="53"/>
  <c r="V58" i="53"/>
  <c r="V43" i="53"/>
  <c r="AC377" i="4"/>
  <c r="AY325" i="4"/>
  <c r="AB29" i="4"/>
  <c r="X7" i="53"/>
  <c r="W58" i="53"/>
  <c r="W21" i="53"/>
  <c r="W43" i="53"/>
  <c r="AD377" i="4"/>
  <c r="AZ325" i="4"/>
  <c r="AC29" i="4"/>
  <c r="Y7" i="53"/>
  <c r="X21" i="53"/>
  <c r="X43" i="53"/>
  <c r="X58" i="53"/>
  <c r="AE377" i="4"/>
  <c r="AD29" i="4"/>
  <c r="BA325" i="4"/>
  <c r="Z7" i="53"/>
  <c r="Y21" i="53"/>
  <c r="Y58" i="53"/>
  <c r="Y43" i="53"/>
  <c r="AF377" i="4"/>
  <c r="AE29" i="4"/>
  <c r="BB325" i="4"/>
  <c r="AA7" i="53"/>
  <c r="Z43" i="53"/>
  <c r="Z58" i="53"/>
  <c r="Z21" i="53"/>
  <c r="AG377" i="4"/>
  <c r="BC325" i="4"/>
  <c r="AF29" i="4"/>
  <c r="AB7" i="53"/>
  <c r="AA21" i="53"/>
  <c r="AA43" i="53"/>
  <c r="AA58" i="53"/>
  <c r="AH377" i="4"/>
  <c r="BD325" i="4"/>
  <c r="AG29" i="4"/>
  <c r="AC7" i="53"/>
  <c r="AB43" i="53"/>
  <c r="AB58" i="53"/>
  <c r="AB21" i="53"/>
  <c r="AI377" i="4"/>
  <c r="BE325" i="4"/>
  <c r="AH29" i="4"/>
  <c r="AD7" i="53"/>
  <c r="AC43" i="53"/>
  <c r="AC21" i="53"/>
  <c r="AC58" i="53"/>
  <c r="AJ377" i="4"/>
  <c r="AI29" i="4"/>
  <c r="BF325" i="4"/>
  <c r="AE7" i="53"/>
  <c r="AD58" i="53"/>
  <c r="AD43" i="53"/>
  <c r="AD21" i="53"/>
  <c r="AK377" i="4"/>
  <c r="BG325" i="4"/>
  <c r="AJ29" i="4"/>
  <c r="AF7" i="53"/>
  <c r="AE43" i="53"/>
  <c r="AE58" i="53"/>
  <c r="AE21" i="53"/>
  <c r="AL377" i="4"/>
  <c r="BH325" i="4"/>
  <c r="AK29" i="4"/>
  <c r="AG7" i="53"/>
  <c r="AF58" i="53"/>
  <c r="AF21" i="53"/>
  <c r="AF43" i="53"/>
  <c r="AM377" i="4"/>
  <c r="AL29" i="4"/>
  <c r="BI325" i="4"/>
  <c r="AH7" i="53"/>
  <c r="AG43" i="53"/>
  <c r="AG58" i="53"/>
  <c r="AG21" i="53"/>
  <c r="AN377" i="4"/>
  <c r="AM29" i="4"/>
  <c r="BJ325" i="4"/>
  <c r="AI7" i="53"/>
  <c r="AH21" i="53"/>
  <c r="AH58" i="53"/>
  <c r="AH43" i="53"/>
  <c r="AO377" i="4"/>
  <c r="BK325" i="4"/>
  <c r="AN29" i="4"/>
  <c r="AJ7" i="53"/>
  <c r="AI58" i="53"/>
  <c r="AI21" i="53"/>
  <c r="AI43" i="53"/>
  <c r="AP377" i="4"/>
  <c r="BL325" i="4"/>
  <c r="AO29" i="4"/>
  <c r="AK7" i="53"/>
  <c r="AJ58" i="53"/>
  <c r="AJ21" i="53"/>
  <c r="AJ43" i="53"/>
  <c r="AQ377" i="4"/>
  <c r="BM325" i="4"/>
  <c r="AP29" i="4"/>
  <c r="AL7" i="53"/>
  <c r="AK43" i="53"/>
  <c r="AK21" i="53"/>
  <c r="AK58" i="53"/>
  <c r="AR377" i="4"/>
  <c r="AQ29" i="4"/>
  <c r="BN325" i="4"/>
  <c r="AM7" i="53"/>
  <c r="AL43" i="53"/>
  <c r="AL21" i="53"/>
  <c r="AL58" i="53"/>
  <c r="AS377" i="4"/>
  <c r="BO325" i="4"/>
  <c r="AR29" i="4"/>
  <c r="AN7" i="53"/>
  <c r="AM21" i="53"/>
  <c r="AM58" i="53"/>
  <c r="AM43" i="53"/>
  <c r="AT377" i="4"/>
  <c r="BP325" i="4"/>
  <c r="AS29" i="4"/>
  <c r="AO7" i="53"/>
  <c r="AN58" i="53"/>
  <c r="AN21" i="53"/>
  <c r="AN43" i="53"/>
  <c r="AU377" i="4"/>
  <c r="AT29" i="4"/>
  <c r="BQ325" i="4"/>
  <c r="AP7" i="53"/>
  <c r="AO58" i="53"/>
  <c r="AO21" i="53"/>
  <c r="AO43" i="53"/>
  <c r="AV377" i="4"/>
  <c r="AU29" i="4"/>
  <c r="BR325" i="4"/>
  <c r="AQ7" i="53"/>
  <c r="AP43" i="53"/>
  <c r="AP21" i="53"/>
  <c r="AP58" i="53"/>
  <c r="AW377" i="4"/>
  <c r="BS325" i="4"/>
  <c r="AV29" i="4"/>
  <c r="AR7" i="53"/>
  <c r="AQ58" i="53"/>
  <c r="AQ21" i="53"/>
  <c r="AQ43" i="53"/>
  <c r="AX377" i="4"/>
  <c r="BT325" i="4"/>
  <c r="AW29" i="4"/>
  <c r="AS7" i="53"/>
  <c r="AR43" i="53"/>
  <c r="AR58" i="53"/>
  <c r="AR21" i="53"/>
  <c r="AY377" i="4"/>
  <c r="AX29" i="4"/>
  <c r="BU325" i="4"/>
  <c r="AT7" i="53"/>
  <c r="AS21" i="53"/>
  <c r="AS43" i="53"/>
  <c r="AS58" i="53"/>
  <c r="AZ377" i="4"/>
  <c r="AY29" i="4"/>
  <c r="BV325" i="4"/>
  <c r="AU7" i="53"/>
  <c r="AT58" i="53"/>
  <c r="AT21" i="53"/>
  <c r="AT43" i="53"/>
  <c r="BW325" i="4"/>
  <c r="BA377" i="4"/>
  <c r="AZ29" i="4"/>
  <c r="AV7" i="53"/>
  <c r="AU21" i="53"/>
  <c r="AU43" i="53"/>
  <c r="AU58" i="53"/>
  <c r="BB377" i="4"/>
  <c r="BX325" i="4"/>
  <c r="BA29" i="4"/>
  <c r="AW7" i="53"/>
  <c r="AV43" i="53"/>
  <c r="AV58" i="53"/>
  <c r="AV21" i="53"/>
  <c r="BC377" i="4"/>
  <c r="BY325" i="4"/>
  <c r="BB29" i="4"/>
  <c r="AX7" i="53"/>
  <c r="AW43" i="53"/>
  <c r="AW58" i="53"/>
  <c r="AW21" i="53"/>
  <c r="BD377" i="4"/>
  <c r="BC29" i="4"/>
  <c r="BZ325" i="4"/>
  <c r="AY7" i="53"/>
  <c r="AX58" i="53"/>
  <c r="AX21" i="53"/>
  <c r="AX43" i="53"/>
  <c r="BE377" i="4"/>
  <c r="CA325" i="4"/>
  <c r="BD29" i="4"/>
  <c r="AZ7" i="53"/>
  <c r="AY43" i="53"/>
  <c r="AY58" i="53"/>
  <c r="AY21" i="53"/>
  <c r="BF377" i="4"/>
  <c r="CB325" i="4"/>
  <c r="BE29" i="4"/>
  <c r="BA7" i="53"/>
  <c r="AZ58" i="53"/>
  <c r="AZ21" i="53"/>
  <c r="AZ43" i="53"/>
  <c r="BG377" i="4"/>
  <c r="CC325" i="4"/>
  <c r="BF29" i="4"/>
  <c r="BB7" i="53"/>
  <c r="BA43" i="53"/>
  <c r="BA58" i="53"/>
  <c r="BA21" i="53"/>
  <c r="BH377" i="4"/>
  <c r="BG29" i="4"/>
  <c r="CD325" i="4"/>
  <c r="BC7" i="53"/>
  <c r="BD7" i="53"/>
  <c r="BB43" i="53"/>
  <c r="BB21" i="53"/>
  <c r="BB58" i="53"/>
  <c r="CE325" i="4"/>
  <c r="BH29" i="4"/>
  <c r="BD58" i="53"/>
  <c r="BD43" i="53"/>
  <c r="BD21" i="53"/>
  <c r="BC21" i="53"/>
  <c r="BC58" i="53"/>
  <c r="BC43" i="53"/>
  <c r="BH33" i="4"/>
  <c r="BU38" i="9"/>
  <c r="BT38" i="9"/>
  <c r="BS38" i="9"/>
  <c r="BR38" i="9"/>
  <c r="BQ38" i="9"/>
  <c r="BP38" i="9"/>
  <c r="BO38" i="9"/>
  <c r="BN38" i="9"/>
  <c r="BM38" i="9"/>
  <c r="BL38" i="9"/>
  <c r="BK38" i="9"/>
  <c r="BJ38" i="9"/>
  <c r="BI38" i="9"/>
  <c r="BH38" i="9"/>
  <c r="BG38" i="9"/>
  <c r="BF38" i="9"/>
  <c r="BE38" i="9"/>
  <c r="BD38" i="9"/>
  <c r="BC38" i="9"/>
  <c r="BB38" i="9"/>
  <c r="BA38" i="9"/>
  <c r="AZ38" i="9"/>
  <c r="AY38" i="9"/>
  <c r="AX38" i="9"/>
  <c r="AW38" i="9"/>
  <c r="AV38" i="9"/>
  <c r="AU38" i="9"/>
  <c r="AT38" i="9"/>
  <c r="AS38" i="9"/>
  <c r="AR38" i="9"/>
  <c r="AQ38" i="9"/>
  <c r="AP38" i="9"/>
  <c r="AO38" i="9"/>
  <c r="AN38" i="9"/>
  <c r="AM38" i="9"/>
  <c r="AL38" i="9"/>
  <c r="AK38" i="9"/>
  <c r="AJ38" i="9"/>
  <c r="AI38" i="9"/>
  <c r="AH38" i="9"/>
  <c r="AG38" i="9"/>
  <c r="AF38" i="9"/>
  <c r="AE38" i="9"/>
  <c r="AD38" i="9"/>
  <c r="AC38" i="9"/>
  <c r="AB38" i="9"/>
  <c r="AA38" i="9"/>
  <c r="Z38" i="9"/>
  <c r="Y38" i="9"/>
  <c r="X38" i="9"/>
  <c r="W38" i="9"/>
  <c r="V38" i="9"/>
  <c r="U38" i="9"/>
  <c r="T38" i="9"/>
  <c r="T32" i="9"/>
  <c r="U32" i="9"/>
  <c r="V32" i="9"/>
  <c r="W32" i="9"/>
  <c r="X32" i="9"/>
  <c r="Y32" i="9"/>
  <c r="Z32" i="9"/>
  <c r="AA32" i="9"/>
  <c r="AB32" i="9"/>
  <c r="AC32" i="9"/>
  <c r="AD32" i="9"/>
  <c r="AE32" i="9"/>
  <c r="AF32" i="9"/>
  <c r="AG32" i="9"/>
  <c r="AH32" i="9"/>
  <c r="AI32" i="9"/>
  <c r="AJ32" i="9"/>
  <c r="AK32" i="9"/>
  <c r="AL32" i="9"/>
  <c r="AM32" i="9"/>
  <c r="AN32" i="9"/>
  <c r="AO32" i="9"/>
  <c r="AP32" i="9"/>
  <c r="AQ32" i="9"/>
  <c r="AR32" i="9"/>
  <c r="AS32" i="9"/>
  <c r="AT32" i="9"/>
  <c r="AU32" i="9"/>
  <c r="AV32" i="9"/>
  <c r="AW32" i="9"/>
  <c r="AX32" i="9"/>
  <c r="AY32" i="9"/>
  <c r="AZ32" i="9"/>
  <c r="BA32" i="9"/>
  <c r="BB32" i="9"/>
  <c r="BC32" i="9"/>
  <c r="BD32" i="9"/>
  <c r="BE32" i="9"/>
  <c r="BF32" i="9"/>
  <c r="BG32" i="9"/>
  <c r="BH32" i="9"/>
  <c r="BI32" i="9"/>
  <c r="BJ32" i="9"/>
  <c r="BK32" i="9"/>
  <c r="BL32" i="9"/>
  <c r="BM32" i="9"/>
  <c r="BN32" i="9"/>
  <c r="BO32" i="9"/>
  <c r="BP32" i="9"/>
  <c r="BQ32" i="9"/>
  <c r="BR32" i="9"/>
  <c r="BS32" i="9"/>
  <c r="BT32" i="9"/>
  <c r="BU32" i="9"/>
  <c r="S70" i="7"/>
  <c r="S33" i="3" s="1"/>
  <c r="R220" i="7"/>
  <c r="S220" i="7"/>
  <c r="S162" i="3"/>
  <c r="T220" i="7"/>
  <c r="T162" i="3" s="1"/>
  <c r="U220" i="7"/>
  <c r="U162" i="3"/>
  <c r="V220" i="7"/>
  <c r="V162" i="3" s="1"/>
  <c r="W220" i="7"/>
  <c r="W162" i="3"/>
  <c r="X220" i="7"/>
  <c r="Y220" i="7"/>
  <c r="Y162" i="3" s="1"/>
  <c r="Z220" i="7"/>
  <c r="Z162" i="3" s="1"/>
  <c r="AA220" i="7"/>
  <c r="AA162" i="3" s="1"/>
  <c r="AB220" i="7"/>
  <c r="AB162" i="3" s="1"/>
  <c r="AC220" i="7"/>
  <c r="AC162" i="3" s="1"/>
  <c r="AD220" i="7"/>
  <c r="AD162" i="3" s="1"/>
  <c r="AE220" i="7"/>
  <c r="AE162" i="3" s="1"/>
  <c r="AF220" i="7"/>
  <c r="AF162" i="3" s="1"/>
  <c r="AG220" i="7"/>
  <c r="AG162" i="3" s="1"/>
  <c r="AH220" i="7"/>
  <c r="AH162" i="3" s="1"/>
  <c r="AI220" i="7"/>
  <c r="AI162" i="3" s="1"/>
  <c r="AJ220" i="7"/>
  <c r="AJ162" i="3" s="1"/>
  <c r="AK220" i="7"/>
  <c r="AK162" i="3" s="1"/>
  <c r="AL220" i="7"/>
  <c r="AL162" i="3"/>
  <c r="AM220" i="7"/>
  <c r="AM162" i="3" s="1"/>
  <c r="AN220" i="7"/>
  <c r="AO220" i="7"/>
  <c r="AO162" i="3" s="1"/>
  <c r="AP220" i="7"/>
  <c r="AP162" i="3" s="1"/>
  <c r="AQ220" i="7"/>
  <c r="AQ162" i="3"/>
  <c r="AR220" i="7"/>
  <c r="AS220" i="7"/>
  <c r="AT220" i="7"/>
  <c r="AT162" i="3"/>
  <c r="AU220" i="7"/>
  <c r="AU162" i="3" s="1"/>
  <c r="AV220" i="7"/>
  <c r="AW220" i="7"/>
  <c r="AW162" i="3" s="1"/>
  <c r="AX220" i="7"/>
  <c r="AX162" i="3" s="1"/>
  <c r="AY220" i="7"/>
  <c r="AY162" i="3" s="1"/>
  <c r="AZ220" i="7"/>
  <c r="AZ162" i="3" s="1"/>
  <c r="BA220" i="7"/>
  <c r="BA162" i="3" s="1"/>
  <c r="BB220" i="7"/>
  <c r="BB162" i="3" s="1"/>
  <c r="BC220" i="7"/>
  <c r="BC162" i="3" s="1"/>
  <c r="BD220" i="7"/>
  <c r="BE220" i="7"/>
  <c r="BE162" i="3" s="1"/>
  <c r="BF220" i="7"/>
  <c r="BF162" i="3" s="1"/>
  <c r="BG220" i="7"/>
  <c r="BG162" i="3" s="1"/>
  <c r="BH220" i="7"/>
  <c r="BH162" i="3" s="1"/>
  <c r="BI220" i="7"/>
  <c r="BI162" i="3" s="1"/>
  <c r="BJ220" i="7"/>
  <c r="BJ162" i="3" s="1"/>
  <c r="BK220" i="7"/>
  <c r="BK162" i="3" s="1"/>
  <c r="BL220" i="7"/>
  <c r="BM220" i="7"/>
  <c r="BM162" i="3" s="1"/>
  <c r="BN220" i="7"/>
  <c r="BN162" i="3" s="1"/>
  <c r="BO220" i="7"/>
  <c r="BO162" i="3"/>
  <c r="BP220" i="7"/>
  <c r="BP162" i="3" s="1"/>
  <c r="S227" i="7"/>
  <c r="T227" i="7"/>
  <c r="T163" i="3" s="1"/>
  <c r="U227" i="7"/>
  <c r="U163" i="3" s="1"/>
  <c r="V227" i="7"/>
  <c r="V163" i="3" s="1"/>
  <c r="W227" i="7"/>
  <c r="W163" i="3" s="1"/>
  <c r="X227" i="7"/>
  <c r="X163" i="3" s="1"/>
  <c r="Y227" i="7"/>
  <c r="Y163" i="3" s="1"/>
  <c r="Z227" i="7"/>
  <c r="Z163" i="3" s="1"/>
  <c r="AA227" i="7"/>
  <c r="AA163" i="3" s="1"/>
  <c r="AB227" i="7"/>
  <c r="AB163" i="3" s="1"/>
  <c r="AC227" i="7"/>
  <c r="AC163" i="3"/>
  <c r="AD227" i="7"/>
  <c r="AE227" i="7"/>
  <c r="AF227" i="7"/>
  <c r="AF163" i="3"/>
  <c r="AG227" i="7"/>
  <c r="AG163" i="3" s="1"/>
  <c r="AH227" i="7"/>
  <c r="AI227" i="7"/>
  <c r="AI163" i="3" s="1"/>
  <c r="AJ227" i="7"/>
  <c r="AJ163" i="3" s="1"/>
  <c r="AK227" i="7"/>
  <c r="AK163" i="3" s="1"/>
  <c r="AL227" i="7"/>
  <c r="AL163" i="3" s="1"/>
  <c r="AM227" i="7"/>
  <c r="AM163" i="3" s="1"/>
  <c r="AN227" i="7"/>
  <c r="AN163" i="3" s="1"/>
  <c r="AO227" i="7"/>
  <c r="AO163" i="3" s="1"/>
  <c r="AP227" i="7"/>
  <c r="AP163" i="3" s="1"/>
  <c r="AQ227" i="7"/>
  <c r="AR227" i="7"/>
  <c r="AR163" i="3" s="1"/>
  <c r="AS227" i="7"/>
  <c r="AS163" i="3" s="1"/>
  <c r="AT227" i="7"/>
  <c r="AU227" i="7"/>
  <c r="AV227" i="7"/>
  <c r="AV163" i="3" s="1"/>
  <c r="AW227" i="7"/>
  <c r="AW163" i="3" s="1"/>
  <c r="AX227" i="7"/>
  <c r="AX163" i="3" s="1"/>
  <c r="AY227" i="7"/>
  <c r="AY163" i="3" s="1"/>
  <c r="AZ227" i="7"/>
  <c r="AZ163" i="3" s="1"/>
  <c r="BA227" i="7"/>
  <c r="BA163" i="3" s="1"/>
  <c r="BB227" i="7"/>
  <c r="BC227" i="7"/>
  <c r="BD227" i="7"/>
  <c r="BD163" i="3" s="1"/>
  <c r="BE227" i="7"/>
  <c r="BE163" i="3" s="1"/>
  <c r="BF227" i="7"/>
  <c r="BF163" i="3" s="1"/>
  <c r="BG227" i="7"/>
  <c r="BH227" i="7"/>
  <c r="BH163" i="3" s="1"/>
  <c r="BI227" i="7"/>
  <c r="BI163" i="3" s="1"/>
  <c r="BJ227" i="7"/>
  <c r="BJ163" i="3" s="1"/>
  <c r="BK227" i="7"/>
  <c r="BK163" i="3" s="1"/>
  <c r="BL227" i="7"/>
  <c r="BL163" i="3" s="1"/>
  <c r="BM227" i="7"/>
  <c r="BM163" i="3" s="1"/>
  <c r="BN227" i="7"/>
  <c r="BN163" i="3"/>
  <c r="BO227" i="7"/>
  <c r="BO163" i="3" s="1"/>
  <c r="BP227" i="7"/>
  <c r="BP163" i="3" s="1"/>
  <c r="S234" i="7"/>
  <c r="S164" i="3" s="1"/>
  <c r="T234" i="7"/>
  <c r="U234" i="7"/>
  <c r="U164" i="3" s="1"/>
  <c r="V234" i="7"/>
  <c r="V164" i="3" s="1"/>
  <c r="W234" i="7"/>
  <c r="W164" i="3" s="1"/>
  <c r="X234" i="7"/>
  <c r="X164" i="3" s="1"/>
  <c r="Y234" i="7"/>
  <c r="Z234" i="7"/>
  <c r="Z164" i="3" s="1"/>
  <c r="AA234" i="7"/>
  <c r="AA164" i="3" s="1"/>
  <c r="AB234" i="7"/>
  <c r="AB164" i="3" s="1"/>
  <c r="AC234" i="7"/>
  <c r="AC164" i="3" s="1"/>
  <c r="AD234" i="7"/>
  <c r="AD164" i="3" s="1"/>
  <c r="AE234" i="7"/>
  <c r="AE164" i="3" s="1"/>
  <c r="AF234" i="7"/>
  <c r="AF164" i="3"/>
  <c r="AG234" i="7"/>
  <c r="AG164" i="3" s="1"/>
  <c r="AH234" i="7"/>
  <c r="AH164" i="3"/>
  <c r="AI234" i="7"/>
  <c r="AI164" i="3" s="1"/>
  <c r="AJ234" i="7"/>
  <c r="AJ164" i="3" s="1"/>
  <c r="AK234" i="7"/>
  <c r="AK164" i="3" s="1"/>
  <c r="AL234" i="7"/>
  <c r="AL164" i="3" s="1"/>
  <c r="AM234" i="7"/>
  <c r="AM164" i="3" s="1"/>
  <c r="AN234" i="7"/>
  <c r="AN164" i="3"/>
  <c r="AO234" i="7"/>
  <c r="AO164" i="3" s="1"/>
  <c r="AP234" i="7"/>
  <c r="AP164" i="3"/>
  <c r="AQ234" i="7"/>
  <c r="AQ164" i="3" s="1"/>
  <c r="AR234" i="7"/>
  <c r="AS234" i="7"/>
  <c r="AS164" i="3" s="1"/>
  <c r="AT234" i="7"/>
  <c r="AT164" i="3" s="1"/>
  <c r="AU234" i="7"/>
  <c r="AU164" i="3" s="1"/>
  <c r="AV234" i="7"/>
  <c r="AV164" i="3" s="1"/>
  <c r="AW234" i="7"/>
  <c r="AW164" i="3"/>
  <c r="AX234" i="7"/>
  <c r="AX164" i="3" s="1"/>
  <c r="AY234" i="7"/>
  <c r="AY164" i="3"/>
  <c r="AZ234" i="7"/>
  <c r="AZ164" i="3" s="1"/>
  <c r="BA234" i="7"/>
  <c r="BB234" i="7"/>
  <c r="BB164" i="3"/>
  <c r="BC234" i="7"/>
  <c r="BC164" i="3" s="1"/>
  <c r="BD234" i="7"/>
  <c r="BD164" i="3" s="1"/>
  <c r="BE234" i="7"/>
  <c r="BE164" i="3" s="1"/>
  <c r="BF234" i="7"/>
  <c r="BF164" i="3" s="1"/>
  <c r="BG234" i="7"/>
  <c r="BG164" i="3" s="1"/>
  <c r="BH234" i="7"/>
  <c r="BI234" i="7"/>
  <c r="BI164" i="3" s="1"/>
  <c r="BJ234" i="7"/>
  <c r="BJ164" i="3" s="1"/>
  <c r="BK234" i="7"/>
  <c r="BK164" i="3" s="1"/>
  <c r="BL234" i="7"/>
  <c r="BL164" i="3" s="1"/>
  <c r="BM234" i="7"/>
  <c r="BM164" i="3" s="1"/>
  <c r="BN234" i="7"/>
  <c r="BN164" i="3" s="1"/>
  <c r="BO234" i="7"/>
  <c r="BO164" i="3" s="1"/>
  <c r="BP234" i="7"/>
  <c r="R227" i="7"/>
  <c r="R163" i="3"/>
  <c r="R234" i="7"/>
  <c r="R164" i="3" s="1"/>
  <c r="R38" i="3"/>
  <c r="R49" i="3" s="1"/>
  <c r="R53" i="3"/>
  <c r="R63" i="3"/>
  <c r="S38" i="3"/>
  <c r="S49" i="3" s="1"/>
  <c r="S53" i="3"/>
  <c r="S63" i="3" s="1"/>
  <c r="T38" i="3"/>
  <c r="T49" i="3" s="1"/>
  <c r="T53" i="3"/>
  <c r="T63" i="3" s="1"/>
  <c r="U38" i="3"/>
  <c r="U53" i="3"/>
  <c r="J304" i="3"/>
  <c r="J309" i="3"/>
  <c r="J315" i="3"/>
  <c r="J318" i="3"/>
  <c r="J321" i="3"/>
  <c r="J324" i="3"/>
  <c r="J327" i="3"/>
  <c r="J328" i="3"/>
  <c r="J334" i="3"/>
  <c r="J335" i="3"/>
  <c r="J337" i="3"/>
  <c r="J338" i="3"/>
  <c r="J339" i="3"/>
  <c r="J342" i="3"/>
  <c r="J343" i="3"/>
  <c r="J344" i="3"/>
  <c r="J345" i="3"/>
  <c r="J346" i="3"/>
  <c r="J347" i="3"/>
  <c r="J348" i="3"/>
  <c r="J349" i="3"/>
  <c r="J351" i="3"/>
  <c r="J353" i="3"/>
  <c r="J354" i="3"/>
  <c r="J355" i="3"/>
  <c r="J356" i="3"/>
  <c r="J357" i="3"/>
  <c r="J359" i="3"/>
  <c r="J361" i="3"/>
  <c r="J362" i="3"/>
  <c r="J363" i="3"/>
  <c r="J365" i="3"/>
  <c r="J366" i="3"/>
  <c r="J367" i="3"/>
  <c r="J382" i="3"/>
  <c r="J387" i="3"/>
  <c r="J393" i="3"/>
  <c r="J396" i="3"/>
  <c r="J399" i="3"/>
  <c r="J402" i="3"/>
  <c r="J405" i="3"/>
  <c r="J406" i="3"/>
  <c r="J412" i="3"/>
  <c r="J414" i="3"/>
  <c r="J416" i="3"/>
  <c r="J417" i="3"/>
  <c r="J418" i="3"/>
  <c r="J421" i="3"/>
  <c r="J422" i="3"/>
  <c r="J423" i="3"/>
  <c r="J424" i="3"/>
  <c r="J425" i="3"/>
  <c r="J426" i="3"/>
  <c r="J427" i="3"/>
  <c r="J428" i="3"/>
  <c r="J430" i="3"/>
  <c r="J432" i="3"/>
  <c r="J433" i="3"/>
  <c r="J434" i="3"/>
  <c r="J435" i="3"/>
  <c r="J436" i="3"/>
  <c r="J438" i="3"/>
  <c r="J440" i="3"/>
  <c r="J441" i="3"/>
  <c r="J442" i="3"/>
  <c r="J444" i="3"/>
  <c r="J445" i="3"/>
  <c r="J446" i="3"/>
  <c r="L49" i="7"/>
  <c r="L51" i="7"/>
  <c r="J83" i="3"/>
  <c r="L217" i="3"/>
  <c r="G33" i="9"/>
  <c r="H33" i="9"/>
  <c r="BF33" i="9"/>
  <c r="R143" i="3"/>
  <c r="S143" i="3"/>
  <c r="H402" i="3"/>
  <c r="R77" i="7"/>
  <c r="R34" i="3" s="1"/>
  <c r="R45" i="3" s="1"/>
  <c r="R84" i="7"/>
  <c r="R35" i="3"/>
  <c r="S77" i="7"/>
  <c r="S84" i="7"/>
  <c r="S35" i="3" s="1"/>
  <c r="S46" i="3" s="1"/>
  <c r="S91" i="7"/>
  <c r="S36" i="3" s="1"/>
  <c r="S47" i="3" s="1"/>
  <c r="S98" i="7"/>
  <c r="S37" i="3" s="1"/>
  <c r="S68" i="7"/>
  <c r="AR162" i="3"/>
  <c r="BD162" i="3"/>
  <c r="Z70" i="7"/>
  <c r="Z33" i="3" s="1"/>
  <c r="AB70" i="7"/>
  <c r="AB33" i="3" s="1"/>
  <c r="AC70" i="7"/>
  <c r="AC33" i="3" s="1"/>
  <c r="AD70" i="7"/>
  <c r="AD33" i="3" s="1"/>
  <c r="AE70" i="7"/>
  <c r="AE33" i="3" s="1"/>
  <c r="AF70" i="7"/>
  <c r="AF33" i="3" s="1"/>
  <c r="AG70" i="7"/>
  <c r="AG33" i="3" s="1"/>
  <c r="AH70" i="7"/>
  <c r="AH33" i="3" s="1"/>
  <c r="AI70" i="7"/>
  <c r="AI33" i="3" s="1"/>
  <c r="AJ70" i="7"/>
  <c r="AJ33" i="3" s="1"/>
  <c r="AK70" i="7"/>
  <c r="AK33" i="3" s="1"/>
  <c r="AL70" i="7"/>
  <c r="AL33" i="3" s="1"/>
  <c r="AM70" i="7"/>
  <c r="AM33" i="3" s="1"/>
  <c r="AN70" i="7"/>
  <c r="AN33" i="3" s="1"/>
  <c r="AO70" i="7"/>
  <c r="AO33" i="3" s="1"/>
  <c r="AP70" i="7"/>
  <c r="AP33" i="3" s="1"/>
  <c r="AQ70" i="7"/>
  <c r="AQ33" i="3" s="1"/>
  <c r="AR70" i="7"/>
  <c r="AR33" i="3" s="1"/>
  <c r="AS70" i="7"/>
  <c r="AS33" i="3" s="1"/>
  <c r="AT70" i="7"/>
  <c r="AT33" i="3" s="1"/>
  <c r="AU70" i="7"/>
  <c r="AU33" i="3" s="1"/>
  <c r="AV70" i="7"/>
  <c r="AV33" i="3" s="1"/>
  <c r="AW70" i="7"/>
  <c r="AW33" i="3" s="1"/>
  <c r="AX70" i="7"/>
  <c r="AX33" i="3" s="1"/>
  <c r="AY70" i="7"/>
  <c r="AY33" i="3" s="1"/>
  <c r="AZ70" i="7"/>
  <c r="AZ33" i="3" s="1"/>
  <c r="BA70" i="7"/>
  <c r="BA33" i="3" s="1"/>
  <c r="BB70" i="7"/>
  <c r="BB33" i="3" s="1"/>
  <c r="BC70" i="7"/>
  <c r="BC33" i="3" s="1"/>
  <c r="BD70" i="7"/>
  <c r="BD33" i="3" s="1"/>
  <c r="BE70" i="7"/>
  <c r="BE33" i="3" s="1"/>
  <c r="BF70" i="7"/>
  <c r="BF33" i="3" s="1"/>
  <c r="BG70" i="7"/>
  <c r="BG33" i="3" s="1"/>
  <c r="BH70" i="7"/>
  <c r="BH33" i="3" s="1"/>
  <c r="BI70" i="7"/>
  <c r="BI33" i="3" s="1"/>
  <c r="BJ70" i="7"/>
  <c r="BJ33" i="3" s="1"/>
  <c r="BK70" i="7"/>
  <c r="BK33" i="3" s="1"/>
  <c r="BL70" i="7"/>
  <c r="BL33" i="3" s="1"/>
  <c r="BM70" i="7"/>
  <c r="BM33" i="3" s="1"/>
  <c r="BN70" i="7"/>
  <c r="BN33" i="3" s="1"/>
  <c r="BO70" i="7"/>
  <c r="BO33" i="3" s="1"/>
  <c r="BP70" i="7"/>
  <c r="BP33" i="3" s="1"/>
  <c r="T77" i="7"/>
  <c r="T34" i="3" s="1"/>
  <c r="T45" i="3" s="1"/>
  <c r="U77" i="7"/>
  <c r="U34" i="3" s="1"/>
  <c r="U45" i="3" s="1"/>
  <c r="V77" i="7"/>
  <c r="V34" i="3" s="1"/>
  <c r="V45" i="3" s="1"/>
  <c r="W77" i="7"/>
  <c r="X77" i="7"/>
  <c r="X34" i="3" s="1"/>
  <c r="X45" i="3" s="1"/>
  <c r="Y77" i="7"/>
  <c r="Y34" i="3" s="1"/>
  <c r="Z77" i="7"/>
  <c r="Z34" i="3" s="1"/>
  <c r="AA77" i="7"/>
  <c r="AA34" i="3" s="1"/>
  <c r="AA45" i="3" s="1"/>
  <c r="AB77" i="7"/>
  <c r="AB34" i="3" s="1"/>
  <c r="AC77" i="7"/>
  <c r="AC34" i="3" s="1"/>
  <c r="AC45" i="3" s="1"/>
  <c r="AD77" i="7"/>
  <c r="AD34" i="3" s="1"/>
  <c r="AE77" i="7"/>
  <c r="AE34" i="3" s="1"/>
  <c r="AF77" i="7"/>
  <c r="AF34" i="3" s="1"/>
  <c r="AF45" i="3" s="1"/>
  <c r="AG77" i="7"/>
  <c r="AG34" i="3" s="1"/>
  <c r="AH77" i="7"/>
  <c r="AH34" i="3" s="1"/>
  <c r="AH45" i="3" s="1"/>
  <c r="AI77" i="7"/>
  <c r="AI34" i="3" s="1"/>
  <c r="AJ77" i="7"/>
  <c r="AJ34" i="3" s="1"/>
  <c r="AJ45" i="3" s="1"/>
  <c r="AK77" i="7"/>
  <c r="AK34" i="3" s="1"/>
  <c r="AK45" i="3" s="1"/>
  <c r="AL77" i="7"/>
  <c r="AL34" i="3" s="1"/>
  <c r="AL45" i="3" s="1"/>
  <c r="AM77" i="7"/>
  <c r="AM34" i="3"/>
  <c r="AM45" i="3" s="1"/>
  <c r="AN77" i="7"/>
  <c r="AN34" i="3" s="1"/>
  <c r="AN45" i="3" s="1"/>
  <c r="AO77" i="7"/>
  <c r="AO34" i="3" s="1"/>
  <c r="AO45" i="3" s="1"/>
  <c r="AP77" i="7"/>
  <c r="AP34" i="3" s="1"/>
  <c r="AQ77" i="7"/>
  <c r="AQ34" i="3" s="1"/>
  <c r="AQ45" i="3" s="1"/>
  <c r="AR77" i="7"/>
  <c r="AR34" i="3" s="1"/>
  <c r="AR45" i="3" s="1"/>
  <c r="AS77" i="7"/>
  <c r="AS34" i="3" s="1"/>
  <c r="AS45" i="3" s="1"/>
  <c r="AT77" i="7"/>
  <c r="AT34" i="3" s="1"/>
  <c r="AT45" i="3" s="1"/>
  <c r="AU77" i="7"/>
  <c r="AU34" i="3" s="1"/>
  <c r="AV77" i="7"/>
  <c r="AV34" i="3" s="1"/>
  <c r="AV45" i="3" s="1"/>
  <c r="AW77" i="7"/>
  <c r="AW34" i="3" s="1"/>
  <c r="AX77" i="7"/>
  <c r="AX34" i="3" s="1"/>
  <c r="AX45" i="3" s="1"/>
  <c r="AY77" i="7"/>
  <c r="AY34" i="3" s="1"/>
  <c r="AY45" i="3" s="1"/>
  <c r="AZ77" i="7"/>
  <c r="AZ34" i="3" s="1"/>
  <c r="AZ45" i="3" s="1"/>
  <c r="BA77" i="7"/>
  <c r="BA34" i="3" s="1"/>
  <c r="BA45" i="3" s="1"/>
  <c r="BB77" i="7"/>
  <c r="BB34" i="3" s="1"/>
  <c r="BC77" i="7"/>
  <c r="BC34" i="3" s="1"/>
  <c r="BD77" i="7"/>
  <c r="BD34" i="3" s="1"/>
  <c r="BE77" i="7"/>
  <c r="BE34" i="3" s="1"/>
  <c r="BE45" i="3" s="1"/>
  <c r="BF77" i="7"/>
  <c r="BF34" i="3"/>
  <c r="BG77" i="7"/>
  <c r="BG34" i="3" s="1"/>
  <c r="BG45" i="3" s="1"/>
  <c r="BH77" i="7"/>
  <c r="BH34" i="3" s="1"/>
  <c r="BH45" i="3" s="1"/>
  <c r="BI77" i="7"/>
  <c r="BI34" i="3" s="1"/>
  <c r="BI45" i="3" s="1"/>
  <c r="BJ77" i="7"/>
  <c r="BJ34" i="3" s="1"/>
  <c r="BK77" i="7"/>
  <c r="BK34" i="3" s="1"/>
  <c r="BK45" i="3" s="1"/>
  <c r="BL77" i="7"/>
  <c r="BL34" i="3" s="1"/>
  <c r="BM77" i="7"/>
  <c r="BM34" i="3" s="1"/>
  <c r="BM45" i="3" s="1"/>
  <c r="BN77" i="7"/>
  <c r="BN34" i="3" s="1"/>
  <c r="BN45" i="3" s="1"/>
  <c r="BO77" i="7"/>
  <c r="BO34" i="3" s="1"/>
  <c r="BP77" i="7"/>
  <c r="BP34" i="3" s="1"/>
  <c r="BP45" i="3" s="1"/>
  <c r="T84" i="7"/>
  <c r="T35" i="3" s="1"/>
  <c r="T46" i="3" s="1"/>
  <c r="U84" i="7"/>
  <c r="U35" i="3" s="1"/>
  <c r="U46" i="3" s="1"/>
  <c r="V84" i="7"/>
  <c r="V35" i="3" s="1"/>
  <c r="V46" i="3" s="1"/>
  <c r="W84" i="7"/>
  <c r="W35" i="3"/>
  <c r="W46" i="3" s="1"/>
  <c r="X84" i="7"/>
  <c r="X35" i="3" s="1"/>
  <c r="X46" i="3" s="1"/>
  <c r="Y84" i="7"/>
  <c r="Y35" i="3" s="1"/>
  <c r="Z84" i="7"/>
  <c r="Z35" i="3" s="1"/>
  <c r="Z46" i="3" s="1"/>
  <c r="AA84" i="7"/>
  <c r="AA35" i="3" s="1"/>
  <c r="AA46" i="3" s="1"/>
  <c r="AB84" i="7"/>
  <c r="AB35" i="3" s="1"/>
  <c r="AB46" i="3" s="1"/>
  <c r="AC84" i="7"/>
  <c r="AC35" i="3" s="1"/>
  <c r="AC46" i="3" s="1"/>
  <c r="AD84" i="7"/>
  <c r="AD35" i="3" s="1"/>
  <c r="AD46" i="3" s="1"/>
  <c r="AE84" i="7"/>
  <c r="AE35" i="3" s="1"/>
  <c r="AE46" i="3" s="1"/>
  <c r="AF84" i="7"/>
  <c r="AF35" i="3" s="1"/>
  <c r="AF46" i="3" s="1"/>
  <c r="AG84" i="7"/>
  <c r="AG35" i="3" s="1"/>
  <c r="AG46" i="3" s="1"/>
  <c r="AH84" i="7"/>
  <c r="AH35" i="3" s="1"/>
  <c r="AI84" i="7"/>
  <c r="AI35" i="3" s="1"/>
  <c r="AI46" i="3" s="1"/>
  <c r="AJ84" i="7"/>
  <c r="AJ35" i="3" s="1"/>
  <c r="AJ46" i="3" s="1"/>
  <c r="AK84" i="7"/>
  <c r="AK35" i="3" s="1"/>
  <c r="AL84" i="7"/>
  <c r="AL35" i="3" s="1"/>
  <c r="AL46" i="3" s="1"/>
  <c r="AM84" i="7"/>
  <c r="AM35" i="3" s="1"/>
  <c r="AM46" i="3" s="1"/>
  <c r="AN84" i="7"/>
  <c r="AN35" i="3" s="1"/>
  <c r="AO84" i="7"/>
  <c r="AO35" i="3" s="1"/>
  <c r="AO46" i="3" s="1"/>
  <c r="AP84" i="7"/>
  <c r="AP35" i="3" s="1"/>
  <c r="AP46" i="3" s="1"/>
  <c r="AQ84" i="7"/>
  <c r="AQ35" i="3" s="1"/>
  <c r="AQ46" i="3" s="1"/>
  <c r="AR84" i="7"/>
  <c r="AR35" i="3"/>
  <c r="AS84" i="7"/>
  <c r="AS35" i="3" s="1"/>
  <c r="AT84" i="7"/>
  <c r="AT35" i="3" s="1"/>
  <c r="AT46" i="3" s="1"/>
  <c r="AU84" i="7"/>
  <c r="AU35" i="3" s="1"/>
  <c r="AU46" i="3" s="1"/>
  <c r="AV84" i="7"/>
  <c r="AV35" i="3" s="1"/>
  <c r="AV46" i="3" s="1"/>
  <c r="AW84" i="7"/>
  <c r="AW35" i="3" s="1"/>
  <c r="AW46" i="3" s="1"/>
  <c r="AX84" i="7"/>
  <c r="AX35" i="3" s="1"/>
  <c r="AY84" i="7"/>
  <c r="AY35" i="3" s="1"/>
  <c r="AY46" i="3" s="1"/>
  <c r="AZ84" i="7"/>
  <c r="AZ35" i="3" s="1"/>
  <c r="AZ46" i="3" s="1"/>
  <c r="BA84" i="7"/>
  <c r="BA35" i="3" s="1"/>
  <c r="BA46" i="3" s="1"/>
  <c r="BB84" i="7"/>
  <c r="BB35" i="3" s="1"/>
  <c r="BC84" i="7"/>
  <c r="BC35" i="3" s="1"/>
  <c r="BC46" i="3" s="1"/>
  <c r="BD84" i="7"/>
  <c r="BD35" i="3" s="1"/>
  <c r="BD46" i="3" s="1"/>
  <c r="BE84" i="7"/>
  <c r="BE35" i="3" s="1"/>
  <c r="BE46" i="3" s="1"/>
  <c r="BF84" i="7"/>
  <c r="BF35" i="3" s="1"/>
  <c r="BF46" i="3" s="1"/>
  <c r="BG84" i="7"/>
  <c r="BG35" i="3" s="1"/>
  <c r="BG46" i="3" s="1"/>
  <c r="BH84" i="7"/>
  <c r="BH35" i="3" s="1"/>
  <c r="BH46" i="3" s="1"/>
  <c r="BI84" i="7"/>
  <c r="BI35" i="3" s="1"/>
  <c r="BJ84" i="7"/>
  <c r="BJ35" i="3" s="1"/>
  <c r="BJ46" i="3" s="1"/>
  <c r="BK84" i="7"/>
  <c r="BK35" i="3" s="1"/>
  <c r="BK46" i="3" s="1"/>
  <c r="BL84" i="7"/>
  <c r="BL35" i="3" s="1"/>
  <c r="BL46" i="3"/>
  <c r="BM84" i="7"/>
  <c r="BM35" i="3" s="1"/>
  <c r="BM46" i="3" s="1"/>
  <c r="BN84" i="7"/>
  <c r="BN35" i="3" s="1"/>
  <c r="BN46" i="3" s="1"/>
  <c r="BO84" i="7"/>
  <c r="BO35" i="3" s="1"/>
  <c r="BO46" i="3" s="1"/>
  <c r="BP84" i="7"/>
  <c r="BP35" i="3" s="1"/>
  <c r="BP46" i="3" s="1"/>
  <c r="T91" i="7"/>
  <c r="T36" i="3" s="1"/>
  <c r="T47" i="3" s="1"/>
  <c r="U91" i="7"/>
  <c r="U36" i="3" s="1"/>
  <c r="U47" i="3" s="1"/>
  <c r="V91" i="7"/>
  <c r="V36" i="3" s="1"/>
  <c r="V47" i="3" s="1"/>
  <c r="W91" i="7"/>
  <c r="W36" i="3" s="1"/>
  <c r="W47" i="3"/>
  <c r="X91" i="7"/>
  <c r="X36" i="3" s="1"/>
  <c r="X47" i="3" s="1"/>
  <c r="Y91" i="7"/>
  <c r="Y36" i="3" s="1"/>
  <c r="Y47" i="3" s="1"/>
  <c r="Z91" i="7"/>
  <c r="Z36" i="3" s="1"/>
  <c r="Z47" i="3" s="1"/>
  <c r="AA91" i="7"/>
  <c r="AA36" i="3" s="1"/>
  <c r="AA47" i="3" s="1"/>
  <c r="AB91" i="7"/>
  <c r="AB36" i="3" s="1"/>
  <c r="AB47" i="3" s="1"/>
  <c r="AC91" i="7"/>
  <c r="AC36" i="3" s="1"/>
  <c r="AD91" i="7"/>
  <c r="AD36" i="3" s="1"/>
  <c r="AD47" i="3" s="1"/>
  <c r="AE91" i="7"/>
  <c r="AE36" i="3"/>
  <c r="AE47" i="3" s="1"/>
  <c r="AF91" i="7"/>
  <c r="AF36" i="3" s="1"/>
  <c r="AF47" i="3" s="1"/>
  <c r="AG91" i="7"/>
  <c r="AG36" i="3"/>
  <c r="AG47" i="3" s="1"/>
  <c r="AH91" i="7"/>
  <c r="AH36" i="3" s="1"/>
  <c r="AH47" i="3" s="1"/>
  <c r="AI91" i="7"/>
  <c r="AI36" i="3"/>
  <c r="AI47" i="3" s="1"/>
  <c r="AJ91" i="7"/>
  <c r="AJ36" i="3" s="1"/>
  <c r="AJ47" i="3" s="1"/>
  <c r="AK91" i="7"/>
  <c r="AK36" i="3"/>
  <c r="AK47" i="3" s="1"/>
  <c r="AL91" i="7"/>
  <c r="AL36" i="3" s="1"/>
  <c r="AL47" i="3" s="1"/>
  <c r="AM91" i="7"/>
  <c r="AM36" i="3"/>
  <c r="AM47" i="3" s="1"/>
  <c r="AN91" i="7"/>
  <c r="AN36" i="3" s="1"/>
  <c r="AN47" i="3" s="1"/>
  <c r="AO91" i="7"/>
  <c r="AO36" i="3" s="1"/>
  <c r="AO47" i="3" s="1"/>
  <c r="AP91" i="7"/>
  <c r="AP36" i="3" s="1"/>
  <c r="AP47" i="3" s="1"/>
  <c r="AQ91" i="7"/>
  <c r="AQ36" i="3" s="1"/>
  <c r="AQ47" i="3" s="1"/>
  <c r="AR91" i="7"/>
  <c r="AR36" i="3" s="1"/>
  <c r="AR47" i="3" s="1"/>
  <c r="AS91" i="7"/>
  <c r="AS36" i="3" s="1"/>
  <c r="AS47" i="3" s="1"/>
  <c r="AT91" i="7"/>
  <c r="AT36" i="3" s="1"/>
  <c r="AT47" i="3" s="1"/>
  <c r="AU91" i="7"/>
  <c r="AU36" i="3" s="1"/>
  <c r="AU47" i="3" s="1"/>
  <c r="AV91" i="7"/>
  <c r="AV36" i="3" s="1"/>
  <c r="AV47" i="3" s="1"/>
  <c r="AW91" i="7"/>
  <c r="AW36" i="3" s="1"/>
  <c r="AX91" i="7"/>
  <c r="AX36" i="3" s="1"/>
  <c r="AX47" i="3" s="1"/>
  <c r="AY91" i="7"/>
  <c r="AY36" i="3" s="1"/>
  <c r="AY47" i="3" s="1"/>
  <c r="AZ91" i="7"/>
  <c r="AZ36" i="3" s="1"/>
  <c r="AZ47" i="3" s="1"/>
  <c r="BA91" i="7"/>
  <c r="BA36" i="3" s="1"/>
  <c r="BA47" i="3" s="1"/>
  <c r="BB91" i="7"/>
  <c r="BB36" i="3" s="1"/>
  <c r="BB47" i="3" s="1"/>
  <c r="BC91" i="7"/>
  <c r="BC36" i="3" s="1"/>
  <c r="BC47" i="3" s="1"/>
  <c r="BD91" i="7"/>
  <c r="BD36" i="3" s="1"/>
  <c r="BD47" i="3" s="1"/>
  <c r="BE91" i="7"/>
  <c r="BE36" i="3"/>
  <c r="BF91" i="7"/>
  <c r="BF36" i="3" s="1"/>
  <c r="BF47" i="3" s="1"/>
  <c r="BG91" i="7"/>
  <c r="BG36" i="3" s="1"/>
  <c r="BG47" i="3" s="1"/>
  <c r="BH91" i="7"/>
  <c r="BH36" i="3"/>
  <c r="BI91" i="7"/>
  <c r="BI36" i="3" s="1"/>
  <c r="BI47" i="3" s="1"/>
  <c r="BJ91" i="7"/>
  <c r="BJ36" i="3" s="1"/>
  <c r="BJ47" i="3" s="1"/>
  <c r="BK91" i="7"/>
  <c r="BK36" i="3"/>
  <c r="BK47" i="3" s="1"/>
  <c r="BL91" i="7"/>
  <c r="BL36" i="3" s="1"/>
  <c r="BL47" i="3" s="1"/>
  <c r="BM91" i="7"/>
  <c r="BM36" i="3" s="1"/>
  <c r="BN91" i="7"/>
  <c r="BN36" i="3"/>
  <c r="BN47" i="3" s="1"/>
  <c r="BO91" i="7"/>
  <c r="BO36" i="3" s="1"/>
  <c r="BO47" i="3" s="1"/>
  <c r="BP91" i="7"/>
  <c r="BP36" i="3" s="1"/>
  <c r="BP47" i="3" s="1"/>
  <c r="R91" i="7"/>
  <c r="R36" i="3" s="1"/>
  <c r="T98" i="7"/>
  <c r="T37" i="3"/>
  <c r="T48" i="3"/>
  <c r="U98" i="7"/>
  <c r="U37" i="3" s="1"/>
  <c r="U48" i="3" s="1"/>
  <c r="V98" i="7"/>
  <c r="V37" i="3" s="1"/>
  <c r="W98" i="7"/>
  <c r="W37" i="3"/>
  <c r="W48" i="3" s="1"/>
  <c r="X98" i="7"/>
  <c r="X37" i="3" s="1"/>
  <c r="X48" i="3" s="1"/>
  <c r="Y98" i="7"/>
  <c r="Y37" i="3" s="1"/>
  <c r="Y48" i="3" s="1"/>
  <c r="Z98" i="7"/>
  <c r="Z37" i="3" s="1"/>
  <c r="Z48" i="3" s="1"/>
  <c r="AA98" i="7"/>
  <c r="AA37" i="3"/>
  <c r="AA48" i="3" s="1"/>
  <c r="AB98" i="7"/>
  <c r="AB37" i="3" s="1"/>
  <c r="AB48" i="3" s="1"/>
  <c r="AC98" i="7"/>
  <c r="AC37" i="3" s="1"/>
  <c r="AC48" i="3" s="1"/>
  <c r="AD98" i="7"/>
  <c r="AD37" i="3" s="1"/>
  <c r="AD48" i="3" s="1"/>
  <c r="AE98" i="7"/>
  <c r="AE37" i="3"/>
  <c r="AE48" i="3"/>
  <c r="AF98" i="7"/>
  <c r="AF37" i="3" s="1"/>
  <c r="AF48" i="3" s="1"/>
  <c r="AG98" i="7"/>
  <c r="AG37" i="3" s="1"/>
  <c r="AG48" i="3" s="1"/>
  <c r="AH98" i="7"/>
  <c r="AH37" i="3"/>
  <c r="AH48" i="3" s="1"/>
  <c r="AI98" i="7"/>
  <c r="AI37" i="3" s="1"/>
  <c r="AI48" i="3" s="1"/>
  <c r="AJ98" i="7"/>
  <c r="AJ37" i="3" s="1"/>
  <c r="AJ48" i="3" s="1"/>
  <c r="AK98" i="7"/>
  <c r="AK37" i="3" s="1"/>
  <c r="AK48" i="3" s="1"/>
  <c r="AL98" i="7"/>
  <c r="AL37" i="3" s="1"/>
  <c r="AM98" i="7"/>
  <c r="AM37" i="3"/>
  <c r="AM48" i="3" s="1"/>
  <c r="AN98" i="7"/>
  <c r="AN37" i="3" s="1"/>
  <c r="AO98" i="7"/>
  <c r="AO37" i="3" s="1"/>
  <c r="AO48" i="3" s="1"/>
  <c r="AP98" i="7"/>
  <c r="AP37" i="3" s="1"/>
  <c r="AP48" i="3" s="1"/>
  <c r="AQ98" i="7"/>
  <c r="AQ37" i="3"/>
  <c r="AQ48" i="3" s="1"/>
  <c r="AR98" i="7"/>
  <c r="AR37" i="3" s="1"/>
  <c r="AR48" i="3" s="1"/>
  <c r="AS98" i="7"/>
  <c r="AS37" i="3" s="1"/>
  <c r="AS48" i="3" s="1"/>
  <c r="AT98" i="7"/>
  <c r="AT37" i="3" s="1"/>
  <c r="AT48" i="3" s="1"/>
  <c r="AU98" i="7"/>
  <c r="AU37" i="3"/>
  <c r="AU48" i="3"/>
  <c r="AV98" i="7"/>
  <c r="AV37" i="3" s="1"/>
  <c r="AV48" i="3" s="1"/>
  <c r="AW98" i="7"/>
  <c r="AW37" i="3" s="1"/>
  <c r="AW48" i="3" s="1"/>
  <c r="AX98" i="7"/>
  <c r="AX37" i="3"/>
  <c r="AX48" i="3" s="1"/>
  <c r="AY98" i="7"/>
  <c r="AY37" i="3" s="1"/>
  <c r="AZ98" i="7"/>
  <c r="AZ37" i="3" s="1"/>
  <c r="AZ48" i="3" s="1"/>
  <c r="BA98" i="7"/>
  <c r="BA37" i="3"/>
  <c r="BA48" i="3" s="1"/>
  <c r="BB98" i="7"/>
  <c r="BB37" i="3"/>
  <c r="BB48" i="3"/>
  <c r="BC98" i="7"/>
  <c r="BC37" i="3" s="1"/>
  <c r="BC48" i="3" s="1"/>
  <c r="BD98" i="7"/>
  <c r="BD37" i="3" s="1"/>
  <c r="BD48" i="3" s="1"/>
  <c r="BE98" i="7"/>
  <c r="BE37" i="3"/>
  <c r="BE48" i="3" s="1"/>
  <c r="BF98" i="7"/>
  <c r="BF37" i="3" s="1"/>
  <c r="BF48" i="3" s="1"/>
  <c r="BG98" i="7"/>
  <c r="BG37" i="3" s="1"/>
  <c r="BG48" i="3" s="1"/>
  <c r="BH98" i="7"/>
  <c r="BH37" i="3" s="1"/>
  <c r="BH48" i="3" s="1"/>
  <c r="BI98" i="7"/>
  <c r="BI37" i="3"/>
  <c r="BI48" i="3" s="1"/>
  <c r="BJ98" i="7"/>
  <c r="BJ37" i="3" s="1"/>
  <c r="BJ48" i="3" s="1"/>
  <c r="BK98" i="7"/>
  <c r="BK37" i="3" s="1"/>
  <c r="BK48" i="3" s="1"/>
  <c r="BL98" i="7"/>
  <c r="BL37" i="3" s="1"/>
  <c r="BL48" i="3" s="1"/>
  <c r="BM98" i="7"/>
  <c r="BM37" i="3" s="1"/>
  <c r="BM48" i="3" s="1"/>
  <c r="BN98" i="7"/>
  <c r="BN37" i="3"/>
  <c r="BN48" i="3"/>
  <c r="BO98" i="7"/>
  <c r="BO37" i="3" s="1"/>
  <c r="BO48" i="3" s="1"/>
  <c r="BP98" i="7"/>
  <c r="BP37" i="3" s="1"/>
  <c r="BP48" i="3" s="1"/>
  <c r="R98" i="7"/>
  <c r="R37" i="3"/>
  <c r="R48" i="3" s="1"/>
  <c r="S163" i="3"/>
  <c r="X162" i="3"/>
  <c r="Y164" i="3"/>
  <c r="AD163" i="3"/>
  <c r="AE163" i="3"/>
  <c r="AH163" i="3"/>
  <c r="AN162" i="3"/>
  <c r="AQ163" i="3"/>
  <c r="AR164" i="3"/>
  <c r="AS162" i="3"/>
  <c r="AT163" i="3"/>
  <c r="AU163" i="3"/>
  <c r="AV162" i="3"/>
  <c r="BA164" i="3"/>
  <c r="BB163" i="3"/>
  <c r="BC163" i="3"/>
  <c r="BG163" i="3"/>
  <c r="BH164" i="3"/>
  <c r="BL162" i="3"/>
  <c r="BP164" i="3"/>
  <c r="R15" i="3"/>
  <c r="F8" i="53" s="1"/>
  <c r="R181" i="3"/>
  <c r="V38" i="3"/>
  <c r="V49" i="3"/>
  <c r="W38" i="3"/>
  <c r="W49" i="3" s="1"/>
  <c r="X38" i="3"/>
  <c r="X49" i="3"/>
  <c r="Y38" i="3"/>
  <c r="Y49" i="3" s="1"/>
  <c r="Z38" i="3"/>
  <c r="Z49" i="3" s="1"/>
  <c r="AA38" i="3"/>
  <c r="AA49" i="3" s="1"/>
  <c r="AB38" i="3"/>
  <c r="AB49" i="3"/>
  <c r="AC38" i="3"/>
  <c r="AC49" i="3" s="1"/>
  <c r="AD38" i="3"/>
  <c r="AD49" i="3"/>
  <c r="AE38" i="3"/>
  <c r="AE49" i="3" s="1"/>
  <c r="AF38" i="3"/>
  <c r="AF49" i="3" s="1"/>
  <c r="AG38" i="3"/>
  <c r="AG49" i="3" s="1"/>
  <c r="AH38" i="3"/>
  <c r="AH49" i="3" s="1"/>
  <c r="AI38" i="3"/>
  <c r="AI49" i="3" s="1"/>
  <c r="AJ38" i="3"/>
  <c r="AJ49" i="3"/>
  <c r="AK38" i="3"/>
  <c r="AK49" i="3" s="1"/>
  <c r="AL38" i="3"/>
  <c r="AL49" i="3" s="1"/>
  <c r="AM38" i="3"/>
  <c r="AM49" i="3" s="1"/>
  <c r="AN38" i="3"/>
  <c r="AN49" i="3" s="1"/>
  <c r="AO38" i="3"/>
  <c r="AP38" i="3"/>
  <c r="AP49" i="3" s="1"/>
  <c r="AQ38" i="3"/>
  <c r="AQ49" i="3" s="1"/>
  <c r="AR38" i="3"/>
  <c r="AR49" i="3" s="1"/>
  <c r="AS38" i="3"/>
  <c r="AS49" i="3" s="1"/>
  <c r="AT38" i="3"/>
  <c r="AU38" i="3"/>
  <c r="AU49" i="3" s="1"/>
  <c r="AV38" i="3"/>
  <c r="AV49" i="3" s="1"/>
  <c r="AW38" i="3"/>
  <c r="AW49" i="3"/>
  <c r="AX38" i="3"/>
  <c r="AX49" i="3" s="1"/>
  <c r="AY38" i="3"/>
  <c r="AY49" i="3"/>
  <c r="AZ38" i="3"/>
  <c r="AZ49" i="3" s="1"/>
  <c r="BA38" i="3"/>
  <c r="BA49" i="3" s="1"/>
  <c r="BB38" i="3"/>
  <c r="BB49" i="3" s="1"/>
  <c r="BC38" i="3"/>
  <c r="BC49" i="3"/>
  <c r="BD38" i="3"/>
  <c r="BD49" i="3" s="1"/>
  <c r="BE38" i="3"/>
  <c r="BE49" i="3"/>
  <c r="BF38" i="3"/>
  <c r="BF49" i="3" s="1"/>
  <c r="BG38" i="3"/>
  <c r="BG49" i="3"/>
  <c r="BH38" i="3"/>
  <c r="BH49" i="3" s="1"/>
  <c r="BI38" i="3"/>
  <c r="BI49" i="3" s="1"/>
  <c r="BJ38" i="3"/>
  <c r="BK38" i="3"/>
  <c r="BK49" i="3"/>
  <c r="BL38" i="3"/>
  <c r="BL49" i="3" s="1"/>
  <c r="BM38" i="3"/>
  <c r="BM49" i="3"/>
  <c r="BN38" i="3"/>
  <c r="BN49" i="3" s="1"/>
  <c r="BO38" i="3"/>
  <c r="BO49" i="3" s="1"/>
  <c r="BP38" i="3"/>
  <c r="BP49" i="3" s="1"/>
  <c r="F172" i="3"/>
  <c r="M32" i="51"/>
  <c r="J258" i="3"/>
  <c r="J257" i="3"/>
  <c r="H258" i="3"/>
  <c r="G258" i="3"/>
  <c r="H257" i="3"/>
  <c r="G257" i="3"/>
  <c r="G256" i="3"/>
  <c r="H256" i="3"/>
  <c r="G335" i="3"/>
  <c r="H414" i="3"/>
  <c r="AB340" i="3"/>
  <c r="AC340" i="3"/>
  <c r="AD340" i="3"/>
  <c r="AE340" i="3"/>
  <c r="AF340" i="3"/>
  <c r="AG340" i="3"/>
  <c r="AH340" i="3"/>
  <c r="AI340" i="3"/>
  <c r="AJ340" i="3"/>
  <c r="AK340" i="3"/>
  <c r="AL340" i="3"/>
  <c r="AM340" i="3"/>
  <c r="AN340" i="3"/>
  <c r="AO340" i="3"/>
  <c r="AP340" i="3"/>
  <c r="AQ340" i="3"/>
  <c r="AR340" i="3"/>
  <c r="AS340" i="3"/>
  <c r="AT340" i="3"/>
  <c r="AU340" i="3"/>
  <c r="AV340" i="3"/>
  <c r="AW340" i="3"/>
  <c r="AX340" i="3"/>
  <c r="AY340" i="3"/>
  <c r="AZ340" i="3"/>
  <c r="BA340" i="3"/>
  <c r="BB340" i="3"/>
  <c r="BC340" i="3"/>
  <c r="BD340" i="3"/>
  <c r="BE340" i="3"/>
  <c r="BF340" i="3"/>
  <c r="BG340" i="3"/>
  <c r="BH340" i="3"/>
  <c r="BI340" i="3"/>
  <c r="BJ340" i="3"/>
  <c r="BK340" i="3"/>
  <c r="BL340" i="3"/>
  <c r="BM340" i="3"/>
  <c r="BN340" i="3"/>
  <c r="BO340" i="3"/>
  <c r="BP340" i="3"/>
  <c r="O193" i="9"/>
  <c r="S171" i="3"/>
  <c r="Z171" i="3"/>
  <c r="Z254" i="3" s="1"/>
  <c r="AA255" i="3" s="1"/>
  <c r="AA171" i="3"/>
  <c r="AB171" i="3"/>
  <c r="AC171" i="3"/>
  <c r="R14" i="3"/>
  <c r="G39" i="9"/>
  <c r="H39" i="9"/>
  <c r="J178" i="3"/>
  <c r="R40" i="3"/>
  <c r="G304" i="3"/>
  <c r="S40" i="3"/>
  <c r="T40" i="3"/>
  <c r="U40" i="3"/>
  <c r="U223" i="3" s="1"/>
  <c r="U381" i="3" s="1"/>
  <c r="V40" i="3"/>
  <c r="W40" i="3"/>
  <c r="O40" i="4" s="1"/>
  <c r="X40" i="3"/>
  <c r="P40" i="4"/>
  <c r="Y40" i="3"/>
  <c r="Z40" i="3"/>
  <c r="R40" i="4" s="1"/>
  <c r="AA40" i="3"/>
  <c r="AA223" i="3" s="1"/>
  <c r="AB40" i="3"/>
  <c r="AC40" i="3"/>
  <c r="AD40" i="3"/>
  <c r="AE40" i="3"/>
  <c r="W40" i="4" s="1"/>
  <c r="AF40" i="3"/>
  <c r="H382" i="3"/>
  <c r="H381" i="3"/>
  <c r="AG40" i="3"/>
  <c r="AG223" i="3" s="1"/>
  <c r="AG381" i="3" s="1"/>
  <c r="AH40" i="3"/>
  <c r="AH223" i="3" s="1"/>
  <c r="AH381" i="3" s="1"/>
  <c r="AI40" i="3"/>
  <c r="AA40" i="4" s="1"/>
  <c r="AJ40" i="3"/>
  <c r="AK40" i="3"/>
  <c r="AC40" i="4" s="1"/>
  <c r="AL40" i="3"/>
  <c r="AM40" i="3"/>
  <c r="AE40" i="4" s="1"/>
  <c r="AN40" i="3"/>
  <c r="AO40" i="3"/>
  <c r="AG40" i="4" s="1"/>
  <c r="AP40" i="3"/>
  <c r="AQ40" i="3"/>
  <c r="AQ223" i="3" s="1"/>
  <c r="AQ303" i="3" s="1"/>
  <c r="AR40" i="3"/>
  <c r="AS40" i="3"/>
  <c r="AT40" i="3"/>
  <c r="AL40" i="4" s="1"/>
  <c r="AU40" i="3"/>
  <c r="AM40" i="4" s="1"/>
  <c r="AV40" i="3"/>
  <c r="AV223" i="3" s="1"/>
  <c r="AV381" i="3" s="1"/>
  <c r="AW40" i="3"/>
  <c r="AW223" i="3" s="1"/>
  <c r="AW381" i="3" s="1"/>
  <c r="AX40" i="3"/>
  <c r="AY40" i="3"/>
  <c r="AY223" i="3" s="1"/>
  <c r="AY381" i="3" s="1"/>
  <c r="AZ40" i="3"/>
  <c r="BA40" i="3"/>
  <c r="BA223" i="3" s="1"/>
  <c r="BB40" i="3"/>
  <c r="BC40" i="3"/>
  <c r="AU40" i="4" s="1"/>
  <c r="BD40" i="3"/>
  <c r="AV40" i="4" s="1"/>
  <c r="BE40" i="3"/>
  <c r="BE223" i="3" s="1"/>
  <c r="BE303" i="3" s="1"/>
  <c r="BF40" i="3"/>
  <c r="BF223" i="3" s="1"/>
  <c r="BG40" i="3"/>
  <c r="AY40" i="4" s="1"/>
  <c r="BH40" i="3"/>
  <c r="BI40" i="3"/>
  <c r="BA40" i="4" s="1"/>
  <c r="BJ40" i="3"/>
  <c r="BK40" i="3"/>
  <c r="BL40" i="3"/>
  <c r="BM40" i="3"/>
  <c r="BN40" i="3"/>
  <c r="BO40" i="3"/>
  <c r="BP40" i="3"/>
  <c r="D34" i="3"/>
  <c r="D35" i="3"/>
  <c r="D36" i="3"/>
  <c r="G339" i="3"/>
  <c r="R14" i="4"/>
  <c r="Q14" i="4"/>
  <c r="K37" i="4"/>
  <c r="J37" i="4"/>
  <c r="L37" i="4"/>
  <c r="M37" i="4"/>
  <c r="N37" i="4"/>
  <c r="O37" i="4"/>
  <c r="P37" i="4"/>
  <c r="Q37" i="4"/>
  <c r="R37" i="4"/>
  <c r="S37" i="4"/>
  <c r="T37" i="4"/>
  <c r="U37" i="4"/>
  <c r="V37" i="4"/>
  <c r="W37" i="4"/>
  <c r="X37" i="4"/>
  <c r="Y37" i="4"/>
  <c r="Z37" i="4"/>
  <c r="AA37" i="4"/>
  <c r="AB37" i="4"/>
  <c r="AC37" i="4"/>
  <c r="AD37" i="4"/>
  <c r="AE37" i="4"/>
  <c r="AF37" i="4"/>
  <c r="AG37" i="4"/>
  <c r="AH37" i="4"/>
  <c r="AI37" i="4"/>
  <c r="AJ37" i="4"/>
  <c r="AK37" i="4"/>
  <c r="AL37" i="4"/>
  <c r="AM37" i="4"/>
  <c r="AN37" i="4"/>
  <c r="AO37" i="4"/>
  <c r="AP37" i="4"/>
  <c r="AQ37" i="4"/>
  <c r="AR37" i="4"/>
  <c r="AS37" i="4"/>
  <c r="AT37" i="4"/>
  <c r="AU37" i="4"/>
  <c r="AV37" i="4"/>
  <c r="AW37" i="4"/>
  <c r="AX37" i="4"/>
  <c r="AY37" i="4"/>
  <c r="AZ37" i="4"/>
  <c r="BA37" i="4"/>
  <c r="BB37" i="4"/>
  <c r="BC37" i="4"/>
  <c r="BD37" i="4"/>
  <c r="BE37" i="4"/>
  <c r="BF37" i="4"/>
  <c r="BG37" i="4"/>
  <c r="BH37" i="4"/>
  <c r="R297" i="3"/>
  <c r="J524" i="3"/>
  <c r="J523" i="3"/>
  <c r="J522" i="3"/>
  <c r="J520" i="3"/>
  <c r="J519" i="3"/>
  <c r="J518" i="3"/>
  <c r="J516" i="3"/>
  <c r="J514" i="3"/>
  <c r="J513" i="3"/>
  <c r="J512" i="3"/>
  <c r="J511" i="3"/>
  <c r="J510" i="3"/>
  <c r="J508" i="3"/>
  <c r="J506" i="3"/>
  <c r="J505" i="3"/>
  <c r="J504" i="3"/>
  <c r="J503" i="3"/>
  <c r="J502" i="3"/>
  <c r="J501" i="3"/>
  <c r="J500" i="3"/>
  <c r="J499" i="3"/>
  <c r="J496" i="3"/>
  <c r="J495" i="3"/>
  <c r="J494" i="3"/>
  <c r="J492" i="3"/>
  <c r="J490" i="3"/>
  <c r="J484" i="3"/>
  <c r="J483" i="3"/>
  <c r="J480" i="3"/>
  <c r="J477" i="3"/>
  <c r="J474" i="3"/>
  <c r="J471" i="3"/>
  <c r="J465" i="3"/>
  <c r="J460" i="3"/>
  <c r="H524" i="3"/>
  <c r="H523" i="3"/>
  <c r="H522" i="3"/>
  <c r="H520" i="3"/>
  <c r="H519" i="3"/>
  <c r="H518" i="3"/>
  <c r="H516" i="3"/>
  <c r="H514" i="3"/>
  <c r="H513" i="3"/>
  <c r="H512" i="3"/>
  <c r="H511" i="3"/>
  <c r="H510" i="3"/>
  <c r="H508" i="3"/>
  <c r="H506" i="3"/>
  <c r="H505" i="3"/>
  <c r="H504" i="3"/>
  <c r="H503" i="3"/>
  <c r="H502" i="3"/>
  <c r="H501" i="3"/>
  <c r="H500" i="3"/>
  <c r="H499" i="3"/>
  <c r="H496" i="3"/>
  <c r="H495" i="3"/>
  <c r="H494" i="3"/>
  <c r="H492" i="3"/>
  <c r="H490" i="3"/>
  <c r="H484" i="3"/>
  <c r="H483" i="3"/>
  <c r="H480" i="3"/>
  <c r="H477" i="3"/>
  <c r="H474" i="3"/>
  <c r="H471" i="3"/>
  <c r="H465" i="3"/>
  <c r="H460" i="3"/>
  <c r="H446" i="3"/>
  <c r="H445" i="3"/>
  <c r="H444" i="3"/>
  <c r="H442" i="3"/>
  <c r="H441" i="3"/>
  <c r="H440" i="3"/>
  <c r="H438" i="3"/>
  <c r="H436" i="3"/>
  <c r="H435" i="3"/>
  <c r="H434" i="3"/>
  <c r="H433" i="3"/>
  <c r="H432" i="3"/>
  <c r="H430" i="3"/>
  <c r="H428" i="3"/>
  <c r="H427" i="3"/>
  <c r="H426" i="3"/>
  <c r="H425" i="3"/>
  <c r="H424" i="3"/>
  <c r="H423" i="3"/>
  <c r="H422" i="3"/>
  <c r="H421" i="3"/>
  <c r="H418" i="3"/>
  <c r="H417" i="3"/>
  <c r="H412" i="3"/>
  <c r="H406" i="3"/>
  <c r="H405" i="3"/>
  <c r="H399" i="3"/>
  <c r="H396" i="3"/>
  <c r="H393" i="3"/>
  <c r="H387" i="3"/>
  <c r="H386" i="3"/>
  <c r="H367" i="3"/>
  <c r="H366" i="3"/>
  <c r="H365" i="3"/>
  <c r="H363" i="3"/>
  <c r="H362" i="3"/>
  <c r="H361" i="3"/>
  <c r="H359" i="3"/>
  <c r="H357" i="3"/>
  <c r="H356" i="3"/>
  <c r="H355" i="3"/>
  <c r="H354" i="3"/>
  <c r="H353" i="3"/>
  <c r="H351" i="3"/>
  <c r="H349" i="3"/>
  <c r="H348" i="3"/>
  <c r="H347" i="3"/>
  <c r="H346" i="3"/>
  <c r="H345" i="3"/>
  <c r="H344" i="3"/>
  <c r="H343" i="3"/>
  <c r="H342" i="3"/>
  <c r="H339" i="3"/>
  <c r="H337" i="3"/>
  <c r="H335" i="3"/>
  <c r="H334" i="3"/>
  <c r="H328" i="3"/>
  <c r="H327" i="3"/>
  <c r="H324" i="3"/>
  <c r="H321" i="3"/>
  <c r="H318" i="3"/>
  <c r="H315" i="3"/>
  <c r="H309" i="3"/>
  <c r="H308" i="3"/>
  <c r="H304" i="3"/>
  <c r="H455" i="3"/>
  <c r="H299" i="3"/>
  <c r="G455" i="3"/>
  <c r="G299" i="3"/>
  <c r="G524" i="3"/>
  <c r="G523" i="3"/>
  <c r="G522" i="3"/>
  <c r="G520" i="3"/>
  <c r="G519" i="3"/>
  <c r="G518" i="3"/>
  <c r="G516" i="3"/>
  <c r="G514" i="3"/>
  <c r="G513" i="3"/>
  <c r="G512" i="3"/>
  <c r="G511" i="3"/>
  <c r="G510" i="3"/>
  <c r="G508" i="3"/>
  <c r="G506" i="3"/>
  <c r="G505" i="3"/>
  <c r="G504" i="3"/>
  <c r="G503" i="3"/>
  <c r="G502" i="3"/>
  <c r="G501" i="3"/>
  <c r="G500" i="3"/>
  <c r="G499" i="3"/>
  <c r="G496" i="3"/>
  <c r="G495" i="3"/>
  <c r="G494" i="3"/>
  <c r="G492" i="3"/>
  <c r="G490" i="3"/>
  <c r="G484" i="3"/>
  <c r="G483" i="3"/>
  <c r="G480" i="3"/>
  <c r="G477" i="3"/>
  <c r="G474" i="3"/>
  <c r="G471" i="3"/>
  <c r="G465" i="3"/>
  <c r="G463" i="3"/>
  <c r="G460" i="3"/>
  <c r="G459" i="3"/>
  <c r="G446" i="3"/>
  <c r="G445" i="3"/>
  <c r="G444" i="3"/>
  <c r="G442" i="3"/>
  <c r="G441" i="3"/>
  <c r="G440" i="3"/>
  <c r="G438" i="3"/>
  <c r="G436" i="3"/>
  <c r="G435" i="3"/>
  <c r="G434" i="3"/>
  <c r="G433" i="3"/>
  <c r="G432" i="3"/>
  <c r="G430" i="3"/>
  <c r="G428" i="3"/>
  <c r="G427" i="3"/>
  <c r="G426" i="3"/>
  <c r="G425" i="3"/>
  <c r="G424" i="3"/>
  <c r="G423" i="3"/>
  <c r="G422" i="3"/>
  <c r="G421" i="3"/>
  <c r="G418" i="3"/>
  <c r="G417" i="3"/>
  <c r="G414" i="3"/>
  <c r="G412" i="3"/>
  <c r="G406" i="3"/>
  <c r="G405" i="3"/>
  <c r="G402" i="3"/>
  <c r="G399" i="3"/>
  <c r="G396" i="3"/>
  <c r="G393" i="3"/>
  <c r="G387" i="3"/>
  <c r="G385" i="3"/>
  <c r="G382" i="3"/>
  <c r="G381" i="3"/>
  <c r="G367" i="3"/>
  <c r="G366" i="3"/>
  <c r="G365" i="3"/>
  <c r="G363" i="3"/>
  <c r="G362" i="3"/>
  <c r="G361" i="3"/>
  <c r="G359" i="3"/>
  <c r="G357" i="3"/>
  <c r="G356" i="3"/>
  <c r="G355" i="3"/>
  <c r="G354" i="3"/>
  <c r="G353" i="3"/>
  <c r="G351" i="3"/>
  <c r="G349" i="3"/>
  <c r="G348" i="3"/>
  <c r="G347" i="3"/>
  <c r="G346" i="3"/>
  <c r="G345" i="3"/>
  <c r="G344" i="3"/>
  <c r="G343" i="3"/>
  <c r="G342" i="3"/>
  <c r="G337" i="3"/>
  <c r="G334" i="3"/>
  <c r="G328" i="3"/>
  <c r="G327" i="3"/>
  <c r="G324" i="3"/>
  <c r="G321" i="3"/>
  <c r="G318" i="3"/>
  <c r="G315" i="3"/>
  <c r="G309" i="3"/>
  <c r="G308" i="3"/>
  <c r="D477" i="3"/>
  <c r="D455" i="3"/>
  <c r="D399" i="3"/>
  <c r="D375" i="3"/>
  <c r="D321" i="3"/>
  <c r="D299" i="3"/>
  <c r="D297" i="3"/>
  <c r="J290" i="3"/>
  <c r="J289" i="3"/>
  <c r="J288" i="3"/>
  <c r="J286" i="3"/>
  <c r="J285" i="3"/>
  <c r="J284" i="3"/>
  <c r="J282" i="3"/>
  <c r="J280" i="3"/>
  <c r="J279" i="3"/>
  <c r="J278" i="3"/>
  <c r="J277" i="3"/>
  <c r="J276" i="3"/>
  <c r="J274" i="3"/>
  <c r="J272" i="3"/>
  <c r="J271" i="3"/>
  <c r="J270" i="3"/>
  <c r="J269" i="3"/>
  <c r="J268" i="3"/>
  <c r="J267" i="3"/>
  <c r="J266" i="3"/>
  <c r="J265" i="3"/>
  <c r="J262" i="3"/>
  <c r="J261" i="3"/>
  <c r="J260" i="3"/>
  <c r="J254" i="3"/>
  <c r="J248" i="3"/>
  <c r="J247" i="3"/>
  <c r="J244" i="3"/>
  <c r="J241" i="3"/>
  <c r="J238" i="3"/>
  <c r="J235" i="3"/>
  <c r="J229" i="3"/>
  <c r="J224" i="3"/>
  <c r="H290" i="3"/>
  <c r="H289" i="3"/>
  <c r="H288" i="3"/>
  <c r="H286" i="3"/>
  <c r="H285" i="3"/>
  <c r="H284" i="3"/>
  <c r="H282" i="3"/>
  <c r="H280" i="3"/>
  <c r="H279" i="3"/>
  <c r="H278" i="3"/>
  <c r="H277" i="3"/>
  <c r="H276" i="3"/>
  <c r="H274" i="3"/>
  <c r="H272" i="3"/>
  <c r="H271" i="3"/>
  <c r="H270" i="3"/>
  <c r="H269" i="3"/>
  <c r="H268" i="3"/>
  <c r="H267" i="3"/>
  <c r="H266" i="3"/>
  <c r="H265" i="3"/>
  <c r="H262" i="3"/>
  <c r="H261" i="3"/>
  <c r="H260" i="3"/>
  <c r="H254" i="3"/>
  <c r="H248" i="3"/>
  <c r="H247" i="3"/>
  <c r="H244" i="3"/>
  <c r="H241" i="3"/>
  <c r="H238" i="3"/>
  <c r="H235" i="3"/>
  <c r="H229" i="3"/>
  <c r="G290" i="3"/>
  <c r="G289" i="3"/>
  <c r="G288" i="3"/>
  <c r="G286" i="3"/>
  <c r="G285" i="3"/>
  <c r="G284" i="3"/>
  <c r="G282" i="3"/>
  <c r="G280" i="3"/>
  <c r="G279" i="3"/>
  <c r="G278" i="3"/>
  <c r="G277" i="3"/>
  <c r="G276" i="3"/>
  <c r="G274" i="3"/>
  <c r="G272" i="3"/>
  <c r="G271" i="3"/>
  <c r="G270" i="3"/>
  <c r="G269" i="3"/>
  <c r="G268" i="3"/>
  <c r="G267" i="3"/>
  <c r="G266" i="3"/>
  <c r="G265" i="3"/>
  <c r="G262" i="3"/>
  <c r="G261" i="3"/>
  <c r="G260" i="3"/>
  <c r="G254" i="3"/>
  <c r="G248" i="3"/>
  <c r="G247" i="3"/>
  <c r="G244" i="3"/>
  <c r="G241" i="3"/>
  <c r="G238" i="3"/>
  <c r="G235" i="3"/>
  <c r="G229" i="3"/>
  <c r="G227" i="3"/>
  <c r="D264" i="3"/>
  <c r="D498" i="3"/>
  <c r="D262" i="3"/>
  <c r="D339" i="3"/>
  <c r="D259" i="3"/>
  <c r="D415" i="3"/>
  <c r="D256" i="3"/>
  <c r="D335" i="3"/>
  <c r="D248" i="3"/>
  <c r="D406" i="3"/>
  <c r="D247" i="3"/>
  <c r="D483" i="3"/>
  <c r="D246" i="3"/>
  <c r="D404" i="3"/>
  <c r="D243" i="3"/>
  <c r="D323" i="3"/>
  <c r="D238" i="3"/>
  <c r="D318" i="3"/>
  <c r="D237" i="3"/>
  <c r="D235" i="3"/>
  <c r="D471" i="3"/>
  <c r="D234" i="3"/>
  <c r="D470" i="3"/>
  <c r="D229" i="3"/>
  <c r="D387" i="3"/>
  <c r="D227" i="3"/>
  <c r="D463" i="3"/>
  <c r="D224" i="3"/>
  <c r="D222" i="3"/>
  <c r="D302" i="3"/>
  <c r="H224" i="3"/>
  <c r="H223" i="3"/>
  <c r="G224" i="3"/>
  <c r="G222" i="3"/>
  <c r="D212" i="3"/>
  <c r="D290" i="3" s="1"/>
  <c r="D367" i="3" s="1"/>
  <c r="D210" i="3"/>
  <c r="D289" i="3" s="1"/>
  <c r="D209" i="3"/>
  <c r="D288" i="3" s="1"/>
  <c r="D522" i="3" s="1"/>
  <c r="D208" i="3"/>
  <c r="D287" i="3" s="1"/>
  <c r="D521" i="3" s="1"/>
  <c r="D207" i="3"/>
  <c r="D286" i="3" s="1"/>
  <c r="D520" i="3" s="1"/>
  <c r="D205" i="3"/>
  <c r="D285" i="3" s="1"/>
  <c r="D204" i="3"/>
  <c r="D284" i="3" s="1"/>
  <c r="D518" i="3" s="1"/>
  <c r="D203" i="3"/>
  <c r="D283" i="3" s="1"/>
  <c r="D517" i="3" s="1"/>
  <c r="D202" i="3"/>
  <c r="D282" i="3"/>
  <c r="D201" i="3"/>
  <c r="D281" i="3" s="1"/>
  <c r="D358" i="3" s="1"/>
  <c r="D200" i="3"/>
  <c r="D280" i="3" s="1"/>
  <c r="D514" i="3" s="1"/>
  <c r="D199" i="3"/>
  <c r="D279" i="3" s="1"/>
  <c r="D513" i="3" s="1"/>
  <c r="D198" i="3"/>
  <c r="D278" i="3" s="1"/>
  <c r="D196" i="3"/>
  <c r="D277" i="3" s="1"/>
  <c r="D433" i="3" s="1"/>
  <c r="D195" i="3"/>
  <c r="D276" i="3" s="1"/>
  <c r="D510" i="3" s="1"/>
  <c r="D194" i="3"/>
  <c r="D275" i="3" s="1"/>
  <c r="D352" i="3" s="1"/>
  <c r="D193" i="3"/>
  <c r="D274" i="3" s="1"/>
  <c r="D430" i="3" s="1"/>
  <c r="D192" i="3"/>
  <c r="D273" i="3" s="1"/>
  <c r="D429" i="3" s="1"/>
  <c r="D191" i="3"/>
  <c r="D272" i="3" s="1"/>
  <c r="D190" i="3"/>
  <c r="D271" i="3" s="1"/>
  <c r="D427" i="3" s="1"/>
  <c r="D189" i="3"/>
  <c r="D270" i="3" s="1"/>
  <c r="D504" i="3" s="1"/>
  <c r="D188" i="3"/>
  <c r="D269" i="3" s="1"/>
  <c r="D346" i="3" s="1"/>
  <c r="D187" i="3"/>
  <c r="D268" i="3" s="1"/>
  <c r="D424" i="3" s="1"/>
  <c r="D186" i="3"/>
  <c r="D267" i="3"/>
  <c r="D423" i="3" s="1"/>
  <c r="D185" i="3"/>
  <c r="D266" i="3" s="1"/>
  <c r="D422" i="3" s="1"/>
  <c r="D184" i="3"/>
  <c r="D265" i="3" s="1"/>
  <c r="I178" i="3"/>
  <c r="F175" i="3"/>
  <c r="E175" i="3"/>
  <c r="E172" i="3"/>
  <c r="D171" i="3"/>
  <c r="D254" i="3"/>
  <c r="D167" i="3"/>
  <c r="D166" i="3"/>
  <c r="D165" i="3"/>
  <c r="D164" i="3"/>
  <c r="D163" i="3"/>
  <c r="D162" i="3"/>
  <c r="D147" i="3"/>
  <c r="I138" i="3"/>
  <c r="D67" i="3"/>
  <c r="D66" i="3"/>
  <c r="D65" i="3"/>
  <c r="D64" i="3"/>
  <c r="D63" i="3"/>
  <c r="D59" i="3"/>
  <c r="D228" i="3"/>
  <c r="D57" i="3"/>
  <c r="D56" i="3"/>
  <c r="D55" i="3"/>
  <c r="D54" i="3"/>
  <c r="D53" i="3"/>
  <c r="D52" i="3"/>
  <c r="D226" i="3"/>
  <c r="D49" i="3"/>
  <c r="D48" i="3"/>
  <c r="D47" i="3"/>
  <c r="D46" i="3"/>
  <c r="D45" i="3"/>
  <c r="D44" i="3"/>
  <c r="D38" i="3"/>
  <c r="D40" i="3"/>
  <c r="D223" i="3" s="1"/>
  <c r="D459" i="3" s="1"/>
  <c r="D32" i="3"/>
  <c r="D221" i="3"/>
  <c r="D379" i="3"/>
  <c r="D37" i="3"/>
  <c r="D33" i="3"/>
  <c r="J138" i="3"/>
  <c r="D395" i="3"/>
  <c r="D493" i="3"/>
  <c r="J32" i="4"/>
  <c r="S493" i="3"/>
  <c r="T493" i="3"/>
  <c r="U493" i="3"/>
  <c r="V493" i="3"/>
  <c r="W493" i="3"/>
  <c r="X493" i="3"/>
  <c r="Y493" i="3"/>
  <c r="Z493" i="3"/>
  <c r="AA493" i="3"/>
  <c r="AB493" i="3"/>
  <c r="AC493" i="3"/>
  <c r="AD493" i="3"/>
  <c r="AE493" i="3"/>
  <c r="AF493" i="3"/>
  <c r="AG493" i="3"/>
  <c r="AH493" i="3"/>
  <c r="AI493" i="3"/>
  <c r="AJ493" i="3"/>
  <c r="AK493" i="3"/>
  <c r="AL493" i="3"/>
  <c r="AM493" i="3"/>
  <c r="AN493" i="3"/>
  <c r="AO493" i="3"/>
  <c r="AP493" i="3"/>
  <c r="AQ493" i="3"/>
  <c r="AR493" i="3"/>
  <c r="AS493" i="3"/>
  <c r="AT493" i="3"/>
  <c r="AU493" i="3"/>
  <c r="AV493" i="3"/>
  <c r="AW493" i="3"/>
  <c r="AX493" i="3"/>
  <c r="AY493" i="3"/>
  <c r="AZ493" i="3"/>
  <c r="BA493" i="3"/>
  <c r="BB493" i="3"/>
  <c r="BC493" i="3"/>
  <c r="BD493" i="3"/>
  <c r="BE493" i="3"/>
  <c r="BF493" i="3"/>
  <c r="BG493" i="3"/>
  <c r="BH493" i="3"/>
  <c r="BI493" i="3"/>
  <c r="BJ493" i="3"/>
  <c r="BK493" i="3"/>
  <c r="BL493" i="3"/>
  <c r="BM493" i="3"/>
  <c r="BN493" i="3"/>
  <c r="BO493" i="3"/>
  <c r="BP493" i="3"/>
  <c r="R493" i="3"/>
  <c r="Q105" i="9"/>
  <c r="Q106" i="9"/>
  <c r="Q107" i="9"/>
  <c r="Q108" i="9"/>
  <c r="Q109" i="9"/>
  <c r="Q110" i="9"/>
  <c r="Q111" i="9"/>
  <c r="Q112" i="9"/>
  <c r="Q113" i="9"/>
  <c r="Q114" i="9"/>
  <c r="Q115" i="9"/>
  <c r="F116" i="9"/>
  <c r="Q116" i="9"/>
  <c r="F117" i="9"/>
  <c r="Q117" i="9"/>
  <c r="F118" i="9"/>
  <c r="F119" i="9"/>
  <c r="R119" i="9"/>
  <c r="Q119" i="9"/>
  <c r="F120" i="9"/>
  <c r="F121" i="9"/>
  <c r="Q121" i="9"/>
  <c r="F122" i="9"/>
  <c r="Q122" i="9"/>
  <c r="Q123" i="9"/>
  <c r="Q124" i="9"/>
  <c r="Q125" i="9"/>
  <c r="Q126" i="9"/>
  <c r="Q127" i="9"/>
  <c r="Q128" i="9"/>
  <c r="Q129" i="9"/>
  <c r="Q130" i="9"/>
  <c r="Q131" i="9"/>
  <c r="Q132" i="9"/>
  <c r="Q133" i="9"/>
  <c r="Q134" i="9"/>
  <c r="Q135" i="9"/>
  <c r="Q136" i="9"/>
  <c r="Q137" i="9"/>
  <c r="Q138" i="9"/>
  <c r="Q139" i="9"/>
  <c r="Q140" i="9"/>
  <c r="Q141" i="9"/>
  <c r="Q142" i="9"/>
  <c r="Q104" i="9"/>
  <c r="R105" i="9"/>
  <c r="R106" i="9"/>
  <c r="R107" i="9"/>
  <c r="R108" i="9"/>
  <c r="R109" i="9"/>
  <c r="R110" i="9"/>
  <c r="R111" i="9"/>
  <c r="R112" i="9"/>
  <c r="R113" i="9"/>
  <c r="R114" i="9"/>
  <c r="R115" i="9"/>
  <c r="R121" i="9"/>
  <c r="R123" i="9"/>
  <c r="R124" i="9"/>
  <c r="R125" i="9"/>
  <c r="R126" i="9"/>
  <c r="R127" i="9"/>
  <c r="R128" i="9"/>
  <c r="R129" i="9"/>
  <c r="R130" i="9"/>
  <c r="R131" i="9"/>
  <c r="R132" i="9"/>
  <c r="R133" i="9"/>
  <c r="R134" i="9"/>
  <c r="R135" i="9"/>
  <c r="R136" i="9"/>
  <c r="R137" i="9"/>
  <c r="R138" i="9"/>
  <c r="R139" i="9"/>
  <c r="R140" i="9"/>
  <c r="R141" i="9"/>
  <c r="R142" i="9"/>
  <c r="J50" i="9"/>
  <c r="R104" i="9"/>
  <c r="AW84" i="4"/>
  <c r="M18" i="51"/>
  <c r="L18" i="51"/>
  <c r="K18" i="51"/>
  <c r="J18" i="51"/>
  <c r="I18" i="51"/>
  <c r="G18" i="51"/>
  <c r="F18" i="51"/>
  <c r="E18" i="51"/>
  <c r="D18" i="51"/>
  <c r="M13" i="51"/>
  <c r="L13" i="51"/>
  <c r="K13" i="51"/>
  <c r="J13" i="51"/>
  <c r="I13" i="51"/>
  <c r="D161" i="3"/>
  <c r="G210" i="9"/>
  <c r="G222" i="9"/>
  <c r="G221" i="9"/>
  <c r="G219" i="9"/>
  <c r="G218" i="9"/>
  <c r="G217" i="9"/>
  <c r="G215" i="9"/>
  <c r="G213" i="9"/>
  <c r="G212" i="9"/>
  <c r="G211" i="9"/>
  <c r="G209" i="9"/>
  <c r="G207" i="9"/>
  <c r="R193" i="3"/>
  <c r="R274" i="3" s="1"/>
  <c r="S193" i="3"/>
  <c r="S274" i="3" s="1"/>
  <c r="S351" i="3" s="1"/>
  <c r="U193" i="3"/>
  <c r="U274" i="3" s="1"/>
  <c r="AA193" i="3"/>
  <c r="AC193" i="3"/>
  <c r="AG193" i="3"/>
  <c r="AG274" i="3" s="1"/>
  <c r="AG351" i="3" s="1"/>
  <c r="AK193" i="3"/>
  <c r="AO193" i="3"/>
  <c r="AO274" i="3" s="1"/>
  <c r="AS193" i="3"/>
  <c r="AW193" i="3"/>
  <c r="AW274" i="3" s="1"/>
  <c r="AW351" i="3" s="1"/>
  <c r="BA193" i="3"/>
  <c r="BE193" i="3"/>
  <c r="BI193" i="3"/>
  <c r="BI274" i="3" s="1"/>
  <c r="BM193" i="3"/>
  <c r="BM274" i="3" s="1"/>
  <c r="R194" i="3"/>
  <c r="S194" i="3"/>
  <c r="T194" i="3"/>
  <c r="U194" i="3"/>
  <c r="V194" i="3"/>
  <c r="W194" i="3"/>
  <c r="X194" i="3"/>
  <c r="Y194" i="3"/>
  <c r="Z194" i="3"/>
  <c r="AA194" i="3"/>
  <c r="AB194" i="3"/>
  <c r="AC194" i="3"/>
  <c r="AD194" i="3"/>
  <c r="AE194" i="3"/>
  <c r="AF194" i="3"/>
  <c r="AG194" i="3"/>
  <c r="AH194" i="3"/>
  <c r="AI194" i="3"/>
  <c r="AJ194" i="3"/>
  <c r="AK194" i="3"/>
  <c r="AL194" i="3"/>
  <c r="AM194" i="3"/>
  <c r="AN194" i="3"/>
  <c r="AO194" i="3"/>
  <c r="AP194" i="3"/>
  <c r="AQ194" i="3"/>
  <c r="AR194" i="3"/>
  <c r="AS194" i="3"/>
  <c r="AT194" i="3"/>
  <c r="AU194" i="3"/>
  <c r="AV194" i="3"/>
  <c r="AW194" i="3"/>
  <c r="AX194" i="3"/>
  <c r="AY194" i="3"/>
  <c r="AZ194" i="3"/>
  <c r="BA194" i="3"/>
  <c r="BB194" i="3"/>
  <c r="BC194" i="3"/>
  <c r="BD194" i="3"/>
  <c r="BE194" i="3"/>
  <c r="BF194" i="3"/>
  <c r="BG194" i="3"/>
  <c r="BH194" i="3"/>
  <c r="BI194" i="3"/>
  <c r="BJ194" i="3"/>
  <c r="BK194" i="3"/>
  <c r="BL194" i="3"/>
  <c r="BM194" i="3"/>
  <c r="BN194" i="3"/>
  <c r="BO194" i="3"/>
  <c r="BP194" i="3"/>
  <c r="S195" i="3"/>
  <c r="S276" i="3" s="1"/>
  <c r="AA195" i="3"/>
  <c r="AA276" i="3" s="1"/>
  <c r="AA432" i="3" s="1"/>
  <c r="AE195" i="3"/>
  <c r="AE276" i="3" s="1"/>
  <c r="AI195" i="3"/>
  <c r="AM195" i="3"/>
  <c r="AM276" i="3" s="1"/>
  <c r="AM353" i="3" s="1"/>
  <c r="AQ195" i="3"/>
  <c r="AQ276" i="3" s="1"/>
  <c r="AU195" i="3"/>
  <c r="AU276" i="3" s="1"/>
  <c r="AU432" i="3" s="1"/>
  <c r="AW195" i="3"/>
  <c r="AW276" i="3" s="1"/>
  <c r="AY195" i="3"/>
  <c r="AY276" i="3" s="1"/>
  <c r="AY432" i="3" s="1"/>
  <c r="BC195" i="3"/>
  <c r="BC276" i="3" s="1"/>
  <c r="BG195" i="3"/>
  <c r="BG276" i="3" s="1"/>
  <c r="BK195" i="3"/>
  <c r="BK276" i="3" s="1"/>
  <c r="BK353" i="3" s="1"/>
  <c r="BO195" i="3"/>
  <c r="V196" i="3"/>
  <c r="Z196" i="3"/>
  <c r="AC196" i="3"/>
  <c r="AD196" i="3"/>
  <c r="AG196" i="3"/>
  <c r="AG277" i="3" s="1"/>
  <c r="AK196" i="3"/>
  <c r="AL196" i="3"/>
  <c r="AO196" i="3"/>
  <c r="AO197" i="3" s="1"/>
  <c r="AP196" i="3"/>
  <c r="AS196" i="3"/>
  <c r="AS197" i="3" s="1"/>
  <c r="AT196" i="3"/>
  <c r="AW196" i="3"/>
  <c r="AW197" i="3" s="1"/>
  <c r="BA196" i="3"/>
  <c r="BA197" i="3" s="1"/>
  <c r="BB196" i="3"/>
  <c r="BE196" i="3"/>
  <c r="BE197" i="3" s="1"/>
  <c r="BF196" i="3"/>
  <c r="BI196" i="3"/>
  <c r="BI197" i="3" s="1"/>
  <c r="BJ196" i="3"/>
  <c r="BM196" i="3"/>
  <c r="S198" i="3"/>
  <c r="AA198" i="3"/>
  <c r="AC198" i="3"/>
  <c r="AC278" i="3" s="1"/>
  <c r="AC355" i="3" s="1"/>
  <c r="AE198" i="3"/>
  <c r="AI198" i="3"/>
  <c r="AM198" i="3"/>
  <c r="AQ198" i="3"/>
  <c r="AU198" i="3"/>
  <c r="AU278" i="3" s="1"/>
  <c r="AU355" i="3" s="1"/>
  <c r="AY198" i="3"/>
  <c r="BC198" i="3"/>
  <c r="BG198" i="3"/>
  <c r="BG278" i="3" s="1"/>
  <c r="BG355" i="3" s="1"/>
  <c r="BK198" i="3"/>
  <c r="BK278" i="3" s="1"/>
  <c r="BK434" i="3" s="1"/>
  <c r="BO198" i="3"/>
  <c r="R199" i="3"/>
  <c r="R279" i="3" s="1"/>
  <c r="R435" i="3" s="1"/>
  <c r="AC199" i="3"/>
  <c r="AC279" i="3" s="1"/>
  <c r="AC435" i="3" s="1"/>
  <c r="AG199" i="3"/>
  <c r="AG279" i="3" s="1"/>
  <c r="AK199" i="3"/>
  <c r="AK279" i="3" s="1"/>
  <c r="AO199" i="3"/>
  <c r="AO279" i="3" s="1"/>
  <c r="AO356" i="3" s="1"/>
  <c r="AQ199" i="3"/>
  <c r="AQ279" i="3" s="1"/>
  <c r="AQ356" i="3" s="1"/>
  <c r="AS199" i="3"/>
  <c r="AS279" i="3" s="1"/>
  <c r="AS356" i="3" s="1"/>
  <c r="AW199" i="3"/>
  <c r="AW279" i="3" s="1"/>
  <c r="BA199" i="3"/>
  <c r="BA279" i="3" s="1"/>
  <c r="BA435" i="3" s="1"/>
  <c r="BE199" i="3"/>
  <c r="BE279" i="3" s="1"/>
  <c r="BE356" i="3" s="1"/>
  <c r="BI199" i="3"/>
  <c r="BM199" i="3"/>
  <c r="BM279" i="3" s="1"/>
  <c r="BM435" i="3" s="1"/>
  <c r="S200" i="3"/>
  <c r="AA200" i="3"/>
  <c r="AA280" i="3" s="1"/>
  <c r="AA357" i="3" s="1"/>
  <c r="AE200" i="3"/>
  <c r="AE280" i="3" s="1"/>
  <c r="AE436" i="3" s="1"/>
  <c r="AI200" i="3"/>
  <c r="AI280" i="3" s="1"/>
  <c r="AM200" i="3"/>
  <c r="AM280" i="3" s="1"/>
  <c r="AQ200" i="3"/>
  <c r="AQ280" i="3" s="1"/>
  <c r="AU200" i="3"/>
  <c r="AY200" i="3"/>
  <c r="BC200" i="3"/>
  <c r="BG200" i="3"/>
  <c r="BG280" i="3" s="1"/>
  <c r="BK200" i="3"/>
  <c r="BO200" i="3"/>
  <c r="R201" i="3"/>
  <c r="S201" i="3"/>
  <c r="T201" i="3"/>
  <c r="U201" i="3"/>
  <c r="V201" i="3"/>
  <c r="W201" i="3"/>
  <c r="X201" i="3"/>
  <c r="Y201" i="3"/>
  <c r="Z201" i="3"/>
  <c r="AA201" i="3"/>
  <c r="AB201" i="3"/>
  <c r="AC201" i="3"/>
  <c r="AD201" i="3"/>
  <c r="AE201" i="3"/>
  <c r="AF201" i="3"/>
  <c r="AG201" i="3"/>
  <c r="AH201" i="3"/>
  <c r="AI201" i="3"/>
  <c r="AJ201" i="3"/>
  <c r="AK201" i="3"/>
  <c r="AL201" i="3"/>
  <c r="AM201" i="3"/>
  <c r="AN201" i="3"/>
  <c r="AO201" i="3"/>
  <c r="AP201" i="3"/>
  <c r="AQ201" i="3"/>
  <c r="AR201" i="3"/>
  <c r="AS201" i="3"/>
  <c r="AT201" i="3"/>
  <c r="AU201" i="3"/>
  <c r="AV201" i="3"/>
  <c r="AW201" i="3"/>
  <c r="AX201" i="3"/>
  <c r="AY201" i="3"/>
  <c r="AZ201" i="3"/>
  <c r="BA201" i="3"/>
  <c r="BB201" i="3"/>
  <c r="BC201" i="3"/>
  <c r="BD201" i="3"/>
  <c r="BE201" i="3"/>
  <c r="BF201" i="3"/>
  <c r="BG201" i="3"/>
  <c r="BH201" i="3"/>
  <c r="BI201" i="3"/>
  <c r="BJ201" i="3"/>
  <c r="BK201" i="3"/>
  <c r="BL201" i="3"/>
  <c r="BM201" i="3"/>
  <c r="BN201" i="3"/>
  <c r="BO201" i="3"/>
  <c r="BP201" i="3"/>
  <c r="AA184" i="3"/>
  <c r="AA185" i="3"/>
  <c r="AA189" i="3"/>
  <c r="AA270" i="3" s="1"/>
  <c r="AA191" i="3"/>
  <c r="AA272" i="3" s="1"/>
  <c r="AA428" i="3" s="1"/>
  <c r="AA204" i="3"/>
  <c r="AA284" i="3" s="1"/>
  <c r="AA207" i="3"/>
  <c r="AA286" i="3" s="1"/>
  <c r="AA442" i="3" s="1"/>
  <c r="AC202" i="3"/>
  <c r="AC282" i="3" s="1"/>
  <c r="AG202" i="3"/>
  <c r="AG282" i="3" s="1"/>
  <c r="AK202" i="3"/>
  <c r="AK282" i="3" s="1"/>
  <c r="AO202" i="3"/>
  <c r="AS202" i="3"/>
  <c r="AS282" i="3" s="1"/>
  <c r="BH348" i="4" s="1"/>
  <c r="AW202" i="3"/>
  <c r="AW282" i="3" s="1"/>
  <c r="BA202" i="3"/>
  <c r="BA282" i="3" s="1"/>
  <c r="BE202" i="3"/>
  <c r="BI202" i="3"/>
  <c r="BI282" i="3" s="1"/>
  <c r="BM202" i="3"/>
  <c r="BM282" i="3" s="1"/>
  <c r="BM438" i="3" s="1"/>
  <c r="R203" i="3"/>
  <c r="S203" i="3"/>
  <c r="T203" i="3"/>
  <c r="U203" i="3"/>
  <c r="V203" i="3"/>
  <c r="W203" i="3"/>
  <c r="X203" i="3"/>
  <c r="Y203" i="3"/>
  <c r="Z203" i="3"/>
  <c r="AA203" i="3"/>
  <c r="AB203" i="3"/>
  <c r="AC203" i="3"/>
  <c r="AD203" i="3"/>
  <c r="AE203" i="3"/>
  <c r="AF203" i="3"/>
  <c r="AG203" i="3"/>
  <c r="AH203" i="3"/>
  <c r="AI203" i="3"/>
  <c r="AJ203" i="3"/>
  <c r="AK203" i="3"/>
  <c r="AL203" i="3"/>
  <c r="AM203" i="3"/>
  <c r="AN203" i="3"/>
  <c r="AO203" i="3"/>
  <c r="AP203" i="3"/>
  <c r="AQ203" i="3"/>
  <c r="AR203" i="3"/>
  <c r="AS203" i="3"/>
  <c r="AT203" i="3"/>
  <c r="AU203" i="3"/>
  <c r="AV203" i="3"/>
  <c r="AW203" i="3"/>
  <c r="AX203" i="3"/>
  <c r="AY203" i="3"/>
  <c r="AZ203" i="3"/>
  <c r="BA203" i="3"/>
  <c r="BB203" i="3"/>
  <c r="BC203" i="3"/>
  <c r="BD203" i="3"/>
  <c r="BE203" i="3"/>
  <c r="BF203" i="3"/>
  <c r="BG203" i="3"/>
  <c r="BH203" i="3"/>
  <c r="BI203" i="3"/>
  <c r="BJ203" i="3"/>
  <c r="BK203" i="3"/>
  <c r="BL203" i="3"/>
  <c r="BM203" i="3"/>
  <c r="BN203" i="3"/>
  <c r="BO203" i="3"/>
  <c r="BP203" i="3"/>
  <c r="S204" i="3"/>
  <c r="AE204" i="3"/>
  <c r="AI204" i="3"/>
  <c r="AM204" i="3"/>
  <c r="AQ204" i="3"/>
  <c r="AQ284" i="3" s="1"/>
  <c r="AU204" i="3"/>
  <c r="AU284" i="3" s="1"/>
  <c r="AU361" i="3" s="1"/>
  <c r="AY204" i="3"/>
  <c r="AY284" i="3" s="1"/>
  <c r="BC204" i="3"/>
  <c r="BC284" i="3" s="1"/>
  <c r="BC361" i="3" s="1"/>
  <c r="BG204" i="3"/>
  <c r="BK204" i="3"/>
  <c r="BK284" i="3" s="1"/>
  <c r="BO204" i="3"/>
  <c r="R205" i="3"/>
  <c r="AC205" i="3"/>
  <c r="AG205" i="3"/>
  <c r="AK205" i="3"/>
  <c r="AK206" i="3" s="1"/>
  <c r="AM205" i="3"/>
  <c r="AM285" i="3" s="1"/>
  <c r="AO205" i="3"/>
  <c r="AO206" i="3" s="1"/>
  <c r="AS205" i="3"/>
  <c r="AS206" i="3" s="1"/>
  <c r="AT205" i="3"/>
  <c r="AU205" i="3"/>
  <c r="AU206" i="3" s="1"/>
  <c r="AW205" i="3"/>
  <c r="AW206" i="3" s="1"/>
  <c r="AX205" i="3"/>
  <c r="BA205" i="3"/>
  <c r="BA206" i="3" s="1"/>
  <c r="BC205" i="3"/>
  <c r="BE205" i="3"/>
  <c r="BF205" i="3"/>
  <c r="BF206" i="3" s="1"/>
  <c r="BI205" i="3"/>
  <c r="BK205" i="3"/>
  <c r="BM205" i="3"/>
  <c r="S207" i="3"/>
  <c r="AE207" i="3"/>
  <c r="AI207" i="3"/>
  <c r="AI286" i="3" s="1"/>
  <c r="AM207" i="3"/>
  <c r="AM286" i="3" s="1"/>
  <c r="AQ207" i="3"/>
  <c r="AQ286" i="3" s="1"/>
  <c r="AU207" i="3"/>
  <c r="AY207" i="3"/>
  <c r="BC207" i="3"/>
  <c r="BC286" i="3" s="1"/>
  <c r="BC363" i="3" s="1"/>
  <c r="BG207" i="3"/>
  <c r="BG286" i="3" s="1"/>
  <c r="BK207" i="3"/>
  <c r="BK286" i="3" s="1"/>
  <c r="BO207" i="3"/>
  <c r="R208" i="3"/>
  <c r="S208" i="3"/>
  <c r="T208" i="3"/>
  <c r="U208" i="3"/>
  <c r="V208" i="3"/>
  <c r="W208" i="3"/>
  <c r="X208" i="3"/>
  <c r="Y208" i="3"/>
  <c r="Z208" i="3"/>
  <c r="AA208" i="3"/>
  <c r="AB208" i="3"/>
  <c r="AC208" i="3"/>
  <c r="AD208" i="3"/>
  <c r="AE208" i="3"/>
  <c r="AF208" i="3"/>
  <c r="AG208" i="3"/>
  <c r="AH208" i="3"/>
  <c r="AI208" i="3"/>
  <c r="AJ208" i="3"/>
  <c r="AK208" i="3"/>
  <c r="AL208" i="3"/>
  <c r="AM208" i="3"/>
  <c r="AN208" i="3"/>
  <c r="AO208" i="3"/>
  <c r="AP208" i="3"/>
  <c r="AQ208" i="3"/>
  <c r="AR208" i="3"/>
  <c r="AS208" i="3"/>
  <c r="AT208" i="3"/>
  <c r="AU208" i="3"/>
  <c r="AV208" i="3"/>
  <c r="AW208" i="3"/>
  <c r="AX208" i="3"/>
  <c r="AY208" i="3"/>
  <c r="AZ208" i="3"/>
  <c r="BA208" i="3"/>
  <c r="BB208" i="3"/>
  <c r="BC208" i="3"/>
  <c r="BD208" i="3"/>
  <c r="BE208" i="3"/>
  <c r="BF208" i="3"/>
  <c r="BG208" i="3"/>
  <c r="BH208" i="3"/>
  <c r="BI208" i="3"/>
  <c r="BJ208" i="3"/>
  <c r="BK208" i="3"/>
  <c r="BL208" i="3"/>
  <c r="BM208" i="3"/>
  <c r="BN208" i="3"/>
  <c r="BO208" i="3"/>
  <c r="BP208" i="3"/>
  <c r="AC209" i="3"/>
  <c r="AC288" i="3" s="1"/>
  <c r="AC365" i="3" s="1"/>
  <c r="AG209" i="3"/>
  <c r="AK209" i="3"/>
  <c r="AK288" i="3" s="1"/>
  <c r="AM209" i="3"/>
  <c r="AM288" i="3" s="1"/>
  <c r="AO209" i="3"/>
  <c r="AS209" i="3"/>
  <c r="AW209" i="3"/>
  <c r="AW288" i="3" s="1"/>
  <c r="BA209" i="3"/>
  <c r="BE209" i="3"/>
  <c r="BE288" i="3" s="1"/>
  <c r="BI209" i="3"/>
  <c r="BI288" i="3" s="1"/>
  <c r="BM209" i="3"/>
  <c r="S210" i="3"/>
  <c r="S211" i="3" s="1"/>
  <c r="AE210" i="3"/>
  <c r="AE211" i="3" s="1"/>
  <c r="AG210" i="3"/>
  <c r="AG289" i="3" s="1"/>
  <c r="AV349" i="4" s="1"/>
  <c r="AI210" i="3"/>
  <c r="AI211" i="3" s="1"/>
  <c r="AM210" i="3"/>
  <c r="AM211" i="3" s="1"/>
  <c r="AQ210" i="3"/>
  <c r="AU210" i="3"/>
  <c r="AU211" i="3" s="1"/>
  <c r="AY210" i="3"/>
  <c r="BC210" i="3"/>
  <c r="BG210" i="3"/>
  <c r="BK210" i="3"/>
  <c r="BO210" i="3"/>
  <c r="R212" i="3"/>
  <c r="R290" i="3" s="1"/>
  <c r="AG212" i="3"/>
  <c r="AG290" i="3" s="1"/>
  <c r="AK212" i="3"/>
  <c r="AK290" i="3" s="1"/>
  <c r="AO212" i="3"/>
  <c r="AO290" i="3" s="1"/>
  <c r="AO446" i="3" s="1"/>
  <c r="AS212" i="3"/>
  <c r="AS290" i="3" s="1"/>
  <c r="AW212" i="3"/>
  <c r="AW290" i="3" s="1"/>
  <c r="BA212" i="3"/>
  <c r="BA290" i="3" s="1"/>
  <c r="BA446" i="3" s="1"/>
  <c r="BE212" i="3"/>
  <c r="BI212" i="3"/>
  <c r="BI290" i="3" s="1"/>
  <c r="BK212" i="3"/>
  <c r="BK290" i="3" s="1"/>
  <c r="BM212" i="3"/>
  <c r="B2" i="49"/>
  <c r="G223" i="9"/>
  <c r="G205" i="9"/>
  <c r="G204" i="9"/>
  <c r="G203" i="9"/>
  <c r="G202" i="9"/>
  <c r="G201" i="9"/>
  <c r="G200" i="9"/>
  <c r="G199" i="9"/>
  <c r="G198" i="9"/>
  <c r="G195" i="9"/>
  <c r="G194" i="9"/>
  <c r="G193" i="9"/>
  <c r="G191" i="9"/>
  <c r="G185" i="9"/>
  <c r="G184" i="9"/>
  <c r="G181" i="9"/>
  <c r="G178" i="9"/>
  <c r="G175" i="9"/>
  <c r="G172" i="9"/>
  <c r="G166" i="9"/>
  <c r="G163" i="9"/>
  <c r="G102" i="9"/>
  <c r="H102" i="9"/>
  <c r="I102" i="9"/>
  <c r="J102" i="9"/>
  <c r="K102" i="9"/>
  <c r="L102" i="9"/>
  <c r="M102" i="9"/>
  <c r="N102" i="9"/>
  <c r="F102" i="9"/>
  <c r="E105" i="9"/>
  <c r="AA335" i="4"/>
  <c r="J455" i="3"/>
  <c r="D240" i="3"/>
  <c r="D476" i="3"/>
  <c r="D170" i="3"/>
  <c r="D253" i="3"/>
  <c r="D489" i="3"/>
  <c r="U184" i="3"/>
  <c r="U265" i="3" s="1"/>
  <c r="AC184" i="3"/>
  <c r="AC186" i="3"/>
  <c r="AC267" i="3" s="1"/>
  <c r="AC423" i="3" s="1"/>
  <c r="AC188" i="3"/>
  <c r="AC269" i="3" s="1"/>
  <c r="AC190" i="3"/>
  <c r="AC271" i="3" s="1"/>
  <c r="AC348" i="3" s="1"/>
  <c r="AG184" i="3"/>
  <c r="AG265" i="3" s="1"/>
  <c r="AK184" i="3"/>
  <c r="AK265" i="3" s="1"/>
  <c r="AK342" i="3" s="1"/>
  <c r="AM184" i="3"/>
  <c r="AM265" i="3" s="1"/>
  <c r="AM342" i="3" s="1"/>
  <c r="AO184" i="3"/>
  <c r="AS184" i="3"/>
  <c r="AU184" i="3"/>
  <c r="AU265" i="3" s="1"/>
  <c r="AW184" i="3"/>
  <c r="BA184" i="3"/>
  <c r="BE184" i="3"/>
  <c r="BE186" i="3"/>
  <c r="BE267" i="3" s="1"/>
  <c r="BT341" i="4" s="1"/>
  <c r="BE188" i="3"/>
  <c r="BE269" i="3" s="1"/>
  <c r="BE190" i="3"/>
  <c r="BE271" i="3" s="1"/>
  <c r="BE427" i="3" s="1"/>
  <c r="BI184" i="3"/>
  <c r="BI265" i="3" s="1"/>
  <c r="BM184" i="3"/>
  <c r="BM265" i="3" s="1"/>
  <c r="BM186" i="3"/>
  <c r="BM188" i="3"/>
  <c r="BM190" i="3"/>
  <c r="BM271" i="3" s="1"/>
  <c r="CB345" i="4" s="1"/>
  <c r="S185" i="3"/>
  <c r="S266" i="3" s="1"/>
  <c r="S422" i="3" s="1"/>
  <c r="AE185" i="3"/>
  <c r="AE266" i="3" s="1"/>
  <c r="AE343" i="3" s="1"/>
  <c r="AG185" i="3"/>
  <c r="AI185" i="3"/>
  <c r="AM185" i="3"/>
  <c r="AO185" i="3"/>
  <c r="AQ185" i="3"/>
  <c r="AQ266" i="3" s="1"/>
  <c r="AU185" i="3"/>
  <c r="AU266" i="3" s="1"/>
  <c r="AY185" i="3"/>
  <c r="BC185" i="3"/>
  <c r="BG185" i="3"/>
  <c r="BG266" i="3" s="1"/>
  <c r="BG343" i="3" s="1"/>
  <c r="BK185" i="3"/>
  <c r="BO185" i="3"/>
  <c r="AG186" i="3"/>
  <c r="AG267" i="3" s="1"/>
  <c r="AG423" i="3" s="1"/>
  <c r="AK186" i="3"/>
  <c r="AK267" i="3" s="1"/>
  <c r="AO186" i="3"/>
  <c r="AO267" i="3" s="1"/>
  <c r="BD341" i="4" s="1"/>
  <c r="AS186" i="3"/>
  <c r="AS267" i="3" s="1"/>
  <c r="AW186" i="3"/>
  <c r="AW267" i="3" s="1"/>
  <c r="BA186" i="3"/>
  <c r="BA267" i="3" s="1"/>
  <c r="BP341" i="4" s="1"/>
  <c r="BI186" i="3"/>
  <c r="S187" i="3"/>
  <c r="S268" i="3" s="1"/>
  <c r="AI187" i="3"/>
  <c r="AM187" i="3"/>
  <c r="AM268" i="3" s="1"/>
  <c r="AM345" i="3" s="1"/>
  <c r="AQ187" i="3"/>
  <c r="AQ268" i="3" s="1"/>
  <c r="AU187" i="3"/>
  <c r="AY187" i="3"/>
  <c r="AY268" i="3" s="1"/>
  <c r="BC187" i="3"/>
  <c r="BG187" i="3"/>
  <c r="BG268" i="3" s="1"/>
  <c r="BG345" i="3" s="1"/>
  <c r="BK187" i="3"/>
  <c r="BK268" i="3" s="1"/>
  <c r="BO187" i="3"/>
  <c r="BO268" i="3" s="1"/>
  <c r="S189" i="3"/>
  <c r="S270" i="3" s="1"/>
  <c r="S191" i="3"/>
  <c r="S272" i="3" s="1"/>
  <c r="U188" i="3"/>
  <c r="U269" i="3" s="1"/>
  <c r="U346" i="3" s="1"/>
  <c r="AG188" i="3"/>
  <c r="AG269" i="3" s="1"/>
  <c r="AV343" i="4" s="1"/>
  <c r="AV329" i="4" s="1"/>
  <c r="AK188" i="3"/>
  <c r="AO188" i="3"/>
  <c r="AO269" i="3" s="1"/>
  <c r="AO346" i="3" s="1"/>
  <c r="AS188" i="3"/>
  <c r="AS269" i="3" s="1"/>
  <c r="AW188" i="3"/>
  <c r="AW269" i="3" s="1"/>
  <c r="AY188" i="3"/>
  <c r="AY269" i="3" s="1"/>
  <c r="AY425" i="3" s="1"/>
  <c r="BA188" i="3"/>
  <c r="BI188" i="3"/>
  <c r="BI269" i="3" s="1"/>
  <c r="BN188" i="3"/>
  <c r="BN269" i="3" s="1"/>
  <c r="BN425" i="3" s="1"/>
  <c r="AE189" i="3"/>
  <c r="AE270" i="3" s="1"/>
  <c r="AI189" i="3"/>
  <c r="AI270" i="3" s="1"/>
  <c r="AK189" i="3"/>
  <c r="AK270" i="3" s="1"/>
  <c r="AM189" i="3"/>
  <c r="AQ189" i="3"/>
  <c r="AQ270" i="3" s="1"/>
  <c r="AQ347" i="3" s="1"/>
  <c r="AU189" i="3"/>
  <c r="AU270" i="3" s="1"/>
  <c r="AY189" i="3"/>
  <c r="AY270" i="3" s="1"/>
  <c r="BN344" i="4" s="1"/>
  <c r="BC189" i="3"/>
  <c r="BC270" i="3" s="1"/>
  <c r="BG189" i="3"/>
  <c r="BK189" i="3"/>
  <c r="BK270" i="3" s="1"/>
  <c r="BK347" i="3" s="1"/>
  <c r="BO189" i="3"/>
  <c r="BO270" i="3" s="1"/>
  <c r="BI190" i="3"/>
  <c r="BI271" i="3" s="1"/>
  <c r="BX345" i="4" s="1"/>
  <c r="BK191" i="3"/>
  <c r="BK272" i="3" s="1"/>
  <c r="AG190" i="3"/>
  <c r="AG271" i="3" s="1"/>
  <c r="AK190" i="3"/>
  <c r="AK271" i="3" s="1"/>
  <c r="AZ345" i="4" s="1"/>
  <c r="AO190" i="3"/>
  <c r="AO271" i="3" s="1"/>
  <c r="AS190" i="3"/>
  <c r="AS271" i="3" s="1"/>
  <c r="AW190" i="3"/>
  <c r="AW271" i="3" s="1"/>
  <c r="BA190" i="3"/>
  <c r="BA271" i="3" s="1"/>
  <c r="BC190" i="3"/>
  <c r="BC271" i="3" s="1"/>
  <c r="AE191" i="3"/>
  <c r="AE272" i="3" s="1"/>
  <c r="AG191" i="3"/>
  <c r="AG272" i="3" s="1"/>
  <c r="AI191" i="3"/>
  <c r="AI272" i="3" s="1"/>
  <c r="AM191" i="3"/>
  <c r="AM272" i="3" s="1"/>
  <c r="AQ191" i="3"/>
  <c r="AQ272" i="3" s="1"/>
  <c r="AU191" i="3"/>
  <c r="AU272" i="3" s="1"/>
  <c r="AY191" i="3"/>
  <c r="AY272" i="3" s="1"/>
  <c r="AY349" i="3" s="1"/>
  <c r="BC191" i="3"/>
  <c r="BC272" i="3" s="1"/>
  <c r="BC428" i="3" s="1"/>
  <c r="BG191" i="3"/>
  <c r="BG272" i="3" s="1"/>
  <c r="BV346" i="4" s="1"/>
  <c r="BO191" i="3"/>
  <c r="S192" i="3"/>
  <c r="R192" i="3"/>
  <c r="T192" i="3"/>
  <c r="U192" i="3"/>
  <c r="V192" i="3"/>
  <c r="W192" i="3"/>
  <c r="X192" i="3"/>
  <c r="Y192" i="3"/>
  <c r="Z192" i="3"/>
  <c r="AA192" i="3"/>
  <c r="AB192" i="3"/>
  <c r="AC192" i="3"/>
  <c r="AD192" i="3"/>
  <c r="AE192" i="3"/>
  <c r="AF192" i="3"/>
  <c r="AG192" i="3"/>
  <c r="AH192" i="3"/>
  <c r="AI192" i="3"/>
  <c r="AJ192" i="3"/>
  <c r="AK192" i="3"/>
  <c r="AL192" i="3"/>
  <c r="AM192" i="3"/>
  <c r="AN192" i="3"/>
  <c r="AO192" i="3"/>
  <c r="AP192" i="3"/>
  <c r="AQ192" i="3"/>
  <c r="AR192" i="3"/>
  <c r="AS192" i="3"/>
  <c r="AT192" i="3"/>
  <c r="AU192" i="3"/>
  <c r="AV192" i="3"/>
  <c r="AW192" i="3"/>
  <c r="AX192" i="3"/>
  <c r="AY192" i="3"/>
  <c r="AZ192" i="3"/>
  <c r="BA192" i="3"/>
  <c r="BB192" i="3"/>
  <c r="BC192" i="3"/>
  <c r="BD192" i="3"/>
  <c r="BE192" i="3"/>
  <c r="BF192" i="3"/>
  <c r="BG192" i="3"/>
  <c r="BH192" i="3"/>
  <c r="BI192" i="3"/>
  <c r="BJ192" i="3"/>
  <c r="BK192" i="3"/>
  <c r="BL192" i="3"/>
  <c r="BM192" i="3"/>
  <c r="BN192" i="3"/>
  <c r="BO192" i="3"/>
  <c r="BP192" i="3"/>
  <c r="R184" i="3"/>
  <c r="R265" i="3" s="1"/>
  <c r="R188" i="3"/>
  <c r="R269" i="3" s="1"/>
  <c r="R346" i="3" s="1"/>
  <c r="D25" i="3"/>
  <c r="D22" i="3"/>
  <c r="D374" i="3"/>
  <c r="D19" i="3"/>
  <c r="D296" i="3"/>
  <c r="D138" i="3"/>
  <c r="D143" i="3"/>
  <c r="D244" i="3"/>
  <c r="D402" i="3"/>
  <c r="I146" i="3"/>
  <c r="D146" i="3"/>
  <c r="R147" i="3"/>
  <c r="R148" i="3" s="1"/>
  <c r="S147" i="3"/>
  <c r="T147" i="3"/>
  <c r="Z147" i="3"/>
  <c r="Z148" i="3" s="1"/>
  <c r="AA147" i="3"/>
  <c r="AB147" i="3"/>
  <c r="AB148" i="3"/>
  <c r="AC147" i="3"/>
  <c r="AC148" i="3" s="1"/>
  <c r="AD147" i="3"/>
  <c r="AD148" i="3"/>
  <c r="AE147" i="3"/>
  <c r="AF147" i="3"/>
  <c r="AF148" i="3" s="1"/>
  <c r="AG147" i="3"/>
  <c r="AG148" i="3" s="1"/>
  <c r="AH147" i="3"/>
  <c r="AH148" i="3" s="1"/>
  <c r="AI147" i="3"/>
  <c r="AJ147" i="3"/>
  <c r="AJ148" i="3" s="1"/>
  <c r="G146" i="3"/>
  <c r="H146" i="3"/>
  <c r="J146" i="3"/>
  <c r="AK147" i="3"/>
  <c r="AL147" i="3"/>
  <c r="AL148" i="3"/>
  <c r="AM147" i="3"/>
  <c r="AM148" i="3" s="1"/>
  <c r="AN147" i="3"/>
  <c r="AN148" i="3"/>
  <c r="AO147" i="3"/>
  <c r="AO148" i="3" s="1"/>
  <c r="AP147" i="3"/>
  <c r="AP148" i="3"/>
  <c r="AQ147" i="3"/>
  <c r="AQ148" i="3" s="1"/>
  <c r="AR147" i="3"/>
  <c r="AR148" i="3"/>
  <c r="AS147" i="3"/>
  <c r="AS148" i="3" s="1"/>
  <c r="AT147" i="3"/>
  <c r="AT148" i="3"/>
  <c r="AU147" i="3"/>
  <c r="AU148" i="3" s="1"/>
  <c r="AV147" i="3"/>
  <c r="AV148" i="3"/>
  <c r="AW147" i="3"/>
  <c r="AW148" i="3" s="1"/>
  <c r="AX147" i="3"/>
  <c r="AX148" i="3"/>
  <c r="AY147" i="3"/>
  <c r="AY148" i="3" s="1"/>
  <c r="AZ147" i="3"/>
  <c r="AZ148" i="3"/>
  <c r="BA147" i="3"/>
  <c r="BB147" i="3"/>
  <c r="BB148" i="3" s="1"/>
  <c r="BC147" i="3"/>
  <c r="BD147" i="3"/>
  <c r="BE147" i="3"/>
  <c r="BF147" i="3"/>
  <c r="BF148" i="3" s="1"/>
  <c r="BG147" i="3"/>
  <c r="BG148" i="3" s="1"/>
  <c r="BH147" i="3"/>
  <c r="BH148" i="3"/>
  <c r="BI147" i="3"/>
  <c r="BI148" i="3" s="1"/>
  <c r="BJ147" i="3"/>
  <c r="BJ148" i="3"/>
  <c r="BK147" i="3"/>
  <c r="BK148" i="3" s="1"/>
  <c r="BL147" i="3"/>
  <c r="BL148" i="3"/>
  <c r="BM147" i="3"/>
  <c r="BM148" i="3" s="1"/>
  <c r="BN147" i="3"/>
  <c r="BN148" i="3"/>
  <c r="BO147" i="3"/>
  <c r="BO148" i="3" s="1"/>
  <c r="BP147" i="3"/>
  <c r="BP148" i="3"/>
  <c r="S101" i="3"/>
  <c r="S95" i="3"/>
  <c r="S89" i="3"/>
  <c r="R127" i="3"/>
  <c r="R130" i="3"/>
  <c r="Q68" i="7"/>
  <c r="Q15" i="3" s="1"/>
  <c r="Q114" i="7"/>
  <c r="M29" i="3"/>
  <c r="N29" i="3"/>
  <c r="O29" i="3"/>
  <c r="P29" i="3"/>
  <c r="Q29" i="3"/>
  <c r="D398" i="3"/>
  <c r="R375" i="3"/>
  <c r="S241" i="3"/>
  <c r="T241" i="3"/>
  <c r="T399" i="3" s="1"/>
  <c r="W143" i="3"/>
  <c r="W244" i="3" s="1"/>
  <c r="Z143" i="3"/>
  <c r="AA143" i="3"/>
  <c r="AB143" i="3"/>
  <c r="AC143" i="3"/>
  <c r="AD143" i="3"/>
  <c r="AD244" i="3"/>
  <c r="AE143" i="3"/>
  <c r="AE244" i="3"/>
  <c r="AF143" i="3"/>
  <c r="AG143" i="3"/>
  <c r="AH143" i="3"/>
  <c r="AI143" i="3"/>
  <c r="AJ143" i="3"/>
  <c r="AK143" i="3"/>
  <c r="AL143" i="3"/>
  <c r="AL244" i="3"/>
  <c r="AM143" i="3"/>
  <c r="AM244" i="3"/>
  <c r="AN143" i="3"/>
  <c r="AO143" i="3"/>
  <c r="AP143" i="3"/>
  <c r="AQ143" i="3"/>
  <c r="AR143" i="3"/>
  <c r="AS143" i="3"/>
  <c r="AT143" i="3"/>
  <c r="AT244" i="3"/>
  <c r="AU143" i="3"/>
  <c r="AU244" i="3"/>
  <c r="AV143" i="3"/>
  <c r="AW143" i="3"/>
  <c r="AX143" i="3"/>
  <c r="AY143" i="3"/>
  <c r="AZ143" i="3"/>
  <c r="BA143" i="3"/>
  <c r="BB143" i="3"/>
  <c r="BB244" i="3"/>
  <c r="BC143" i="3"/>
  <c r="BC244" i="3"/>
  <c r="BD143" i="3"/>
  <c r="BE143" i="3"/>
  <c r="BF143" i="3"/>
  <c r="BG143" i="3"/>
  <c r="BH143" i="3"/>
  <c r="BI143" i="3"/>
  <c r="BJ143" i="3"/>
  <c r="BJ244" i="3"/>
  <c r="BK143" i="3"/>
  <c r="BK244" i="3"/>
  <c r="BL143" i="3"/>
  <c r="BM143" i="3"/>
  <c r="BN143" i="3"/>
  <c r="BO143" i="3"/>
  <c r="BP143" i="3"/>
  <c r="AD171" i="3"/>
  <c r="AE171" i="3"/>
  <c r="AF171" i="3"/>
  <c r="AG171" i="3"/>
  <c r="AH171" i="3"/>
  <c r="AI171" i="3"/>
  <c r="AJ171" i="3"/>
  <c r="AK171" i="3"/>
  <c r="AL171" i="3"/>
  <c r="AM171" i="3"/>
  <c r="AN171" i="3"/>
  <c r="AO171" i="3"/>
  <c r="AP171" i="3"/>
  <c r="AQ171" i="3"/>
  <c r="AR171" i="3"/>
  <c r="AS171" i="3"/>
  <c r="AT171" i="3"/>
  <c r="AU171" i="3"/>
  <c r="AV171" i="3"/>
  <c r="AW171" i="3"/>
  <c r="AX171" i="3"/>
  <c r="AY171" i="3"/>
  <c r="AZ171" i="3"/>
  <c r="BA171" i="3"/>
  <c r="BB171" i="3"/>
  <c r="BC171" i="3"/>
  <c r="BD171" i="3"/>
  <c r="BE171" i="3"/>
  <c r="BF171" i="3"/>
  <c r="BG171" i="3"/>
  <c r="BH171" i="3"/>
  <c r="BI171" i="3"/>
  <c r="BJ171" i="3"/>
  <c r="BK171" i="3"/>
  <c r="BL171" i="3"/>
  <c r="BM171" i="3"/>
  <c r="BN171" i="3"/>
  <c r="BO171" i="3"/>
  <c r="BP171" i="3"/>
  <c r="AE241" i="3"/>
  <c r="AF241" i="3"/>
  <c r="K32" i="4"/>
  <c r="L32" i="4"/>
  <c r="M32" i="4"/>
  <c r="N32" i="4"/>
  <c r="O32" i="4"/>
  <c r="P32" i="4"/>
  <c r="Q32" i="4"/>
  <c r="R32" i="4"/>
  <c r="R33" i="4"/>
  <c r="R34" i="4"/>
  <c r="R35" i="4"/>
  <c r="R36" i="4"/>
  <c r="S32" i="4"/>
  <c r="T32" i="4"/>
  <c r="U32" i="4"/>
  <c r="V32" i="4"/>
  <c r="W32" i="4"/>
  <c r="X32" i="4"/>
  <c r="Y32" i="4"/>
  <c r="Z32" i="4"/>
  <c r="Z33" i="4"/>
  <c r="Z34" i="4"/>
  <c r="Z35" i="4"/>
  <c r="Z36" i="4"/>
  <c r="AA32" i="4"/>
  <c r="AB32" i="4"/>
  <c r="AC32" i="4"/>
  <c r="AD32" i="4"/>
  <c r="AE32" i="4"/>
  <c r="AF32" i="4"/>
  <c r="AG32" i="4"/>
  <c r="AH32" i="4"/>
  <c r="AH33" i="4"/>
  <c r="AH34" i="4"/>
  <c r="AH35" i="4"/>
  <c r="AH36" i="4"/>
  <c r="AI32" i="4"/>
  <c r="AJ32" i="4"/>
  <c r="AK32" i="4"/>
  <c r="AL32" i="4"/>
  <c r="AM32" i="4"/>
  <c r="AN32" i="4"/>
  <c r="AO32" i="4"/>
  <c r="AP32" i="4"/>
  <c r="AP33" i="4"/>
  <c r="AP34" i="4"/>
  <c r="AP35" i="4"/>
  <c r="AP36" i="4"/>
  <c r="AQ32" i="4"/>
  <c r="AR32" i="4"/>
  <c r="AS32" i="4"/>
  <c r="AT32" i="4"/>
  <c r="AU32" i="4"/>
  <c r="AV32" i="4"/>
  <c r="AV33" i="4"/>
  <c r="AV34" i="4"/>
  <c r="AV35" i="4"/>
  <c r="AV36" i="4"/>
  <c r="AW32" i="4"/>
  <c r="AX32" i="4"/>
  <c r="AY32" i="4"/>
  <c r="AZ32" i="4"/>
  <c r="BA32" i="4"/>
  <c r="BB32" i="4"/>
  <c r="BC32" i="4"/>
  <c r="BD32" i="4"/>
  <c r="BE32" i="4"/>
  <c r="BF32" i="4"/>
  <c r="BF33" i="4"/>
  <c r="BF34" i="4"/>
  <c r="BF35" i="4"/>
  <c r="BF36" i="4"/>
  <c r="BG32" i="4"/>
  <c r="BH32" i="4"/>
  <c r="K33" i="4"/>
  <c r="L33" i="4"/>
  <c r="M33" i="4"/>
  <c r="M34" i="4"/>
  <c r="M35" i="4"/>
  <c r="N33" i="4"/>
  <c r="O33" i="4"/>
  <c r="P33" i="4"/>
  <c r="Q33" i="4"/>
  <c r="S33" i="4"/>
  <c r="T33" i="4"/>
  <c r="T34" i="4"/>
  <c r="T35" i="4"/>
  <c r="T36" i="4"/>
  <c r="U33" i="4"/>
  <c r="V33" i="4"/>
  <c r="W33" i="4"/>
  <c r="X33" i="4"/>
  <c r="Y33" i="4"/>
  <c r="AA33" i="4"/>
  <c r="AA34" i="4"/>
  <c r="AA35" i="4"/>
  <c r="AA36" i="4"/>
  <c r="AB33" i="4"/>
  <c r="AC33" i="4"/>
  <c r="AD33" i="4"/>
  <c r="AE33" i="4"/>
  <c r="AF33" i="4"/>
  <c r="AG33" i="4"/>
  <c r="AI33" i="4"/>
  <c r="AI34" i="4"/>
  <c r="AI35" i="4"/>
  <c r="AI36" i="4"/>
  <c r="AJ33" i="4"/>
  <c r="AJ34" i="4"/>
  <c r="AJ35" i="4"/>
  <c r="AJ36" i="4"/>
  <c r="AK33" i="4"/>
  <c r="AL33" i="4"/>
  <c r="AM33" i="4"/>
  <c r="AN33" i="4"/>
  <c r="AO33" i="4"/>
  <c r="AQ33" i="4"/>
  <c r="AR33" i="4"/>
  <c r="AS33" i="4"/>
  <c r="AT33" i="4"/>
  <c r="AT34" i="4"/>
  <c r="AT35" i="4"/>
  <c r="AT36" i="4"/>
  <c r="AU33" i="4"/>
  <c r="AW33" i="4"/>
  <c r="AX33" i="4"/>
  <c r="AY33" i="4"/>
  <c r="AZ33" i="4"/>
  <c r="BA33" i="4"/>
  <c r="BB33" i="4"/>
  <c r="BC33" i="4"/>
  <c r="BC31" i="4" s="1"/>
  <c r="BD33" i="4"/>
  <c r="BE33" i="4"/>
  <c r="BG33" i="4"/>
  <c r="BG31" i="4" s="1"/>
  <c r="K34" i="4"/>
  <c r="L34" i="4"/>
  <c r="N34" i="4"/>
  <c r="O34" i="4"/>
  <c r="P34" i="4"/>
  <c r="P35" i="4"/>
  <c r="Q34" i="4"/>
  <c r="S34" i="4"/>
  <c r="S35" i="4"/>
  <c r="U34" i="4"/>
  <c r="V34" i="4"/>
  <c r="W34" i="4"/>
  <c r="X34" i="4"/>
  <c r="Y34" i="4"/>
  <c r="AB34" i="4"/>
  <c r="AC34" i="4"/>
  <c r="AD34" i="4"/>
  <c r="AE34" i="4"/>
  <c r="AF34" i="4"/>
  <c r="AG34" i="4"/>
  <c r="AK34" i="4"/>
  <c r="AL34" i="4"/>
  <c r="AM34" i="4"/>
  <c r="AN34" i="4"/>
  <c r="AO34" i="4"/>
  <c r="AQ34" i="4"/>
  <c r="AQ35" i="4"/>
  <c r="AQ36" i="4"/>
  <c r="AR34" i="4"/>
  <c r="AS34" i="4"/>
  <c r="AU34" i="4"/>
  <c r="J34" i="4"/>
  <c r="AW34" i="4"/>
  <c r="AX34" i="4"/>
  <c r="AY34" i="4"/>
  <c r="AZ34" i="4"/>
  <c r="BA34" i="4"/>
  <c r="BB34" i="4"/>
  <c r="BC34" i="4"/>
  <c r="BD34" i="4"/>
  <c r="BE34" i="4"/>
  <c r="BG34" i="4"/>
  <c r="BH34" i="4"/>
  <c r="BD35" i="4"/>
  <c r="BD36" i="4"/>
  <c r="BG35" i="4"/>
  <c r="BG36" i="4"/>
  <c r="K35" i="4"/>
  <c r="L35" i="4"/>
  <c r="N35" i="4"/>
  <c r="O35" i="4"/>
  <c r="Q35" i="4"/>
  <c r="U35" i="4"/>
  <c r="U36" i="4"/>
  <c r="V35" i="4"/>
  <c r="W35" i="4"/>
  <c r="X35" i="4"/>
  <c r="Y35" i="4"/>
  <c r="Y36" i="4"/>
  <c r="AB35" i="4"/>
  <c r="AC35" i="4"/>
  <c r="AD35" i="4"/>
  <c r="AE35" i="4"/>
  <c r="AE36" i="4"/>
  <c r="AF35" i="4"/>
  <c r="AF31" i="4" s="1"/>
  <c r="AF36" i="4"/>
  <c r="AG35" i="4"/>
  <c r="AK35" i="4"/>
  <c r="AL35" i="4"/>
  <c r="AM35" i="4"/>
  <c r="AM36" i="4"/>
  <c r="AN35" i="4"/>
  <c r="AN36" i="4"/>
  <c r="AO35" i="4"/>
  <c r="AO36" i="4"/>
  <c r="AR35" i="4"/>
  <c r="AS35" i="4"/>
  <c r="AU35" i="4"/>
  <c r="AW35" i="4"/>
  <c r="AX35" i="4"/>
  <c r="AY35" i="4"/>
  <c r="AZ35" i="4"/>
  <c r="BA35" i="4"/>
  <c r="BA36" i="4"/>
  <c r="BB35" i="4"/>
  <c r="BC35" i="4"/>
  <c r="BE35" i="4"/>
  <c r="BE36" i="4"/>
  <c r="BH35" i="4"/>
  <c r="BH31" i="4" s="1"/>
  <c r="K36" i="4"/>
  <c r="V36" i="4"/>
  <c r="W36" i="4"/>
  <c r="X36" i="4"/>
  <c r="AB36" i="4"/>
  <c r="AC36" i="4"/>
  <c r="AD36" i="4"/>
  <c r="AG36" i="4"/>
  <c r="AK36" i="4"/>
  <c r="AL36" i="4"/>
  <c r="AR36" i="4"/>
  <c r="AS36" i="4"/>
  <c r="AU36" i="4"/>
  <c r="AW36" i="4"/>
  <c r="AX36" i="4"/>
  <c r="AY36" i="4"/>
  <c r="AZ36" i="4"/>
  <c r="BB36" i="4"/>
  <c r="BC36" i="4"/>
  <c r="BH36" i="4"/>
  <c r="J33" i="4"/>
  <c r="J35" i="4"/>
  <c r="R254" i="3"/>
  <c r="R255" i="3"/>
  <c r="AI241" i="3"/>
  <c r="AI399" i="3" s="1"/>
  <c r="R59" i="3"/>
  <c r="R228" i="3" s="1"/>
  <c r="S59" i="3"/>
  <c r="S228" i="3" s="1"/>
  <c r="T59" i="3"/>
  <c r="L43" i="4" s="1"/>
  <c r="U59" i="3"/>
  <c r="V59" i="3"/>
  <c r="N43" i="4" s="1"/>
  <c r="W59" i="3"/>
  <c r="X59" i="3"/>
  <c r="Y59" i="3"/>
  <c r="Q43" i="4" s="1"/>
  <c r="Z59" i="3"/>
  <c r="R43" i="4" s="1"/>
  <c r="AA59" i="3"/>
  <c r="AB59" i="3"/>
  <c r="AC59" i="3"/>
  <c r="AD59" i="3"/>
  <c r="V43" i="4" s="1"/>
  <c r="AE59" i="3"/>
  <c r="AF59" i="3"/>
  <c r="X43" i="4" s="1"/>
  <c r="AG59" i="3"/>
  <c r="Y43" i="4" s="1"/>
  <c r="AH59" i="3"/>
  <c r="Z43" i="4" s="1"/>
  <c r="AI59" i="3"/>
  <c r="AJ59" i="3"/>
  <c r="AJ228" i="3" s="1"/>
  <c r="AK59" i="3"/>
  <c r="AK228" i="3" s="1"/>
  <c r="AK386" i="3" s="1"/>
  <c r="AL59" i="3"/>
  <c r="AD43" i="4" s="1"/>
  <c r="AM59" i="3"/>
  <c r="AE43" i="4" s="1"/>
  <c r="AN59" i="3"/>
  <c r="AO59" i="3"/>
  <c r="AG43" i="4" s="1"/>
  <c r="AP59" i="3"/>
  <c r="AQ59" i="3"/>
  <c r="AI43" i="4" s="1"/>
  <c r="AR59" i="3"/>
  <c r="AJ43" i="4" s="1"/>
  <c r="AS59" i="3"/>
  <c r="AK43" i="4" s="1"/>
  <c r="AT59" i="3"/>
  <c r="AU59" i="3"/>
  <c r="AV59" i="3"/>
  <c r="AW59" i="3"/>
  <c r="AX59" i="3"/>
  <c r="AY59" i="3"/>
  <c r="AQ43" i="4" s="1"/>
  <c r="AZ59" i="3"/>
  <c r="AR43" i="4"/>
  <c r="BA59" i="3"/>
  <c r="AS43" i="4" s="1"/>
  <c r="BB59" i="3"/>
  <c r="AT43" i="4" s="1"/>
  <c r="BC59" i="3"/>
  <c r="AU43" i="4" s="1"/>
  <c r="BD59" i="3"/>
  <c r="AV43" i="4" s="1"/>
  <c r="BE59" i="3"/>
  <c r="BF59" i="3"/>
  <c r="BG59" i="3"/>
  <c r="BH59" i="3"/>
  <c r="AZ43" i="4" s="1"/>
  <c r="BI59" i="3"/>
  <c r="BI228" i="3" s="1"/>
  <c r="BI386" i="3" s="1"/>
  <c r="BJ59" i="3"/>
  <c r="BB43" i="4"/>
  <c r="BK59" i="3"/>
  <c r="BC43" i="4" s="1"/>
  <c r="BL59" i="3"/>
  <c r="BM59" i="3"/>
  <c r="BN59" i="3"/>
  <c r="BF43" i="4" s="1"/>
  <c r="BO59" i="3"/>
  <c r="BO228" i="3" s="1"/>
  <c r="BP59" i="3"/>
  <c r="BH43" i="4" s="1"/>
  <c r="AT241" i="3"/>
  <c r="AT399" i="3" s="1"/>
  <c r="AU241" i="3"/>
  <c r="BB241" i="3"/>
  <c r="BB399" i="3" s="1"/>
  <c r="BC241" i="3"/>
  <c r="BJ241" i="3"/>
  <c r="BJ399" i="3" s="1"/>
  <c r="BK241" i="3"/>
  <c r="R57" i="3"/>
  <c r="R67" i="3" s="1"/>
  <c r="R56" i="3"/>
  <c r="R66" i="3" s="1"/>
  <c r="R55" i="3"/>
  <c r="R65" i="3" s="1"/>
  <c r="R54" i="3"/>
  <c r="R64" i="3" s="1"/>
  <c r="AL53" i="3"/>
  <c r="AM53" i="3"/>
  <c r="AN53" i="3"/>
  <c r="AN63" i="3" s="1"/>
  <c r="AO53" i="3"/>
  <c r="AO63" i="3"/>
  <c r="AP53" i="3"/>
  <c r="AP63" i="3" s="1"/>
  <c r="AQ53" i="3"/>
  <c r="AQ63" i="3" s="1"/>
  <c r="AR53" i="3"/>
  <c r="AS53" i="3"/>
  <c r="AS63" i="3" s="1"/>
  <c r="AT53" i="3"/>
  <c r="AU53" i="3"/>
  <c r="AV53" i="3"/>
  <c r="AV63" i="3" s="1"/>
  <c r="AW53" i="3"/>
  <c r="AW63" i="3"/>
  <c r="AX53" i="3"/>
  <c r="AY53" i="3"/>
  <c r="AY63" i="3"/>
  <c r="AZ53" i="3"/>
  <c r="BA53" i="3"/>
  <c r="BA63" i="3" s="1"/>
  <c r="BB53" i="3"/>
  <c r="BB54" i="3"/>
  <c r="BB64" i="3" s="1"/>
  <c r="BB55" i="3"/>
  <c r="BB65" i="3" s="1"/>
  <c r="BB56" i="3"/>
  <c r="BB66" i="3" s="1"/>
  <c r="BB57" i="3"/>
  <c r="BB67" i="3" s="1"/>
  <c r="BC53" i="3"/>
  <c r="BC63" i="3" s="1"/>
  <c r="BD53" i="3"/>
  <c r="BD63" i="3" s="1"/>
  <c r="BE53" i="3"/>
  <c r="BF53" i="3"/>
  <c r="BF63" i="3" s="1"/>
  <c r="BG53" i="3"/>
  <c r="BG63" i="3" s="1"/>
  <c r="BH53" i="3"/>
  <c r="BH58" i="3" s="1"/>
  <c r="BH60" i="3" s="1"/>
  <c r="BI53" i="3"/>
  <c r="BI63" i="3" s="1"/>
  <c r="BJ53" i="3"/>
  <c r="BJ63" i="3"/>
  <c r="BK53" i="3"/>
  <c r="BK63" i="3" s="1"/>
  <c r="BL53" i="3"/>
  <c r="BL63" i="3" s="1"/>
  <c r="BM53" i="3"/>
  <c r="BM63" i="3" s="1"/>
  <c r="BN53" i="3"/>
  <c r="BN63" i="3" s="1"/>
  <c r="BO53" i="3"/>
  <c r="BO63" i="3" s="1"/>
  <c r="BP53" i="3"/>
  <c r="BP63" i="3" s="1"/>
  <c r="AL54" i="3"/>
  <c r="AM54" i="3"/>
  <c r="AM64" i="3" s="1"/>
  <c r="AN54" i="3"/>
  <c r="AN64" i="3" s="1"/>
  <c r="AO54" i="3"/>
  <c r="AO64" i="3" s="1"/>
  <c r="AP54" i="3"/>
  <c r="AP64" i="3" s="1"/>
  <c r="AQ54" i="3"/>
  <c r="AR54" i="3"/>
  <c r="AR64" i="3" s="1"/>
  <c r="AS54" i="3"/>
  <c r="AS64" i="3" s="1"/>
  <c r="AT54" i="3"/>
  <c r="AT64" i="3" s="1"/>
  <c r="AU54" i="3"/>
  <c r="AU64" i="3" s="1"/>
  <c r="AV54" i="3"/>
  <c r="AV64" i="3"/>
  <c r="AW54" i="3"/>
  <c r="AW64" i="3" s="1"/>
  <c r="AX54" i="3"/>
  <c r="AX64" i="3" s="1"/>
  <c r="AY54" i="3"/>
  <c r="AZ54" i="3"/>
  <c r="AZ64" i="3" s="1"/>
  <c r="BA54" i="3"/>
  <c r="BA64" i="3" s="1"/>
  <c r="BC54" i="3"/>
  <c r="BC64" i="3" s="1"/>
  <c r="BD54" i="3"/>
  <c r="BD64" i="3" s="1"/>
  <c r="BE54" i="3"/>
  <c r="BE64" i="3"/>
  <c r="BF54" i="3"/>
  <c r="BF64" i="3" s="1"/>
  <c r="BG54" i="3"/>
  <c r="BG64" i="3" s="1"/>
  <c r="BH54" i="3"/>
  <c r="BH64" i="3" s="1"/>
  <c r="BI54" i="3"/>
  <c r="BI64" i="3" s="1"/>
  <c r="BJ54" i="3"/>
  <c r="BJ64" i="3" s="1"/>
  <c r="BK54" i="3"/>
  <c r="BL54" i="3"/>
  <c r="BL64" i="3" s="1"/>
  <c r="BM54" i="3"/>
  <c r="BM64" i="3" s="1"/>
  <c r="BN54" i="3"/>
  <c r="BN64" i="3" s="1"/>
  <c r="BO54" i="3"/>
  <c r="BO64" i="3" s="1"/>
  <c r="BP54" i="3"/>
  <c r="AL55" i="3"/>
  <c r="AL65" i="3" s="1"/>
  <c r="AM55" i="3"/>
  <c r="AM65" i="3" s="1"/>
  <c r="AN55" i="3"/>
  <c r="AO55" i="3"/>
  <c r="AO65" i="3" s="1"/>
  <c r="AP55" i="3"/>
  <c r="AP65" i="3" s="1"/>
  <c r="AQ55" i="3"/>
  <c r="AQ65" i="3" s="1"/>
  <c r="AR55" i="3"/>
  <c r="AR65" i="3" s="1"/>
  <c r="AS55" i="3"/>
  <c r="AT55" i="3"/>
  <c r="AT65" i="3" s="1"/>
  <c r="AU55" i="3"/>
  <c r="AU65" i="3" s="1"/>
  <c r="AV55" i="3"/>
  <c r="AW55" i="3"/>
  <c r="AW65" i="3" s="1"/>
  <c r="AX55" i="3"/>
  <c r="AX65" i="3"/>
  <c r="AY55" i="3"/>
  <c r="AY65" i="3" s="1"/>
  <c r="AZ55" i="3"/>
  <c r="AZ65" i="3" s="1"/>
  <c r="BA55" i="3"/>
  <c r="BC55" i="3"/>
  <c r="BD55" i="3"/>
  <c r="BE55" i="3"/>
  <c r="BE65" i="3" s="1"/>
  <c r="BF55" i="3"/>
  <c r="BF65" i="3" s="1"/>
  <c r="BG55" i="3"/>
  <c r="BH55" i="3"/>
  <c r="BH65" i="3" s="1"/>
  <c r="BI55" i="3"/>
  <c r="BI65" i="3" s="1"/>
  <c r="BJ55" i="3"/>
  <c r="BK55" i="3"/>
  <c r="BK65" i="3" s="1"/>
  <c r="BL55" i="3"/>
  <c r="BL65" i="3" s="1"/>
  <c r="BM55" i="3"/>
  <c r="BN55" i="3"/>
  <c r="BN65" i="3" s="1"/>
  <c r="BO55" i="3"/>
  <c r="BO65" i="3" s="1"/>
  <c r="BP55" i="3"/>
  <c r="BP65" i="3" s="1"/>
  <c r="AL56" i="3"/>
  <c r="AL66" i="3" s="1"/>
  <c r="AL57" i="3"/>
  <c r="AL67" i="3" s="1"/>
  <c r="AM56" i="3"/>
  <c r="AM66" i="3" s="1"/>
  <c r="AN56" i="3"/>
  <c r="AN66" i="3" s="1"/>
  <c r="AO56" i="3"/>
  <c r="AP56" i="3"/>
  <c r="AP66" i="3" s="1"/>
  <c r="AQ56" i="3"/>
  <c r="AQ66" i="3" s="1"/>
  <c r="AR56" i="3"/>
  <c r="AR66" i="3" s="1"/>
  <c r="AS56" i="3"/>
  <c r="AS66" i="3" s="1"/>
  <c r="AT56" i="3"/>
  <c r="AT66" i="3" s="1"/>
  <c r="AU56" i="3"/>
  <c r="AU66" i="3" s="1"/>
  <c r="AV56" i="3"/>
  <c r="AV66" i="3" s="1"/>
  <c r="AW56" i="3"/>
  <c r="AX56" i="3"/>
  <c r="AX66" i="3" s="1"/>
  <c r="AY56" i="3"/>
  <c r="AY66" i="3"/>
  <c r="AZ56" i="3"/>
  <c r="AZ66" i="3" s="1"/>
  <c r="BA56" i="3"/>
  <c r="BA66" i="3" s="1"/>
  <c r="BC56" i="3"/>
  <c r="BD56" i="3"/>
  <c r="BD66" i="3" s="1"/>
  <c r="BE56" i="3"/>
  <c r="BE66" i="3" s="1"/>
  <c r="BF56" i="3"/>
  <c r="BG56" i="3"/>
  <c r="BG66" i="3" s="1"/>
  <c r="BH56" i="3"/>
  <c r="BH66" i="3"/>
  <c r="BI56" i="3"/>
  <c r="BI66" i="3" s="1"/>
  <c r="BJ56" i="3"/>
  <c r="BJ66" i="3" s="1"/>
  <c r="BK56" i="3"/>
  <c r="BK66" i="3" s="1"/>
  <c r="BL56" i="3"/>
  <c r="BL66" i="3" s="1"/>
  <c r="BM56" i="3"/>
  <c r="BM66" i="3" s="1"/>
  <c r="BN56" i="3"/>
  <c r="BO56" i="3"/>
  <c r="BO66" i="3" s="1"/>
  <c r="BP56" i="3"/>
  <c r="BP66" i="3" s="1"/>
  <c r="AM57" i="3"/>
  <c r="AM67" i="3" s="1"/>
  <c r="AN57" i="3"/>
  <c r="AN67" i="3" s="1"/>
  <c r="AO57" i="3"/>
  <c r="AO67" i="3" s="1"/>
  <c r="AP57" i="3"/>
  <c r="AP67" i="3" s="1"/>
  <c r="AQ57" i="3"/>
  <c r="AQ67" i="3" s="1"/>
  <c r="AR57" i="3"/>
  <c r="AR67" i="3" s="1"/>
  <c r="AS57" i="3"/>
  <c r="AS67" i="3" s="1"/>
  <c r="AT57" i="3"/>
  <c r="AT67" i="3" s="1"/>
  <c r="AU57" i="3"/>
  <c r="AU67" i="3" s="1"/>
  <c r="AV57" i="3"/>
  <c r="AV67" i="3" s="1"/>
  <c r="AW57" i="3"/>
  <c r="AW67" i="3" s="1"/>
  <c r="AX57" i="3"/>
  <c r="AX67" i="3" s="1"/>
  <c r="AY57" i="3"/>
  <c r="AY67" i="3" s="1"/>
  <c r="AZ57" i="3"/>
  <c r="AZ67" i="3" s="1"/>
  <c r="BA57" i="3"/>
  <c r="BA67" i="3" s="1"/>
  <c r="BC57" i="3"/>
  <c r="BC67" i="3"/>
  <c r="BD57" i="3"/>
  <c r="BD67" i="3" s="1"/>
  <c r="BE57" i="3"/>
  <c r="BE67" i="3" s="1"/>
  <c r="BF57" i="3"/>
  <c r="BF67" i="3" s="1"/>
  <c r="BG57" i="3"/>
  <c r="BG67" i="3" s="1"/>
  <c r="BH57" i="3"/>
  <c r="BH67" i="3" s="1"/>
  <c r="BI57" i="3"/>
  <c r="BJ57" i="3"/>
  <c r="BJ67" i="3" s="1"/>
  <c r="BK57" i="3"/>
  <c r="BK67" i="3" s="1"/>
  <c r="BL57" i="3"/>
  <c r="BL67" i="3" s="1"/>
  <c r="BM57" i="3"/>
  <c r="BM67" i="3" s="1"/>
  <c r="BN57" i="3"/>
  <c r="BN67" i="3" s="1"/>
  <c r="BO57" i="3"/>
  <c r="BO67" i="3" s="1"/>
  <c r="BP57" i="3"/>
  <c r="BP67" i="3" s="1"/>
  <c r="V53" i="3"/>
  <c r="W53" i="3"/>
  <c r="X53" i="3"/>
  <c r="X63" i="3" s="1"/>
  <c r="Y53" i="3"/>
  <c r="Y63" i="3" s="1"/>
  <c r="Z53" i="3"/>
  <c r="AA53" i="3"/>
  <c r="AA63" i="3" s="1"/>
  <c r="AB53" i="3"/>
  <c r="AB63" i="3"/>
  <c r="AC53" i="3"/>
  <c r="AC63" i="3" s="1"/>
  <c r="AD53" i="3"/>
  <c r="AD63" i="3"/>
  <c r="AE53" i="3"/>
  <c r="AF53" i="3"/>
  <c r="AG53" i="3"/>
  <c r="AH53" i="3"/>
  <c r="AH63" i="3" s="1"/>
  <c r="AI53" i="3"/>
  <c r="AJ53" i="3"/>
  <c r="AJ63" i="3" s="1"/>
  <c r="AK53" i="3"/>
  <c r="AK63" i="3" s="1"/>
  <c r="T54" i="3"/>
  <c r="T64" i="3" s="1"/>
  <c r="U54" i="3"/>
  <c r="U64" i="3"/>
  <c r="V54" i="3"/>
  <c r="V64" i="3" s="1"/>
  <c r="W54" i="3"/>
  <c r="W64" i="3" s="1"/>
  <c r="X54" i="3"/>
  <c r="X64" i="3" s="1"/>
  <c r="Y54" i="3"/>
  <c r="Y64" i="3" s="1"/>
  <c r="Z54" i="3"/>
  <c r="Z64" i="3" s="1"/>
  <c r="AA54" i="3"/>
  <c r="AA64" i="3"/>
  <c r="AB54" i="3"/>
  <c r="AB64" i="3" s="1"/>
  <c r="AC54" i="3"/>
  <c r="AC64" i="3"/>
  <c r="AD54" i="3"/>
  <c r="AD64" i="3" s="1"/>
  <c r="AE54" i="3"/>
  <c r="AE64" i="3" s="1"/>
  <c r="AF54" i="3"/>
  <c r="AF64" i="3" s="1"/>
  <c r="AG54" i="3"/>
  <c r="AH54" i="3"/>
  <c r="AH64" i="3" s="1"/>
  <c r="AI54" i="3"/>
  <c r="AI64" i="3" s="1"/>
  <c r="AJ54" i="3"/>
  <c r="AJ64" i="3" s="1"/>
  <c r="AK54" i="3"/>
  <c r="AK64" i="3"/>
  <c r="T55" i="3"/>
  <c r="T65" i="3" s="1"/>
  <c r="U55" i="3"/>
  <c r="U65" i="3" s="1"/>
  <c r="V55" i="3"/>
  <c r="V65" i="3" s="1"/>
  <c r="W55" i="3"/>
  <c r="W65" i="3" s="1"/>
  <c r="X55" i="3"/>
  <c r="X65" i="3" s="1"/>
  <c r="Y55" i="3"/>
  <c r="Y65" i="3"/>
  <c r="Z55" i="3"/>
  <c r="Z65" i="3" s="1"/>
  <c r="AA55" i="3"/>
  <c r="AA65" i="3"/>
  <c r="AB55" i="3"/>
  <c r="AB65" i="3" s="1"/>
  <c r="AC55" i="3"/>
  <c r="AC65" i="3" s="1"/>
  <c r="AD55" i="3"/>
  <c r="AD65" i="3" s="1"/>
  <c r="AE55" i="3"/>
  <c r="AE65" i="3" s="1"/>
  <c r="AF55" i="3"/>
  <c r="AF65" i="3" s="1"/>
  <c r="AG55" i="3"/>
  <c r="AG65" i="3" s="1"/>
  <c r="AH55" i="3"/>
  <c r="AH65" i="3" s="1"/>
  <c r="AI55" i="3"/>
  <c r="AI65" i="3"/>
  <c r="AJ55" i="3"/>
  <c r="AJ65" i="3" s="1"/>
  <c r="AK55" i="3"/>
  <c r="AK65" i="3" s="1"/>
  <c r="T56" i="3"/>
  <c r="T66" i="3" s="1"/>
  <c r="U56" i="3"/>
  <c r="U66" i="3" s="1"/>
  <c r="V56" i="3"/>
  <c r="V66" i="3" s="1"/>
  <c r="W56" i="3"/>
  <c r="W66" i="3"/>
  <c r="X56" i="3"/>
  <c r="X66" i="3" s="1"/>
  <c r="Y56" i="3"/>
  <c r="Y66" i="3"/>
  <c r="Z56" i="3"/>
  <c r="Z66" i="3" s="1"/>
  <c r="AA56" i="3"/>
  <c r="AA66" i="3" s="1"/>
  <c r="AB56" i="3"/>
  <c r="AB66" i="3" s="1"/>
  <c r="AC56" i="3"/>
  <c r="AC66" i="3" s="1"/>
  <c r="AD56" i="3"/>
  <c r="AD66" i="3" s="1"/>
  <c r="AE56" i="3"/>
  <c r="AE66" i="3" s="1"/>
  <c r="AF56" i="3"/>
  <c r="AF66" i="3" s="1"/>
  <c r="AG56" i="3"/>
  <c r="AG66" i="3"/>
  <c r="AH56" i="3"/>
  <c r="AH66" i="3" s="1"/>
  <c r="AI56" i="3"/>
  <c r="AI66" i="3" s="1"/>
  <c r="AJ56" i="3"/>
  <c r="AJ66" i="3" s="1"/>
  <c r="AK56" i="3"/>
  <c r="AK66" i="3" s="1"/>
  <c r="T57" i="3"/>
  <c r="T67" i="3" s="1"/>
  <c r="X57" i="3"/>
  <c r="Z57" i="3"/>
  <c r="Z67" i="3" s="1"/>
  <c r="AB57" i="3"/>
  <c r="AB67" i="3" s="1"/>
  <c r="AC57" i="3"/>
  <c r="AD57" i="3"/>
  <c r="AD67" i="3" s="1"/>
  <c r="AE57" i="3"/>
  <c r="AE67" i="3" s="1"/>
  <c r="AF57" i="3"/>
  <c r="AF67" i="3" s="1"/>
  <c r="AG57" i="3"/>
  <c r="AG67" i="3" s="1"/>
  <c r="AH57" i="3"/>
  <c r="AH67" i="3"/>
  <c r="AI57" i="3"/>
  <c r="AI67" i="3" s="1"/>
  <c r="AJ57" i="3"/>
  <c r="AJ67" i="3" s="1"/>
  <c r="AK57" i="3"/>
  <c r="S54" i="3"/>
  <c r="S64" i="3" s="1"/>
  <c r="S55" i="3"/>
  <c r="S65" i="3" s="1"/>
  <c r="S56" i="3"/>
  <c r="S66" i="3" s="1"/>
  <c r="S57" i="3"/>
  <c r="S67" i="3" s="1"/>
  <c r="S48" i="3"/>
  <c r="B2" i="11"/>
  <c r="B2" i="9"/>
  <c r="B2" i="7"/>
  <c r="B2" i="4"/>
  <c r="B2" i="3"/>
  <c r="AW123" i="4"/>
  <c r="E117" i="9"/>
  <c r="E123" i="9"/>
  <c r="E112" i="9"/>
  <c r="E114" i="9"/>
  <c r="E139" i="9"/>
  <c r="E119" i="9"/>
  <c r="E129" i="9"/>
  <c r="E132" i="9"/>
  <c r="E109" i="9"/>
  <c r="E142" i="9"/>
  <c r="E118" i="9"/>
  <c r="E137" i="9"/>
  <c r="E140" i="9"/>
  <c r="E131" i="9"/>
  <c r="E104" i="9"/>
  <c r="E116" i="9"/>
  <c r="E113" i="9"/>
  <c r="E125" i="9"/>
  <c r="E134" i="9"/>
  <c r="E106" i="9"/>
  <c r="E128" i="9"/>
  <c r="E130" i="9"/>
  <c r="E133" i="9"/>
  <c r="H464" i="3"/>
  <c r="H463" i="3"/>
  <c r="E122" i="9"/>
  <c r="E136" i="9"/>
  <c r="E138" i="9"/>
  <c r="E141" i="9"/>
  <c r="E135" i="9"/>
  <c r="E121" i="9"/>
  <c r="E115" i="9"/>
  <c r="E107" i="9"/>
  <c r="E126" i="9"/>
  <c r="S34" i="3"/>
  <c r="S45" i="3" s="1"/>
  <c r="S15" i="3"/>
  <c r="S94" i="3" s="1"/>
  <c r="T95" i="3" s="1"/>
  <c r="T68" i="7"/>
  <c r="T276" i="7" s="1"/>
  <c r="E120" i="9"/>
  <c r="D496" i="3"/>
  <c r="D418" i="3"/>
  <c r="D405" i="3"/>
  <c r="F161" i="9"/>
  <c r="W413" i="3"/>
  <c r="W241" i="3"/>
  <c r="BL241" i="3"/>
  <c r="BL399" i="3" s="1"/>
  <c r="BD241" i="3"/>
  <c r="AV241" i="3"/>
  <c r="AV399" i="3" s="1"/>
  <c r="AJ241" i="3"/>
  <c r="AJ321" i="3" s="1"/>
  <c r="X31" i="53" s="1"/>
  <c r="BL244" i="3"/>
  <c r="BD244" i="3"/>
  <c r="AV244" i="3"/>
  <c r="AN244" i="3"/>
  <c r="AF244" i="3"/>
  <c r="U241" i="3"/>
  <c r="U399" i="3" s="1"/>
  <c r="BI241" i="3"/>
  <c r="BA241" i="3"/>
  <c r="AS241" i="3"/>
  <c r="AS321" i="3" s="1"/>
  <c r="AG31" i="53" s="1"/>
  <c r="BM228" i="3"/>
  <c r="AW228" i="3"/>
  <c r="AN241" i="3"/>
  <c r="AH241" i="3"/>
  <c r="AH321" i="3" s="1"/>
  <c r="V31" i="53" s="1"/>
  <c r="AD241" i="3"/>
  <c r="AC241" i="3"/>
  <c r="AC321" i="3" s="1"/>
  <c r="BI244" i="3"/>
  <c r="BA244" i="3"/>
  <c r="AS244" i="3"/>
  <c r="AK244" i="3"/>
  <c r="AC244" i="3"/>
  <c r="AA241" i="3"/>
  <c r="AA399" i="3" s="1"/>
  <c r="BA270" i="3"/>
  <c r="BA426" i="3" s="1"/>
  <c r="AO265" i="3"/>
  <c r="BE290" i="3"/>
  <c r="AY286" i="3"/>
  <c r="R285" i="3"/>
  <c r="BH241" i="3"/>
  <c r="BH399" i="3" s="1"/>
  <c r="AZ241" i="3"/>
  <c r="AR241" i="3"/>
  <c r="AR399" i="3" s="1"/>
  <c r="BL228" i="3"/>
  <c r="BD228" i="3"/>
  <c r="BD386" i="3" s="1"/>
  <c r="AV228" i="3"/>
  <c r="AM241" i="3"/>
  <c r="AM321" i="3" s="1"/>
  <c r="AG241" i="3"/>
  <c r="BP244" i="3"/>
  <c r="BH244" i="3"/>
  <c r="AZ244" i="3"/>
  <c r="AZ324" i="3"/>
  <c r="AN26" i="53"/>
  <c r="AR244" i="3"/>
  <c r="AJ244" i="3"/>
  <c r="AB244" i="3"/>
  <c r="Z241" i="3"/>
  <c r="Z399" i="3" s="1"/>
  <c r="AY266" i="3"/>
  <c r="AY343" i="3" s="1"/>
  <c r="BO241" i="3"/>
  <c r="BO399" i="3" s="1"/>
  <c r="BG241" i="3"/>
  <c r="BG399" i="3" s="1"/>
  <c r="AY241" i="3"/>
  <c r="AQ241" i="3"/>
  <c r="AQ321" i="3" s="1"/>
  <c r="AE31" i="53" s="1"/>
  <c r="BK228" i="3"/>
  <c r="BK386" i="3" s="1"/>
  <c r="AM228" i="3"/>
  <c r="AM308" i="3" s="1"/>
  <c r="W228" i="3"/>
  <c r="W308" i="3" s="1"/>
  <c r="BO244" i="3"/>
  <c r="BO324" i="3"/>
  <c r="BC26" i="53"/>
  <c r="BG244" i="3"/>
  <c r="AY244" i="3"/>
  <c r="AQ244" i="3"/>
  <c r="AI244" i="3"/>
  <c r="AA244" i="3"/>
  <c r="Y241" i="3"/>
  <c r="Y321" i="3" s="1"/>
  <c r="AM270" i="3"/>
  <c r="BN241" i="3"/>
  <c r="BN321" i="3" s="1"/>
  <c r="BB31" i="53" s="1"/>
  <c r="BF241" i="3"/>
  <c r="AX241" i="3"/>
  <c r="AX399" i="3" s="1"/>
  <c r="AP241" i="3"/>
  <c r="AP321" i="3" s="1"/>
  <c r="AD31" i="53" s="1"/>
  <c r="AL241" i="3"/>
  <c r="AL321" i="3" s="1"/>
  <c r="Z31" i="53" s="1"/>
  <c r="BN244" i="3"/>
  <c r="BF244" i="3"/>
  <c r="AX244" i="3"/>
  <c r="AX324" i="3"/>
  <c r="AL26" i="53"/>
  <c r="AP244" i="3"/>
  <c r="AH244" i="3"/>
  <c r="Z244" i="3"/>
  <c r="X241" i="3"/>
  <c r="AK269" i="3"/>
  <c r="AZ343" i="4" s="1"/>
  <c r="AZ329" i="4" s="1"/>
  <c r="BC268" i="3"/>
  <c r="AB241" i="3"/>
  <c r="AB399" i="3" s="1"/>
  <c r="BM241" i="3"/>
  <c r="BE241" i="3"/>
  <c r="AW241" i="3"/>
  <c r="AO241" i="3"/>
  <c r="AO321" i="3" s="1"/>
  <c r="AC228" i="3"/>
  <c r="AC308" i="3" s="1"/>
  <c r="AK241" i="3"/>
  <c r="BM244" i="3"/>
  <c r="BE244" i="3"/>
  <c r="AW244" i="3"/>
  <c r="AO244" i="3"/>
  <c r="AG244" i="3"/>
  <c r="AG402" i="3"/>
  <c r="V241" i="3"/>
  <c r="V321" i="3" s="1"/>
  <c r="J31" i="53" s="1"/>
  <c r="BG270" i="3"/>
  <c r="AS265" i="3"/>
  <c r="BA288" i="3"/>
  <c r="BA444" i="3" s="1"/>
  <c r="AS288" i="3"/>
  <c r="AS365" i="3" s="1"/>
  <c r="S286" i="3"/>
  <c r="S442" i="3" s="1"/>
  <c r="AM284" i="3"/>
  <c r="AM440" i="3" s="1"/>
  <c r="AA265" i="3"/>
  <c r="BI279" i="3"/>
  <c r="AO278" i="3"/>
  <c r="BA274" i="3"/>
  <c r="BA430" i="3" s="1"/>
  <c r="AS274" i="3"/>
  <c r="AK274" i="3"/>
  <c r="AC274" i="3"/>
  <c r="BM269" i="3"/>
  <c r="AW265" i="3"/>
  <c r="BM290" i="3"/>
  <c r="CB350" i="4" s="1"/>
  <c r="BK280" i="3"/>
  <c r="BK357" i="3" s="1"/>
  <c r="BC280" i="3"/>
  <c r="AU280" i="3"/>
  <c r="AU436" i="3" s="1"/>
  <c r="BE265" i="3"/>
  <c r="BE342" i="3" s="1"/>
  <c r="AO288" i="3"/>
  <c r="AO444" i="3" s="1"/>
  <c r="AG288" i="3"/>
  <c r="BO284" i="3"/>
  <c r="BG284" i="3"/>
  <c r="BG361" i="3" s="1"/>
  <c r="AI284" i="3"/>
  <c r="AI361" i="3" s="1"/>
  <c r="BO276" i="3"/>
  <c r="BO353" i="3" s="1"/>
  <c r="AI276" i="3"/>
  <c r="BE274" i="3"/>
  <c r="AC265" i="3"/>
  <c r="AR339" i="4" s="1"/>
  <c r="AR328" i="4" s="1"/>
  <c r="BM288" i="3"/>
  <c r="BE285" i="3"/>
  <c r="AG285" i="3"/>
  <c r="S284" i="3"/>
  <c r="BE282" i="3"/>
  <c r="BE359" i="3" s="1"/>
  <c r="AO282" i="3"/>
  <c r="AO438" i="3" s="1"/>
  <c r="AC280" i="3"/>
  <c r="AC436" i="3" s="1"/>
  <c r="AU286" i="3"/>
  <c r="AE286" i="3"/>
  <c r="BO286" i="3"/>
  <c r="AA266" i="3"/>
  <c r="BO280" i="3"/>
  <c r="AY280" i="3"/>
  <c r="AY436" i="3" s="1"/>
  <c r="S280" i="3"/>
  <c r="R412" i="3"/>
  <c r="R334" i="3"/>
  <c r="AE223" i="3"/>
  <c r="AE381" i="3" s="1"/>
  <c r="AX223" i="3"/>
  <c r="AP223" i="3"/>
  <c r="AP381" i="3" s="1"/>
  <c r="S223" i="3"/>
  <c r="S303" i="3" s="1"/>
  <c r="S79" i="3"/>
  <c r="BI181" i="3"/>
  <c r="BA181" i="3"/>
  <c r="BP181" i="3"/>
  <c r="BH181" i="3"/>
  <c r="AZ181" i="3"/>
  <c r="BC181" i="3"/>
  <c r="BJ254" i="3"/>
  <c r="BO181" i="3"/>
  <c r="BG181" i="3"/>
  <c r="AY181" i="3"/>
  <c r="BN181" i="3"/>
  <c r="BM181" i="3"/>
  <c r="BE181" i="3"/>
  <c r="BK181" i="3"/>
  <c r="BL254" i="3"/>
  <c r="BD181" i="3"/>
  <c r="E108" i="9"/>
  <c r="D490" i="3"/>
  <c r="D412" i="3"/>
  <c r="E110" i="9"/>
  <c r="AH228" i="3"/>
  <c r="AH308" i="3" s="1"/>
  <c r="R122" i="9"/>
  <c r="E111" i="9"/>
  <c r="R453" i="3"/>
  <c r="R140" i="3"/>
  <c r="R25" i="3"/>
  <c r="R26" i="3"/>
  <c r="Q30" i="3"/>
  <c r="E124" i="9"/>
  <c r="R117" i="9"/>
  <c r="E127" i="9"/>
  <c r="R116" i="9"/>
  <c r="S254" i="3"/>
  <c r="S255" i="3"/>
  <c r="X413" i="3"/>
  <c r="S181" i="3"/>
  <c r="D327" i="3"/>
  <c r="BP223" i="3"/>
  <c r="BP381" i="3" s="1"/>
  <c r="AZ223" i="3"/>
  <c r="AZ381" i="3" s="1"/>
  <c r="BL223" i="3"/>
  <c r="BL381" i="3" s="1"/>
  <c r="AN223" i="3"/>
  <c r="AN381" i="3" s="1"/>
  <c r="Y223" i="3"/>
  <c r="R241" i="3"/>
  <c r="R321" i="3" s="1"/>
  <c r="F31" i="53" s="1"/>
  <c r="R238" i="3"/>
  <c r="D320" i="3"/>
  <c r="D341" i="3"/>
  <c r="D474" i="3"/>
  <c r="D328" i="3"/>
  <c r="D420" i="3"/>
  <c r="D396" i="3"/>
  <c r="H380" i="3"/>
  <c r="R4" i="3"/>
  <c r="BG223" i="3"/>
  <c r="BG381" i="3" s="1"/>
  <c r="X223" i="3"/>
  <c r="X381" i="3" s="1"/>
  <c r="AB254" i="3"/>
  <c r="D511" i="3"/>
  <c r="AF40" i="4"/>
  <c r="AN40" i="4"/>
  <c r="AR40" i="4"/>
  <c r="S276" i="7"/>
  <c r="S173" i="7"/>
  <c r="S195" i="7"/>
  <c r="S161" i="7"/>
  <c r="S127" i="7"/>
  <c r="S67" i="7"/>
  <c r="S143" i="7"/>
  <c r="S4" i="7"/>
  <c r="S216" i="7"/>
  <c r="S184" i="7"/>
  <c r="T216" i="7"/>
  <c r="T161" i="7"/>
  <c r="T184" i="7"/>
  <c r="T195" i="7"/>
  <c r="T127" i="7"/>
  <c r="T4" i="7"/>
  <c r="T173" i="7"/>
  <c r="T143" i="7"/>
  <c r="Q67" i="7"/>
  <c r="R79" i="3"/>
  <c r="R80" i="3"/>
  <c r="D314" i="3"/>
  <c r="J49" i="9"/>
  <c r="BI223" i="3"/>
  <c r="AS223" i="3"/>
  <c r="AS381" i="3" s="1"/>
  <c r="Z223" i="3"/>
  <c r="Z381" i="3" s="1"/>
  <c r="V223" i="3"/>
  <c r="V381" i="3"/>
  <c r="S93" i="3"/>
  <c r="S77" i="3"/>
  <c r="S80" i="3"/>
  <c r="D336" i="3"/>
  <c r="D315" i="3"/>
  <c r="H458" i="3"/>
  <c r="H459" i="3"/>
  <c r="D414" i="3"/>
  <c r="D393" i="3"/>
  <c r="AV282" i="3"/>
  <c r="AM279" i="3"/>
  <c r="AM435" i="3" s="1"/>
  <c r="BO278" i="3"/>
  <c r="BO355" i="3" s="1"/>
  <c r="BC278" i="3"/>
  <c r="BC434" i="3" s="1"/>
  <c r="AY278" i="3"/>
  <c r="AY434" i="3" s="1"/>
  <c r="AQ278" i="3"/>
  <c r="AQ355" i="3" s="1"/>
  <c r="AM278" i="3"/>
  <c r="AM434" i="3" s="1"/>
  <c r="AI278" i="3"/>
  <c r="AE278" i="3"/>
  <c r="AE355" i="3" s="1"/>
  <c r="AA278" i="3"/>
  <c r="AA355" i="3" s="1"/>
  <c r="BI276" i="3"/>
  <c r="BI432" i="3" s="1"/>
  <c r="AA274" i="3"/>
  <c r="AA351" i="3" s="1"/>
  <c r="G380" i="3"/>
  <c r="H222" i="3"/>
  <c r="AU343" i="3"/>
  <c r="AI363" i="3"/>
  <c r="AE363" i="3"/>
  <c r="G464" i="3"/>
  <c r="S251" i="3"/>
  <c r="AA251" i="3"/>
  <c r="AA331" i="3"/>
  <c r="AE251" i="3"/>
  <c r="AE331" i="3"/>
  <c r="AI251" i="3"/>
  <c r="AI331" i="3"/>
  <c r="AM251" i="3"/>
  <c r="AM331" i="3"/>
  <c r="AQ251" i="3"/>
  <c r="AQ331" i="3"/>
  <c r="AU251" i="3"/>
  <c r="AU331" i="3"/>
  <c r="AY251" i="3"/>
  <c r="AY331" i="3"/>
  <c r="BC251" i="3"/>
  <c r="BC331" i="3"/>
  <c r="BG251" i="3"/>
  <c r="BG331" i="3"/>
  <c r="BK251" i="3"/>
  <c r="BK331" i="3"/>
  <c r="BO251" i="3"/>
  <c r="BO331" i="3"/>
  <c r="AP251" i="3"/>
  <c r="AP331" i="3"/>
  <c r="BB251" i="3"/>
  <c r="BB331" i="3"/>
  <c r="BJ251" i="3"/>
  <c r="BJ331" i="3"/>
  <c r="AB251" i="3"/>
  <c r="AB331" i="3"/>
  <c r="AF251" i="3"/>
  <c r="AF331" i="3"/>
  <c r="AJ251" i="3"/>
  <c r="AJ331" i="3"/>
  <c r="AN251" i="3"/>
  <c r="AN331" i="3"/>
  <c r="AR251" i="3"/>
  <c r="AR331" i="3"/>
  <c r="AV251" i="3"/>
  <c r="AV331" i="3"/>
  <c r="AZ251" i="3"/>
  <c r="AZ331" i="3"/>
  <c r="BD251" i="3"/>
  <c r="BD331" i="3"/>
  <c r="BH251" i="3"/>
  <c r="BH331" i="3"/>
  <c r="BL251" i="3"/>
  <c r="BL331" i="3"/>
  <c r="BP251" i="3"/>
  <c r="BP331" i="3"/>
  <c r="AD251" i="3"/>
  <c r="AD331" i="3"/>
  <c r="AL251" i="3"/>
  <c r="AL331" i="3"/>
  <c r="AX251" i="3"/>
  <c r="AX331" i="3"/>
  <c r="AC251" i="3"/>
  <c r="AC331" i="3"/>
  <c r="AG251" i="3"/>
  <c r="AG331" i="3"/>
  <c r="AK251" i="3"/>
  <c r="AK331" i="3"/>
  <c r="AO251" i="3"/>
  <c r="AO331" i="3"/>
  <c r="AS251" i="3"/>
  <c r="AS331" i="3"/>
  <c r="AW251" i="3"/>
  <c r="AW331" i="3"/>
  <c r="BA251" i="3"/>
  <c r="BA331" i="3"/>
  <c r="BE251" i="3"/>
  <c r="BE331" i="3"/>
  <c r="BI251" i="3"/>
  <c r="BI331" i="3"/>
  <c r="BM251" i="3"/>
  <c r="BM331" i="3"/>
  <c r="R251" i="3"/>
  <c r="AH251" i="3"/>
  <c r="AH331" i="3"/>
  <c r="AT251" i="3"/>
  <c r="AT331" i="3"/>
  <c r="BF251" i="3"/>
  <c r="BF331" i="3"/>
  <c r="BN251" i="3"/>
  <c r="BN331" i="3"/>
  <c r="G386" i="3"/>
  <c r="AG206" i="3"/>
  <c r="G458" i="3"/>
  <c r="AC386" i="3"/>
  <c r="D425" i="3"/>
  <c r="D503" i="3"/>
  <c r="W386" i="3"/>
  <c r="W464" i="3" s="1"/>
  <c r="AI428" i="3"/>
  <c r="J47" i="9"/>
  <c r="R367" i="3"/>
  <c r="AY440" i="3"/>
  <c r="BG43" i="4"/>
  <c r="AK346" i="3"/>
  <c r="BP402" i="3"/>
  <c r="BN324" i="3"/>
  <c r="BB26" i="53"/>
  <c r="BN254" i="3"/>
  <c r="D354" i="3"/>
  <c r="AW285" i="3"/>
  <c r="BL386" i="3"/>
  <c r="H307" i="3"/>
  <c r="H385" i="3"/>
  <c r="BJ181" i="3"/>
  <c r="D333" i="3"/>
  <c r="AP254" i="3"/>
  <c r="G223" i="3"/>
  <c r="D303" i="3"/>
  <c r="G307" i="3"/>
  <c r="D436" i="3"/>
  <c r="D444" i="3"/>
  <c r="D440" i="3"/>
  <c r="G228" i="3"/>
  <c r="R206" i="3"/>
  <c r="AA347" i="3"/>
  <c r="BF289" i="3"/>
  <c r="AI442" i="3"/>
  <c r="AS40" i="4"/>
  <c r="G303" i="3"/>
  <c r="G302" i="3"/>
  <c r="Q14" i="3"/>
  <c r="H302" i="3"/>
  <c r="H303" i="3"/>
  <c r="AX344" i="4"/>
  <c r="H227" i="3"/>
  <c r="H228" i="3"/>
  <c r="BX343" i="4"/>
  <c r="BX329" i="4" s="1"/>
  <c r="BR341" i="4"/>
  <c r="AG426" i="3"/>
  <c r="AC346" i="3"/>
  <c r="BM444" i="3"/>
  <c r="BE438" i="3"/>
  <c r="AG438" i="3"/>
  <c r="CD344" i="4"/>
  <c r="AV346" i="4"/>
  <c r="AV345" i="4"/>
  <c r="BV344" i="4"/>
  <c r="AU426" i="3"/>
  <c r="AT344" i="4"/>
  <c r="BH342" i="4"/>
  <c r="BH331" i="4" s="1"/>
  <c r="AQ422" i="3"/>
  <c r="AK367" i="3"/>
  <c r="AO361" i="3"/>
  <c r="AO518" i="3" s="1"/>
  <c r="S244" i="3"/>
  <c r="D508" i="3"/>
  <c r="D347" i="3"/>
  <c r="D426" i="3"/>
  <c r="AG197" i="3"/>
  <c r="BJ228" i="3"/>
  <c r="BJ308" i="3" s="1"/>
  <c r="BJ386" i="3"/>
  <c r="BJ464" i="3" s="1"/>
  <c r="Z228" i="3"/>
  <c r="Z386" i="3" s="1"/>
  <c r="BI254" i="3"/>
  <c r="AS254" i="3"/>
  <c r="P68" i="7"/>
  <c r="P114" i="7" s="1"/>
  <c r="BP150" i="3"/>
  <c r="BP151" i="3" s="1"/>
  <c r="BP248" i="3" s="1"/>
  <c r="BP328" i="3" s="1"/>
  <c r="BD28" i="53" s="1"/>
  <c r="AW254" i="3"/>
  <c r="AG254" i="3"/>
  <c r="BI277" i="3"/>
  <c r="AY206" i="3"/>
  <c r="BO254" i="3"/>
  <c r="BO255" i="3"/>
  <c r="AD228" i="3"/>
  <c r="AD386" i="3" s="1"/>
  <c r="J43" i="4"/>
  <c r="AJ254" i="3"/>
  <c r="AL228" i="3"/>
  <c r="AL386" i="3" s="1"/>
  <c r="V228" i="3"/>
  <c r="V386" i="3"/>
  <c r="Y46" i="3"/>
  <c r="AR228" i="3"/>
  <c r="AR308" i="3" s="1"/>
  <c r="BO58" i="3"/>
  <c r="BO60" i="3" s="1"/>
  <c r="BO229" i="3" s="1"/>
  <c r="D500" i="3"/>
  <c r="BP254" i="3"/>
  <c r="BO402" i="3"/>
  <c r="BK402" i="3"/>
  <c r="BG402" i="3"/>
  <c r="BC402" i="3"/>
  <c r="AY402" i="3"/>
  <c r="AU402" i="3"/>
  <c r="AM402" i="3"/>
  <c r="AI402" i="3"/>
  <c r="AE402" i="3"/>
  <c r="AA402" i="3"/>
  <c r="BH402" i="3"/>
  <c r="AR402" i="3"/>
  <c r="AN402" i="3"/>
  <c r="AF324" i="3"/>
  <c r="T26" i="53"/>
  <c r="BM421" i="3"/>
  <c r="BL339" i="4"/>
  <c r="BL328" i="4" s="1"/>
  <c r="D351" i="3"/>
  <c r="BG285" i="3"/>
  <c r="BV348" i="4" s="1"/>
  <c r="D343" i="3"/>
  <c r="BE277" i="3"/>
  <c r="BN402" i="3"/>
  <c r="BJ402" i="3"/>
  <c r="BF402" i="3"/>
  <c r="AP324" i="3"/>
  <c r="AD26" i="53"/>
  <c r="AH402" i="3"/>
  <c r="Z402" i="3"/>
  <c r="BL241" i="7"/>
  <c r="BL165" i="3" s="1"/>
  <c r="BD241" i="7"/>
  <c r="BD165" i="3"/>
  <c r="AV241" i="7"/>
  <c r="AV165" i="3" s="1"/>
  <c r="AN241" i="7"/>
  <c r="AN165" i="3"/>
  <c r="AF241" i="7"/>
  <c r="AF165" i="3" s="1"/>
  <c r="X241" i="7"/>
  <c r="X165" i="3"/>
  <c r="BL324" i="3"/>
  <c r="AZ26" i="53"/>
  <c r="BD324" i="3"/>
  <c r="AR26" i="53"/>
  <c r="AV402" i="3"/>
  <c r="AJ324" i="3"/>
  <c r="X26" i="53"/>
  <c r="AB402" i="3"/>
  <c r="AW277" i="3"/>
  <c r="AS277" i="3"/>
  <c r="AO277" i="3"/>
  <c r="AS402" i="3"/>
  <c r="AO324" i="3"/>
  <c r="AC26" i="53"/>
  <c r="AK324" i="3"/>
  <c r="Y26" i="53"/>
  <c r="AS342" i="3"/>
  <c r="D457" i="3"/>
  <c r="AO43" i="4"/>
  <c r="D501" i="3"/>
  <c r="D348" i="3"/>
  <c r="BA285" i="3"/>
  <c r="AS285" i="3"/>
  <c r="BE211" i="3"/>
  <c r="AP58" i="3"/>
  <c r="AH42" i="4" s="1"/>
  <c r="BH40" i="4"/>
  <c r="BE206" i="3"/>
  <c r="AZ254" i="3"/>
  <c r="AO228" i="3"/>
  <c r="AO386" i="3"/>
  <c r="AK285" i="3"/>
  <c r="AN254" i="3"/>
  <c r="BK254" i="3"/>
  <c r="BK255" i="3"/>
  <c r="D344" i="3"/>
  <c r="BD254" i="3"/>
  <c r="D361" i="3"/>
  <c r="D353" i="3"/>
  <c r="BC197" i="3"/>
  <c r="AB43" i="4"/>
  <c r="AV254" i="3"/>
  <c r="AI254" i="3"/>
  <c r="AR254" i="3"/>
  <c r="BD40" i="4"/>
  <c r="N40" i="4"/>
  <c r="Y40" i="4"/>
  <c r="D435" i="3"/>
  <c r="AY254" i="3"/>
  <c r="AM254" i="3"/>
  <c r="AQ254" i="3"/>
  <c r="AQ255" i="3"/>
  <c r="BG254" i="3"/>
  <c r="BC254" i="3"/>
  <c r="AE254" i="3"/>
  <c r="AP40" i="4"/>
  <c r="D356" i="3"/>
  <c r="BB342" i="4"/>
  <c r="BB331" i="4" s="1"/>
  <c r="D324" i="3"/>
  <c r="D480" i="3"/>
  <c r="D431" i="3"/>
  <c r="O43" i="4"/>
  <c r="AA254" i="3"/>
  <c r="S40" i="4"/>
  <c r="L208" i="3"/>
  <c r="L203" i="3"/>
  <c r="AB58" i="3"/>
  <c r="AB150" i="3"/>
  <c r="BB150" i="3"/>
  <c r="BK150" i="3"/>
  <c r="D365" i="3"/>
  <c r="AZ228" i="3"/>
  <c r="AZ386" i="3"/>
  <c r="AZ464" i="3" s="1"/>
  <c r="BD43" i="4"/>
  <c r="AY289" i="3"/>
  <c r="AE289" i="3"/>
  <c r="AI266" i="3"/>
  <c r="AI343" i="3" s="1"/>
  <c r="Z40" i="4"/>
  <c r="K40" i="4"/>
  <c r="AH40" i="4"/>
  <c r="AH58" i="3"/>
  <c r="BP228" i="3"/>
  <c r="BP386" i="3"/>
  <c r="AE63" i="3"/>
  <c r="AC356" i="3"/>
  <c r="D357" i="3"/>
  <c r="D432" i="3"/>
  <c r="AS150" i="3"/>
  <c r="AS247" i="3" s="1"/>
  <c r="AN43" i="4"/>
  <c r="BA254" i="3"/>
  <c r="BM254" i="3"/>
  <c r="BM255" i="3"/>
  <c r="BJ150" i="3"/>
  <c r="BN150" i="3"/>
  <c r="T228" i="3"/>
  <c r="T386" i="3"/>
  <c r="AM289" i="3"/>
  <c r="AI289" i="3"/>
  <c r="AX63" i="3"/>
  <c r="AX58" i="3"/>
  <c r="L201" i="3"/>
  <c r="S438" i="3"/>
  <c r="D381" i="3"/>
  <c r="BE148" i="3"/>
  <c r="BA148" i="3"/>
  <c r="AK148" i="3"/>
  <c r="AE148" i="3"/>
  <c r="AA148" i="3"/>
  <c r="BO266" i="3"/>
  <c r="BO343" i="3"/>
  <c r="AB40" i="4"/>
  <c r="AJ223" i="3"/>
  <c r="AC254" i="3"/>
  <c r="AC255" i="3"/>
  <c r="D384" i="3"/>
  <c r="D462" i="3"/>
  <c r="BE228" i="3"/>
  <c r="BE308" i="3" s="1"/>
  <c r="BE386" i="3"/>
  <c r="AW43" i="4"/>
  <c r="AC43" i="4"/>
  <c r="Y228" i="3"/>
  <c r="Y386" i="3"/>
  <c r="BF181" i="3"/>
  <c r="BF254" i="3"/>
  <c r="BB181" i="3"/>
  <c r="BB254" i="3"/>
  <c r="AT254" i="3"/>
  <c r="AT255" i="3"/>
  <c r="AL254" i="3"/>
  <c r="AD254" i="3"/>
  <c r="AC197" i="3"/>
  <c r="AC277" i="3"/>
  <c r="D439" i="3"/>
  <c r="D360" i="3"/>
  <c r="AX40" i="4"/>
  <c r="AQ40" i="4"/>
  <c r="BD150" i="3"/>
  <c r="BD151" i="3" s="1"/>
  <c r="BD248" i="3" s="1"/>
  <c r="D506" i="3"/>
  <c r="D428" i="3"/>
  <c r="D349" i="3"/>
  <c r="BK223" i="3"/>
  <c r="BK303" i="3" s="1"/>
  <c r="BC40" i="4"/>
  <c r="AZ150" i="3"/>
  <c r="AZ151" i="3" s="1"/>
  <c r="AZ248" i="3" s="1"/>
  <c r="AZ328" i="3" s="1"/>
  <c r="D306" i="3"/>
  <c r="AQ228" i="3"/>
  <c r="AQ386" i="3" s="1"/>
  <c r="BA269" i="3"/>
  <c r="BA425" i="3" s="1"/>
  <c r="AE284" i="3"/>
  <c r="AE440" i="3" s="1"/>
  <c r="AK40" i="4"/>
  <c r="BD148" i="3"/>
  <c r="AX181" i="3"/>
  <c r="AX254" i="3"/>
  <c r="AF254" i="3"/>
  <c r="BN228" i="3"/>
  <c r="BN308" i="3" s="1"/>
  <c r="BM206" i="3"/>
  <c r="BM285" i="3"/>
  <c r="BH223" i="3"/>
  <c r="BH381" i="3" s="1"/>
  <c r="AZ40" i="4"/>
  <c r="BA351" i="3"/>
  <c r="AD58" i="3"/>
  <c r="AD227" i="3" s="1"/>
  <c r="AD385" i="3" s="1"/>
  <c r="K43" i="4"/>
  <c r="AS435" i="3"/>
  <c r="AH150" i="3"/>
  <c r="AH247" i="3" s="1"/>
  <c r="AU289" i="3"/>
  <c r="AI206" i="3"/>
  <c r="AK197" i="3"/>
  <c r="AK277" i="3"/>
  <c r="BB228" i="3"/>
  <c r="BB386" i="3" s="1"/>
  <c r="S150" i="3"/>
  <c r="S148" i="3"/>
  <c r="AG211" i="3"/>
  <c r="R223" i="3"/>
  <c r="J40" i="4"/>
  <c r="BA43" i="4"/>
  <c r="U43" i="4"/>
  <c r="BE254" i="3"/>
  <c r="S289" i="3"/>
  <c r="BE43" i="4"/>
  <c r="BF228" i="3"/>
  <c r="BF386" i="3" s="1"/>
  <c r="AX43" i="4"/>
  <c r="W43" i="4"/>
  <c r="AE228" i="3"/>
  <c r="AE386" i="3" s="1"/>
  <c r="BC223" i="3"/>
  <c r="BC381" i="3" s="1"/>
  <c r="AY228" i="3"/>
  <c r="BF339" i="4"/>
  <c r="BF328" i="4" s="1"/>
  <c r="BH254" i="3"/>
  <c r="AH254" i="3"/>
  <c r="Q40" i="4"/>
  <c r="R244" i="3"/>
  <c r="AH324" i="3"/>
  <c r="V26" i="53"/>
  <c r="AN324" i="3"/>
  <c r="AB26" i="53"/>
  <c r="AZ39" i="9"/>
  <c r="BK39" i="9"/>
  <c r="AE39" i="9"/>
  <c r="BB39" i="9"/>
  <c r="AS39" i="9"/>
  <c r="AD39" i="9"/>
  <c r="AB39" i="9"/>
  <c r="W39" i="9"/>
  <c r="BD39" i="9"/>
  <c r="BB22" i="3" s="1"/>
  <c r="AI39" i="9"/>
  <c r="BF39" i="9"/>
  <c r="BE39" i="9"/>
  <c r="BC22" i="3" s="1"/>
  <c r="V39" i="9"/>
  <c r="AN39" i="9"/>
  <c r="AY39" i="9"/>
  <c r="AO39" i="9"/>
  <c r="AP39" i="9"/>
  <c r="BS39" i="9"/>
  <c r="U39" i="9"/>
  <c r="BP39" i="9"/>
  <c r="AJ39" i="9"/>
  <c r="AH22" i="3" s="1"/>
  <c r="AU39" i="9"/>
  <c r="AK39" i="9"/>
  <c r="AL39" i="9"/>
  <c r="AJ22" i="3" s="1"/>
  <c r="AA39" i="9"/>
  <c r="T39" i="9"/>
  <c r="J39" i="9" s="1"/>
  <c r="Z39" i="9"/>
  <c r="BU39" i="9"/>
  <c r="BO39" i="9"/>
  <c r="AC39" i="9"/>
  <c r="BP324" i="3"/>
  <c r="BD26" i="53"/>
  <c r="AP402" i="3"/>
  <c r="AJ402" i="3"/>
  <c r="BK436" i="3"/>
  <c r="BK514" i="3" s="1"/>
  <c r="BL402" i="3"/>
  <c r="R162" i="3"/>
  <c r="AS444" i="3"/>
  <c r="AS522" i="3" s="1"/>
  <c r="AR343" i="4"/>
  <c r="AR329" i="4" s="1"/>
  <c r="R217" i="3"/>
  <c r="AG359" i="3"/>
  <c r="AW342" i="3"/>
  <c r="AG430" i="3"/>
  <c r="AM424" i="3"/>
  <c r="AM502" i="3" s="1"/>
  <c r="AV324" i="3"/>
  <c r="AJ26" i="53"/>
  <c r="AP344" i="4"/>
  <c r="BE357" i="3"/>
  <c r="AM324" i="3"/>
  <c r="AA26" i="53"/>
  <c r="BH324" i="3"/>
  <c r="AV26" i="53"/>
  <c r="AC444" i="3"/>
  <c r="AA426" i="3"/>
  <c r="AA504" i="3" s="1"/>
  <c r="AE442" i="3"/>
  <c r="AE520" i="3" s="1"/>
  <c r="BD402" i="3"/>
  <c r="R425" i="3"/>
  <c r="AG343" i="4"/>
  <c r="AG329" i="4" s="1"/>
  <c r="AS324" i="3"/>
  <c r="AG26" i="53"/>
  <c r="AV344" i="4"/>
  <c r="AE324" i="3"/>
  <c r="S26" i="53"/>
  <c r="AB324" i="3"/>
  <c r="P26" i="53"/>
  <c r="S363" i="3"/>
  <c r="S520" i="3" s="1"/>
  <c r="AG347" i="3"/>
  <c r="AS425" i="3"/>
  <c r="BK346" i="3"/>
  <c r="AO440" i="3"/>
  <c r="AK402" i="3"/>
  <c r="BG39" i="3"/>
  <c r="BG222" i="3" s="1"/>
  <c r="BD31" i="4"/>
  <c r="BC324" i="3"/>
  <c r="AQ26" i="53"/>
  <c r="D421" i="3"/>
  <c r="D385" i="3"/>
  <c r="D437" i="3"/>
  <c r="D442" i="3"/>
  <c r="D492" i="3"/>
  <c r="D307" i="3"/>
  <c r="D392" i="3"/>
  <c r="D484" i="3"/>
  <c r="D515" i="3"/>
  <c r="D363" i="3"/>
  <c r="D386" i="3"/>
  <c r="D326" i="3"/>
  <c r="D482" i="3"/>
  <c r="BO347" i="3"/>
  <c r="D505" i="3"/>
  <c r="AY324" i="3"/>
  <c r="AM26" i="53"/>
  <c r="AA324" i="3"/>
  <c r="O26" i="53"/>
  <c r="D380" i="3"/>
  <c r="D443" i="3"/>
  <c r="D350" i="3"/>
  <c r="D509" i="3"/>
  <c r="AI342" i="3"/>
  <c r="D301" i="3"/>
  <c r="BO426" i="3"/>
  <c r="D345" i="3"/>
  <c r="D446" i="3"/>
  <c r="R446" i="3"/>
  <c r="R524" i="3" s="1"/>
  <c r="D334" i="3"/>
  <c r="BK324" i="3"/>
  <c r="AY26" i="53"/>
  <c r="AU324" i="3"/>
  <c r="AI26" i="53"/>
  <c r="D364" i="3"/>
  <c r="D458" i="3"/>
  <c r="D411" i="3"/>
  <c r="D524" i="3"/>
  <c r="D507" i="3"/>
  <c r="AU363" i="3"/>
  <c r="AI421" i="3"/>
  <c r="BK308" i="3"/>
  <c r="BK464" i="3" s="1"/>
  <c r="D502" i="3"/>
  <c r="BG324" i="3"/>
  <c r="AU26" i="53"/>
  <c r="AO402" i="3"/>
  <c r="AS424" i="3"/>
  <c r="BL351" i="3"/>
  <c r="BL508" i="3" s="1"/>
  <c r="BG347" i="3"/>
  <c r="BG426" i="3"/>
  <c r="S436" i="3"/>
  <c r="S357" i="3"/>
  <c r="BM308" i="3"/>
  <c r="BM386" i="3"/>
  <c r="AL402" i="3"/>
  <c r="AL324" i="3"/>
  <c r="Z26" i="53"/>
  <c r="AY428" i="3"/>
  <c r="BN346" i="4"/>
  <c r="AO426" i="3"/>
  <c r="BG424" i="3"/>
  <c r="BV342" i="4"/>
  <c r="BV331" i="4" s="1"/>
  <c r="AK422" i="3"/>
  <c r="AZ340" i="4"/>
  <c r="AN342" i="3"/>
  <c r="AC427" i="3"/>
  <c r="AR345" i="4"/>
  <c r="AR341" i="4"/>
  <c r="AC344" i="3"/>
  <c r="AC501" i="3" s="1"/>
  <c r="AS446" i="3"/>
  <c r="AS367" i="3"/>
  <c r="BH350" i="4"/>
  <c r="AQ363" i="3"/>
  <c r="AQ442" i="3"/>
  <c r="BO438" i="3"/>
  <c r="BO516" i="3" s="1"/>
  <c r="BO359" i="3"/>
  <c r="AK438" i="3"/>
  <c r="AK359" i="3"/>
  <c r="AC438" i="3"/>
  <c r="AC359" i="3"/>
  <c r="AA361" i="3"/>
  <c r="AA440" i="3"/>
  <c r="AJ435" i="3"/>
  <c r="BI430" i="3"/>
  <c r="AY361" i="3"/>
  <c r="BP350" i="4"/>
  <c r="BP345" i="4"/>
  <c r="BA348" i="3"/>
  <c r="AW430" i="3"/>
  <c r="AW508" i="3" s="1"/>
  <c r="AE347" i="3"/>
  <c r="AI324" i="3"/>
  <c r="W26" i="53"/>
  <c r="BJ324" i="3"/>
  <c r="AX26" i="53"/>
  <c r="AL31" i="4"/>
  <c r="AC31" i="4"/>
  <c r="AC38" i="4" s="1"/>
  <c r="AB31" i="4"/>
  <c r="AA31" i="4"/>
  <c r="AA38" i="4" s="1"/>
  <c r="Y31" i="4"/>
  <c r="S361" i="3"/>
  <c r="S440" i="3"/>
  <c r="AW356" i="3"/>
  <c r="AW435" i="3"/>
  <c r="BR39" i="9"/>
  <c r="BL39" i="9"/>
  <c r="BJ22" i="3" s="1"/>
  <c r="AV39" i="9"/>
  <c r="AF39" i="9"/>
  <c r="BG39" i="9"/>
  <c r="AQ39" i="9"/>
  <c r="BI39" i="9"/>
  <c r="BN39" i="9"/>
  <c r="AX39" i="9"/>
  <c r="AH39" i="9"/>
  <c r="AG39" i="9"/>
  <c r="AE22" i="3" s="1"/>
  <c r="BH39" i="9"/>
  <c r="AR39" i="9"/>
  <c r="AW39" i="9"/>
  <c r="AU22" i="3" s="1"/>
  <c r="BC39" i="9"/>
  <c r="AM39" i="9"/>
  <c r="BA39" i="9"/>
  <c r="BJ39" i="9"/>
  <c r="AT39" i="9"/>
  <c r="BM39" i="9"/>
  <c r="BT39" i="9"/>
  <c r="Y39" i="9"/>
  <c r="BQ39" i="9"/>
  <c r="X39" i="9"/>
  <c r="BB402" i="3"/>
  <c r="BB324" i="3"/>
  <c r="AP26" i="53"/>
  <c r="AD402" i="3"/>
  <c r="AD324" i="3"/>
  <c r="R26" i="53"/>
  <c r="AE426" i="3"/>
  <c r="AE504" i="3" s="1"/>
  <c r="AK425" i="3"/>
  <c r="BF324" i="3"/>
  <c r="AT26" i="53"/>
  <c r="Z324" i="3"/>
  <c r="N26" i="53"/>
  <c r="AR324" i="3"/>
  <c r="AF26" i="53"/>
  <c r="AG427" i="3"/>
  <c r="AO365" i="3"/>
  <c r="BI351" i="3"/>
  <c r="BA427" i="3"/>
  <c r="BA505" i="3" s="1"/>
  <c r="AG348" i="3"/>
  <c r="BM365" i="3"/>
  <c r="AE33" i="9"/>
  <c r="AT335" i="4" s="1"/>
  <c r="BN33" i="9"/>
  <c r="CC335" i="4" s="1"/>
  <c r="AF33" i="9"/>
  <c r="AU335" i="4" s="1"/>
  <c r="AC33" i="9"/>
  <c r="AR335" i="4" s="1"/>
  <c r="BB33" i="9"/>
  <c r="BQ335" i="4" s="1"/>
  <c r="BI33" i="9"/>
  <c r="BX335" i="4" s="1"/>
  <c r="U33" i="9"/>
  <c r="AJ335" i="4" s="1"/>
  <c r="BH33" i="9"/>
  <c r="BW335" i="4" s="1"/>
  <c r="AS33" i="9"/>
  <c r="BH335" i="4" s="1"/>
  <c r="AP33" i="9"/>
  <c r="BE335" i="4" s="1"/>
  <c r="BO33" i="9"/>
  <c r="CD335" i="4" s="1"/>
  <c r="BE33" i="9"/>
  <c r="BT335" i="4" s="1"/>
  <c r="AO33" i="9"/>
  <c r="BD335" i="4" s="1"/>
  <c r="Y33" i="9"/>
  <c r="AN335" i="4" s="1"/>
  <c r="Z33" i="9"/>
  <c r="AO335" i="4" s="1"/>
  <c r="AL33" i="9"/>
  <c r="BA335" i="4" s="1"/>
  <c r="AR33" i="9"/>
  <c r="BG335" i="4" s="1"/>
  <c r="AX33" i="9"/>
  <c r="BM335" i="4" s="1"/>
  <c r="BD33" i="9"/>
  <c r="BS335" i="4" s="1"/>
  <c r="BJ33" i="9"/>
  <c r="BY335" i="4" s="1"/>
  <c r="BP33" i="9"/>
  <c r="CE335" i="4" s="1"/>
  <c r="AG335" i="4"/>
  <c r="BS33" i="9"/>
  <c r="BK33" i="9"/>
  <c r="BZ335" i="4" s="1"/>
  <c r="BQ33" i="9"/>
  <c r="BA33" i="9"/>
  <c r="BP335" i="4" s="1"/>
  <c r="AK33" i="9"/>
  <c r="AZ335" i="4"/>
  <c r="V33" i="9"/>
  <c r="AK335" i="4" s="1"/>
  <c r="AB33" i="9"/>
  <c r="AQ335" i="4"/>
  <c r="AH33" i="9"/>
  <c r="AW335" i="4"/>
  <c r="AN33" i="9"/>
  <c r="BC335" i="4"/>
  <c r="AT33" i="9"/>
  <c r="BI335" i="4" s="1"/>
  <c r="AZ33" i="9"/>
  <c r="BO335" i="4"/>
  <c r="BL33" i="9"/>
  <c r="CA335" i="4" s="1"/>
  <c r="AH335" i="4"/>
  <c r="BT33" i="9"/>
  <c r="AU33" i="9"/>
  <c r="BJ335" i="4"/>
  <c r="AY33" i="9"/>
  <c r="BN335" i="4"/>
  <c r="AI33" i="9"/>
  <c r="AX335" i="4" s="1"/>
  <c r="X33" i="9"/>
  <c r="AM335" i="4"/>
  <c r="AD33" i="9"/>
  <c r="AS335" i="4" s="1"/>
  <c r="AJ33" i="9"/>
  <c r="AY335" i="4"/>
  <c r="AV33" i="9"/>
  <c r="BK335" i="4"/>
  <c r="BU335" i="4"/>
  <c r="BO357" i="3"/>
  <c r="BO514" i="3" s="1"/>
  <c r="BO436" i="3"/>
  <c r="BO345" i="3"/>
  <c r="BO424" i="3"/>
  <c r="CD342" i="4"/>
  <c r="CD331" i="4" s="1"/>
  <c r="AQ436" i="3"/>
  <c r="AQ357" i="3"/>
  <c r="BG344" i="3"/>
  <c r="BR345" i="4"/>
  <c r="AC425" i="3"/>
  <c r="AC503" i="3" s="1"/>
  <c r="BH341" i="4"/>
  <c r="AU357" i="3"/>
  <c r="AG355" i="3"/>
  <c r="AU440" i="3"/>
  <c r="BL341" i="4"/>
  <c r="AW423" i="3"/>
  <c r="AI440" i="3"/>
  <c r="AS430" i="3"/>
  <c r="AS351" i="3"/>
  <c r="AS508" i="3" s="1"/>
  <c r="AO348" i="3"/>
  <c r="BD345" i="4"/>
  <c r="AO427" i="3"/>
  <c r="X31" i="4"/>
  <c r="X38" i="4" s="1"/>
  <c r="BG342" i="3"/>
  <c r="BC342" i="3"/>
  <c r="AJ432" i="3"/>
  <c r="AW344" i="3"/>
  <c r="BK432" i="3"/>
  <c r="AY31" i="4"/>
  <c r="BI324" i="3"/>
  <c r="AW26" i="53"/>
  <c r="BI402" i="3"/>
  <c r="BE402" i="3"/>
  <c r="BE324" i="3"/>
  <c r="AS26" i="53"/>
  <c r="AW402" i="3"/>
  <c r="AW324" i="3"/>
  <c r="AK26" i="53"/>
  <c r="AT324" i="3"/>
  <c r="AH26" i="53"/>
  <c r="AT402" i="3"/>
  <c r="AC402" i="3"/>
  <c r="AC324" i="3"/>
  <c r="Q26" i="53"/>
  <c r="AI427" i="3"/>
  <c r="AI505" i="3" s="1"/>
  <c r="BC426" i="3"/>
  <c r="BC347" i="3"/>
  <c r="BR344" i="4"/>
  <c r="AT422" i="3"/>
  <c r="BI446" i="3"/>
  <c r="AY442" i="3"/>
  <c r="AY363" i="3"/>
  <c r="AY520" i="3" s="1"/>
  <c r="BI438" i="3"/>
  <c r="BI359" i="3"/>
  <c r="BI516" i="3" s="1"/>
  <c r="BA438" i="3"/>
  <c r="BA516" i="3" s="1"/>
  <c r="BA359" i="3"/>
  <c r="BM436" i="3"/>
  <c r="AS436" i="3"/>
  <c r="BA356" i="3"/>
  <c r="AK435" i="3"/>
  <c r="AK513" i="3" s="1"/>
  <c r="AK356" i="3"/>
  <c r="AO31" i="4"/>
  <c r="BM402" i="3"/>
  <c r="BM324" i="3"/>
  <c r="BA26" i="53"/>
  <c r="BA402" i="3"/>
  <c r="BA324" i="3"/>
  <c r="AO26" i="53"/>
  <c r="AQ402" i="3"/>
  <c r="AQ324" i="3"/>
  <c r="AE26" i="53"/>
  <c r="BM359" i="3"/>
  <c r="BM516" i="3" s="1"/>
  <c r="AW31" i="4"/>
  <c r="AQ426" i="3"/>
  <c r="BF344" i="4"/>
  <c r="BL343" i="4"/>
  <c r="BL329" i="4" s="1"/>
  <c r="AM423" i="3"/>
  <c r="BB341" i="4"/>
  <c r="AL341" i="4"/>
  <c r="AY422" i="3"/>
  <c r="AY500" i="3" s="1"/>
  <c r="AH340" i="4"/>
  <c r="BE346" i="3"/>
  <c r="BE503" i="3" s="1"/>
  <c r="BT343" i="4"/>
  <c r="BT329" i="4" s="1"/>
  <c r="BE425" i="3"/>
  <c r="BL308" i="3"/>
  <c r="BL464" i="3" s="1"/>
  <c r="S343" i="3"/>
  <c r="S500" i="3" s="1"/>
  <c r="R442" i="3"/>
  <c r="R520" i="3" s="1"/>
  <c r="AG350" i="4"/>
  <c r="AF402" i="3"/>
  <c r="AQ353" i="3"/>
  <c r="AQ432" i="3"/>
  <c r="AQ510" i="3" s="1"/>
  <c r="AQ343" i="3"/>
  <c r="BF340" i="4"/>
  <c r="BV340" i="4"/>
  <c r="BG422" i="3"/>
  <c r="BG500" i="3" s="1"/>
  <c r="S432" i="3"/>
  <c r="S353" i="3"/>
  <c r="BB349" i="3"/>
  <c r="BC444" i="3"/>
  <c r="BX339" i="4"/>
  <c r="BX328" i="4" s="1"/>
  <c r="BI421" i="3"/>
  <c r="AU428" i="3"/>
  <c r="AZ346" i="4"/>
  <c r="AK349" i="3"/>
  <c r="AK506" i="3" s="1"/>
  <c r="AC351" i="3"/>
  <c r="AC430" i="3"/>
  <c r="AI446" i="3"/>
  <c r="AI524" i="3" s="1"/>
  <c r="AX350" i="4"/>
  <c r="AI432" i="3"/>
  <c r="AI353" i="3"/>
  <c r="BK361" i="3"/>
  <c r="BK440" i="3"/>
  <c r="AL345" i="3"/>
  <c r="AS348" i="3"/>
  <c r="BH345" i="4"/>
  <c r="AR423" i="3"/>
  <c r="AY357" i="3"/>
  <c r="BJ349" i="3"/>
  <c r="BE444" i="3"/>
  <c r="BE365" i="3"/>
  <c r="BE522" i="3" s="1"/>
  <c r="AA353" i="3"/>
  <c r="AA510" i="3" s="1"/>
  <c r="BO423" i="3"/>
  <c r="BB346" i="4"/>
  <c r="AS427" i="3"/>
  <c r="AU438" i="3"/>
  <c r="BJ340" i="4"/>
  <c r="AU422" i="3"/>
  <c r="BC436" i="3"/>
  <c r="BC357" i="3"/>
  <c r="BC514" i="3" s="1"/>
  <c r="BF353" i="3"/>
  <c r="AG446" i="3"/>
  <c r="BC440" i="3"/>
  <c r="BC344" i="3"/>
  <c r="BC501" i="3" s="1"/>
  <c r="BC423" i="3"/>
  <c r="AO423" i="3"/>
  <c r="BP421" i="3"/>
  <c r="T321" i="3"/>
  <c r="H31" i="53" s="1"/>
  <c r="AX346" i="4"/>
  <c r="AI349" i="3"/>
  <c r="BR343" i="4"/>
  <c r="BR329" i="4" s="1"/>
  <c r="CD339" i="4"/>
  <c r="CD328" i="4" s="1"/>
  <c r="BH339" i="4"/>
  <c r="BH328" i="4" s="1"/>
  <c r="AS421" i="3"/>
  <c r="AQ339" i="4"/>
  <c r="AQ328" i="4" s="1"/>
  <c r="BK442" i="3"/>
  <c r="BK363" i="3"/>
  <c r="S14" i="3"/>
  <c r="BL350" i="4"/>
  <c r="AW367" i="3"/>
  <c r="AW446" i="3"/>
  <c r="AG356" i="3"/>
  <c r="AG513" i="3" s="1"/>
  <c r="AG435" i="3"/>
  <c r="AV341" i="4"/>
  <c r="AG344" i="3"/>
  <c r="AG501" i="3" s="1"/>
  <c r="AV339" i="4"/>
  <c r="AV328" i="4" s="1"/>
  <c r="AG421" i="3"/>
  <c r="AY444" i="3"/>
  <c r="AY346" i="3"/>
  <c r="AY503" i="3" s="1"/>
  <c r="BN355" i="3"/>
  <c r="BN512" i="3" s="1"/>
  <c r="BM363" i="3"/>
  <c r="BM424" i="3"/>
  <c r="AO342" i="3"/>
  <c r="AO425" i="3"/>
  <c r="AO503" i="3" s="1"/>
  <c r="BD343" i="4"/>
  <c r="BD329" i="4" s="1"/>
  <c r="AQ427" i="3"/>
  <c r="CB339" i="4"/>
  <c r="CB328" i="4" s="1"/>
  <c r="BM342" i="3"/>
  <c r="BM499" i="3" s="1"/>
  <c r="BS345" i="4"/>
  <c r="BI425" i="3"/>
  <c r="BI342" i="3"/>
  <c r="AU353" i="3"/>
  <c r="AU510" i="3" s="1"/>
  <c r="BA423" i="3"/>
  <c r="BA501" i="3" s="1"/>
  <c r="BK359" i="3"/>
  <c r="BK424" i="3"/>
  <c r="BG436" i="3"/>
  <c r="BG357" i="3"/>
  <c r="BF356" i="3"/>
  <c r="BF513" i="3" s="1"/>
  <c r="BA361" i="3"/>
  <c r="BI427" i="3"/>
  <c r="AM347" i="3"/>
  <c r="AM504" i="3" s="1"/>
  <c r="AM426" i="3"/>
  <c r="AG444" i="3"/>
  <c r="AG365" i="3"/>
  <c r="BC353" i="3"/>
  <c r="BC432" i="3"/>
  <c r="BE348" i="3"/>
  <c r="BE505" i="3" s="1"/>
  <c r="BT345" i="4"/>
  <c r="AK446" i="3"/>
  <c r="AZ350" i="4"/>
  <c r="AA436" i="3"/>
  <c r="AA514" i="3" s="1"/>
  <c r="AI347" i="3"/>
  <c r="AI426" i="3"/>
  <c r="AI504" i="3" s="1"/>
  <c r="AE428" i="3"/>
  <c r="BD344" i="3"/>
  <c r="S349" i="3"/>
  <c r="S428" i="3"/>
  <c r="AH346" i="4"/>
  <c r="AT31" i="4"/>
  <c r="AT38" i="4" s="1"/>
  <c r="AI31" i="4"/>
  <c r="AK348" i="3"/>
  <c r="AK427" i="3"/>
  <c r="T15" i="3"/>
  <c r="T99" i="3" s="1"/>
  <c r="U68" i="7"/>
  <c r="U173" i="7" s="1"/>
  <c r="AY427" i="3"/>
  <c r="AY505" i="3" s="1"/>
  <c r="BE446" i="3"/>
  <c r="BE367" i="3"/>
  <c r="BE524" i="3" s="1"/>
  <c r="Z63" i="3"/>
  <c r="Z58" i="3"/>
  <c r="Z227" i="3" s="1"/>
  <c r="BN248" i="7"/>
  <c r="BN166" i="3" s="1"/>
  <c r="BN168" i="3" s="1"/>
  <c r="BN255" i="7"/>
  <c r="BN167" i="3" s="1"/>
  <c r="BF248" i="7"/>
  <c r="BF166" i="3"/>
  <c r="BF255" i="7"/>
  <c r="BF167" i="3" s="1"/>
  <c r="AX248" i="7"/>
  <c r="AX166" i="3"/>
  <c r="AX255" i="7"/>
  <c r="AX167" i="3" s="1"/>
  <c r="AP248" i="7"/>
  <c r="AP166" i="3" s="1"/>
  <c r="AP168" i="3" s="1"/>
  <c r="AP255" i="7"/>
  <c r="AP167" i="3" s="1"/>
  <c r="AH248" i="7"/>
  <c r="AH166" i="3" s="1"/>
  <c r="AH255" i="7"/>
  <c r="AH167" i="3" s="1"/>
  <c r="Z248" i="7"/>
  <c r="Z166" i="3" s="1"/>
  <c r="Z255" i="7"/>
  <c r="Z167" i="3" s="1"/>
  <c r="BG353" i="3"/>
  <c r="BM347" i="3"/>
  <c r="AM361" i="3"/>
  <c r="AM518" i="3" s="1"/>
  <c r="BG432" i="3"/>
  <c r="BN345" i="4"/>
  <c r="AU347" i="3"/>
  <c r="AU504" i="3" s="1"/>
  <c r="BJ344" i="4"/>
  <c r="BA349" i="3"/>
  <c r="BC350" i="4"/>
  <c r="BD342" i="4"/>
  <c r="BD331" i="4" s="1"/>
  <c r="BG428" i="3"/>
  <c r="BG349" i="3"/>
  <c r="BG506" i="3" s="1"/>
  <c r="AN346" i="4"/>
  <c r="AY347" i="3"/>
  <c r="BQ343" i="4"/>
  <c r="BQ329" i="4" s="1"/>
  <c r="BG446" i="3"/>
  <c r="BG524" i="3" s="1"/>
  <c r="BA344" i="3"/>
  <c r="BT350" i="4"/>
  <c r="BJ424" i="3"/>
  <c r="BL345" i="4"/>
  <c r="AW427" i="3"/>
  <c r="AI436" i="3"/>
  <c r="AI357" i="3"/>
  <c r="AO254" i="3"/>
  <c r="AO255" i="3"/>
  <c r="Q118" i="9"/>
  <c r="R118" i="9"/>
  <c r="D309" i="3"/>
  <c r="D465" i="3"/>
  <c r="AF421" i="3"/>
  <c r="AW421" i="3"/>
  <c r="AG342" i="3"/>
  <c r="AL63" i="3"/>
  <c r="AM277" i="3"/>
  <c r="AM197" i="3"/>
  <c r="Q120" i="9"/>
  <c r="R120" i="9"/>
  <c r="D382" i="3"/>
  <c r="D304" i="3"/>
  <c r="D460" i="3"/>
  <c r="AJ430" i="3"/>
  <c r="D479" i="3"/>
  <c r="D401" i="3"/>
  <c r="BM356" i="3"/>
  <c r="BM513" i="3" s="1"/>
  <c r="AO435" i="3"/>
  <c r="AO513" i="3" s="1"/>
  <c r="D317" i="3"/>
  <c r="D473" i="3"/>
  <c r="Y357" i="3"/>
  <c r="AC357" i="3"/>
  <c r="AC514" i="3" s="1"/>
  <c r="T33" i="9"/>
  <c r="AG33" i="9"/>
  <c r="AV335" i="4"/>
  <c r="AW33" i="9"/>
  <c r="BL335" i="4"/>
  <c r="BM33" i="9"/>
  <c r="CB335" i="4" s="1"/>
  <c r="W33" i="9"/>
  <c r="AL335" i="4" s="1"/>
  <c r="AM33" i="9"/>
  <c r="BB335" i="4" s="1"/>
  <c r="BC33" i="9"/>
  <c r="BR335" i="4"/>
  <c r="BR33" i="9"/>
  <c r="AA33" i="9"/>
  <c r="AP335" i="4" s="1"/>
  <c r="AQ33" i="9"/>
  <c r="BF335" i="4" s="1"/>
  <c r="BG33" i="9"/>
  <c r="BV335" i="4" s="1"/>
  <c r="BU33" i="9"/>
  <c r="BP434" i="3"/>
  <c r="BP512" i="3" s="1"/>
  <c r="BJ255" i="7"/>
  <c r="BJ167" i="3" s="1"/>
  <c r="BB255" i="7"/>
  <c r="BB167" i="3"/>
  <c r="AT255" i="7"/>
  <c r="AT167" i="3" s="1"/>
  <c r="AL255" i="7"/>
  <c r="AL167" i="3"/>
  <c r="BP241" i="7"/>
  <c r="BP165" i="3" s="1"/>
  <c r="BH241" i="7"/>
  <c r="BH165" i="3" s="1"/>
  <c r="AZ241" i="7"/>
  <c r="AZ165" i="3" s="1"/>
  <c r="AR241" i="7"/>
  <c r="AR165" i="3" s="1"/>
  <c r="AJ241" i="7"/>
  <c r="AJ165" i="3" s="1"/>
  <c r="AB241" i="7"/>
  <c r="AB165" i="3"/>
  <c r="T241" i="7"/>
  <c r="T165" i="3" s="1"/>
  <c r="AD255" i="7"/>
  <c r="AD167" i="3" s="1"/>
  <c r="BJ248" i="7"/>
  <c r="BJ166" i="3" s="1"/>
  <c r="BB248" i="7"/>
  <c r="BB166" i="3" s="1"/>
  <c r="AT248" i="7"/>
  <c r="AT166" i="3" s="1"/>
  <c r="AL248" i="7"/>
  <c r="AL166" i="3" s="1"/>
  <c r="AD248" i="7"/>
  <c r="AD166" i="3"/>
  <c r="V248" i="7"/>
  <c r="V166" i="3" s="1"/>
  <c r="BN241" i="7"/>
  <c r="BN165" i="3"/>
  <c r="BJ241" i="7"/>
  <c r="BJ165" i="3" s="1"/>
  <c r="BF241" i="7"/>
  <c r="BF165" i="3" s="1"/>
  <c r="BB241" i="7"/>
  <c r="BB165" i="3" s="1"/>
  <c r="AX241" i="7"/>
  <c r="AX165" i="3" s="1"/>
  <c r="AT241" i="7"/>
  <c r="AT165" i="3" s="1"/>
  <c r="AP241" i="7"/>
  <c r="AP165" i="3"/>
  <c r="AL241" i="7"/>
  <c r="AL165" i="3" s="1"/>
  <c r="AH241" i="7"/>
  <c r="AH165" i="3" s="1"/>
  <c r="AD241" i="7"/>
  <c r="AD165" i="3" s="1"/>
  <c r="Z241" i="7"/>
  <c r="Z165" i="3" s="1"/>
  <c r="V241" i="7"/>
  <c r="V165" i="3" s="1"/>
  <c r="AO40" i="4"/>
  <c r="BJ49" i="3"/>
  <c r="AY48" i="3"/>
  <c r="BH47" i="3"/>
  <c r="BE39" i="3"/>
  <c r="BE47" i="3"/>
  <c r="BI46" i="3"/>
  <c r="BI39" i="3"/>
  <c r="AN46" i="3"/>
  <c r="AK46" i="3"/>
  <c r="AK39" i="3"/>
  <c r="AK41" i="3" s="1"/>
  <c r="BO45" i="3"/>
  <c r="BD45" i="3"/>
  <c r="BD39" i="3"/>
  <c r="BD41" i="3" s="1"/>
  <c r="AU45" i="3"/>
  <c r="AE45" i="3"/>
  <c r="W34" i="3"/>
  <c r="AK223" i="3"/>
  <c r="AK303" i="3" s="1"/>
  <c r="AC223" i="3"/>
  <c r="AC303" i="3" s="1"/>
  <c r="U40" i="4"/>
  <c r="AS46" i="3"/>
  <c r="AS39" i="3"/>
  <c r="Z45" i="3"/>
  <c r="Z39" i="3"/>
  <c r="Z41" i="3" s="1"/>
  <c r="Z224" i="3" s="1"/>
  <c r="V48" i="3"/>
  <c r="BM47" i="3"/>
  <c r="AC47" i="3"/>
  <c r="AC39" i="3"/>
  <c r="AW45" i="3"/>
  <c r="R47" i="3"/>
  <c r="BB45" i="3"/>
  <c r="AO49" i="3"/>
  <c r="AO39" i="3"/>
  <c r="AO41" i="3" s="1"/>
  <c r="AO224" i="3" s="1"/>
  <c r="S99" i="3"/>
  <c r="S88" i="3"/>
  <c r="S87" i="3"/>
  <c r="AT49" i="3"/>
  <c r="AT39" i="3"/>
  <c r="AR46" i="3"/>
  <c r="AR39" i="3"/>
  <c r="BN39" i="3"/>
  <c r="BN41" i="3" s="1"/>
  <c r="BN224" i="3" s="1"/>
  <c r="BC45" i="3"/>
  <c r="U49" i="3"/>
  <c r="S100" i="3"/>
  <c r="AZ39" i="3"/>
  <c r="AZ41" i="3" s="1"/>
  <c r="AZ224" i="3" s="1"/>
  <c r="AJ39" i="3"/>
  <c r="AJ41" i="3" s="1"/>
  <c r="BO223" i="3"/>
  <c r="BG40" i="4"/>
  <c r="BM223" i="3"/>
  <c r="BM381" i="3" s="1"/>
  <c r="BE40" i="4"/>
  <c r="AW40" i="4"/>
  <c r="AX381" i="3"/>
  <c r="AT223" i="3"/>
  <c r="AR223" i="3"/>
  <c r="AR303" i="3" s="1"/>
  <c r="AJ40" i="4"/>
  <c r="AO223" i="3"/>
  <c r="R46" i="3"/>
  <c r="V31" i="4"/>
  <c r="V38" i="4" s="1"/>
  <c r="I37" i="4"/>
  <c r="M40" i="4"/>
  <c r="BL39" i="3"/>
  <c r="BL222" i="3" s="1"/>
  <c r="BL302" i="3" s="1"/>
  <c r="BL45" i="3"/>
  <c r="CA342" i="4"/>
  <c r="CA331" i="4" s="1"/>
  <c r="BN342" i="4"/>
  <c r="BN331" i="4" s="1"/>
  <c r="AY424" i="3"/>
  <c r="T425" i="3"/>
  <c r="AC345" i="3"/>
  <c r="AC342" i="3"/>
  <c r="AC421" i="3"/>
  <c r="T348" i="3"/>
  <c r="T505" i="3" s="1"/>
  <c r="AY345" i="3"/>
  <c r="BO348" i="3"/>
  <c r="BP340" i="4"/>
  <c r="BB345" i="4"/>
  <c r="AM348" i="3"/>
  <c r="BB339" i="4"/>
  <c r="BB328" i="4" s="1"/>
  <c r="BO427" i="3"/>
  <c r="BN341" i="4"/>
  <c r="AT339" i="4"/>
  <c r="AT328" i="4" s="1"/>
  <c r="BG340" i="4"/>
  <c r="AG63" i="3"/>
  <c r="AV31" i="4"/>
  <c r="AF347" i="3"/>
  <c r="BB344" i="4"/>
  <c r="BI346" i="3"/>
  <c r="BI503" i="3" s="1"/>
  <c r="BN343" i="4"/>
  <c r="BN329" i="4" s="1"/>
  <c r="AE432" i="3"/>
  <c r="AE510" i="3" s="1"/>
  <c r="AE353" i="3"/>
  <c r="AG425" i="3"/>
  <c r="AG346" i="3"/>
  <c r="AG503" i="3" s="1"/>
  <c r="AX427" i="3"/>
  <c r="S43" i="4"/>
  <c r="AA228" i="3"/>
  <c r="AU343" i="4"/>
  <c r="AU329" i="4" s="1"/>
  <c r="AZ339" i="4"/>
  <c r="AZ328" i="4" s="1"/>
  <c r="AK421" i="3"/>
  <c r="AK499" i="3" s="1"/>
  <c r="BF346" i="4"/>
  <c r="BZ344" i="4"/>
  <c r="BK426" i="3"/>
  <c r="BM367" i="3"/>
  <c r="BM446" i="3"/>
  <c r="AO367" i="3"/>
  <c r="BD350" i="4"/>
  <c r="BE63" i="3"/>
  <c r="L194" i="3"/>
  <c r="AK254" i="3"/>
  <c r="AK255" i="3"/>
  <c r="AS289" i="3"/>
  <c r="BH349" i="4" s="1"/>
  <c r="AO285" i="3"/>
  <c r="BL181" i="3"/>
  <c r="AU254" i="3"/>
  <c r="AQ285" i="3"/>
  <c r="S278" i="3"/>
  <c r="BO248" i="7"/>
  <c r="BO166" i="3" s="1"/>
  <c r="BO255" i="7"/>
  <c r="BO167" i="3" s="1"/>
  <c r="BG248" i="7"/>
  <c r="BG166" i="3" s="1"/>
  <c r="BG255" i="7"/>
  <c r="BG167" i="3"/>
  <c r="BG168" i="3" s="1"/>
  <c r="AY248" i="7"/>
  <c r="AY166" i="3" s="1"/>
  <c r="AY255" i="7"/>
  <c r="AY167" i="3"/>
  <c r="AQ248" i="7"/>
  <c r="AQ166" i="3" s="1"/>
  <c r="AQ255" i="7"/>
  <c r="AQ167" i="3"/>
  <c r="AI248" i="7"/>
  <c r="AI166" i="3" s="1"/>
  <c r="AI168" i="3" s="1"/>
  <c r="AI255" i="7"/>
  <c r="AI167" i="3" s="1"/>
  <c r="AA248" i="7"/>
  <c r="AA166" i="3" s="1"/>
  <c r="S248" i="7"/>
  <c r="S166" i="3" s="1"/>
  <c r="S255" i="7"/>
  <c r="S167" i="3"/>
  <c r="BM241" i="7"/>
  <c r="BM165" i="3" s="1"/>
  <c r="BI241" i="7"/>
  <c r="BI165" i="3"/>
  <c r="BE241" i="7"/>
  <c r="BE165" i="3" s="1"/>
  <c r="BA241" i="7"/>
  <c r="BA165" i="3" s="1"/>
  <c r="AW241" i="7"/>
  <c r="AW165" i="3" s="1"/>
  <c r="AS241" i="7"/>
  <c r="AS165" i="3" s="1"/>
  <c r="AO241" i="7"/>
  <c r="AO165" i="3" s="1"/>
  <c r="AK241" i="7"/>
  <c r="AK165" i="3"/>
  <c r="AG241" i="7"/>
  <c r="AG165" i="3" s="1"/>
  <c r="AC241" i="7"/>
  <c r="AC165" i="3"/>
  <c r="Y241" i="7"/>
  <c r="Y165" i="3" s="1"/>
  <c r="U241" i="7"/>
  <c r="U165" i="3" s="1"/>
  <c r="R241" i="7"/>
  <c r="BK248" i="7"/>
  <c r="BK166" i="3" s="1"/>
  <c r="BK255" i="7"/>
  <c r="BK167" i="3" s="1"/>
  <c r="BC248" i="7"/>
  <c r="BC166" i="3"/>
  <c r="BC255" i="7"/>
  <c r="BC167" i="3" s="1"/>
  <c r="AU248" i="7"/>
  <c r="AU166" i="3"/>
  <c r="AU255" i="7"/>
  <c r="AU167" i="3" s="1"/>
  <c r="AU168" i="3" s="1"/>
  <c r="AM248" i="7"/>
  <c r="AM166" i="3" s="1"/>
  <c r="AM255" i="7"/>
  <c r="AM167" i="3" s="1"/>
  <c r="AE248" i="7"/>
  <c r="AE166" i="3"/>
  <c r="AE255" i="7"/>
  <c r="AE167" i="3" s="1"/>
  <c r="W248" i="7"/>
  <c r="W166" i="3"/>
  <c r="W255" i="7"/>
  <c r="W167" i="3" s="1"/>
  <c r="W168" i="3" s="1"/>
  <c r="BO241" i="7"/>
  <c r="BO165" i="3"/>
  <c r="BK241" i="7"/>
  <c r="BK165" i="3" s="1"/>
  <c r="BG241" i="7"/>
  <c r="BG165" i="3"/>
  <c r="BC241" i="7"/>
  <c r="BC165" i="3" s="1"/>
  <c r="AY241" i="7"/>
  <c r="AY165" i="3" s="1"/>
  <c r="AY168" i="3" s="1"/>
  <c r="AM64" i="53" s="1"/>
  <c r="AU241" i="7"/>
  <c r="AU165" i="3" s="1"/>
  <c r="AQ241" i="7"/>
  <c r="AQ165" i="3"/>
  <c r="AQ168" i="3" s="1"/>
  <c r="AM241" i="7"/>
  <c r="AM165" i="3" s="1"/>
  <c r="AI241" i="7"/>
  <c r="AI165" i="3"/>
  <c r="AE241" i="7"/>
  <c r="AE165" i="3" s="1"/>
  <c r="AA241" i="7"/>
  <c r="AA165" i="3"/>
  <c r="W241" i="7"/>
  <c r="W165" i="3" s="1"/>
  <c r="S241" i="7"/>
  <c r="BB255" i="3"/>
  <c r="AX255" i="3"/>
  <c r="AI255" i="3"/>
  <c r="BG440" i="3"/>
  <c r="BG518" i="3" s="1"/>
  <c r="AG255" i="3"/>
  <c r="AN356" i="3"/>
  <c r="AN513" i="3" s="1"/>
  <c r="BK349" i="3"/>
  <c r="AT340" i="4"/>
  <c r="AN346" i="3"/>
  <c r="AN503" i="3" s="1"/>
  <c r="AZ402" i="3"/>
  <c r="AO344" i="3"/>
  <c r="AO501" i="3" s="1"/>
  <c r="AY426" i="3"/>
  <c r="AX355" i="3"/>
  <c r="AX512" i="3" s="1"/>
  <c r="AR346" i="4"/>
  <c r="R356" i="3"/>
  <c r="BL344" i="4"/>
  <c r="BF255" i="3"/>
  <c r="AZ255" i="3"/>
  <c r="BN349" i="3"/>
  <c r="AH344" i="4"/>
  <c r="AG324" i="3"/>
  <c r="U26" i="53"/>
  <c r="AB355" i="3"/>
  <c r="AB512" i="3" s="1"/>
  <c r="AE422" i="3"/>
  <c r="AY353" i="3"/>
  <c r="AY510" i="3" s="1"/>
  <c r="AE357" i="3"/>
  <c r="AE514" i="3" s="1"/>
  <c r="BI348" i="3"/>
  <c r="AX402" i="3"/>
  <c r="AX480" i="3"/>
  <c r="BE423" i="3"/>
  <c r="AC343" i="3"/>
  <c r="AV424" i="3"/>
  <c r="S334" i="3"/>
  <c r="BE344" i="3"/>
  <c r="AC422" i="3"/>
  <c r="AC500" i="3" s="1"/>
  <c r="AI438" i="3"/>
  <c r="AE255" i="3"/>
  <c r="BC255" i="3"/>
  <c r="R399" i="3"/>
  <c r="BI255" i="3"/>
  <c r="AU255" i="3"/>
  <c r="AX412" i="3"/>
  <c r="AR255" i="3"/>
  <c r="BG255" i="3"/>
  <c r="BD255" i="3"/>
  <c r="AB255" i="3"/>
  <c r="AH255" i="3"/>
  <c r="BA255" i="3"/>
  <c r="AN255" i="3"/>
  <c r="AW255" i="3"/>
  <c r="BH255" i="3"/>
  <c r="AM255" i="3"/>
  <c r="AO334" i="3"/>
  <c r="BP255" i="3"/>
  <c r="AJ255" i="3"/>
  <c r="BN255" i="3"/>
  <c r="BE255" i="3"/>
  <c r="AF255" i="3"/>
  <c r="AD255" i="3"/>
  <c r="AY255" i="3"/>
  <c r="AL255" i="3"/>
  <c r="AP255" i="3"/>
  <c r="BL255" i="3"/>
  <c r="BJ255" i="3"/>
  <c r="AV255" i="3"/>
  <c r="AS255" i="3"/>
  <c r="S412" i="3"/>
  <c r="AT24" i="53"/>
  <c r="AT65" i="53"/>
  <c r="AO65" i="53"/>
  <c r="AO24" i="53"/>
  <c r="AN65" i="53"/>
  <c r="AN24" i="53"/>
  <c r="AQ65" i="53"/>
  <c r="AQ24" i="53"/>
  <c r="AH65" i="53"/>
  <c r="AH24" i="53"/>
  <c r="AK65" i="53"/>
  <c r="AK24" i="53"/>
  <c r="AL65" i="53"/>
  <c r="AL24" i="53"/>
  <c r="AJ65" i="53"/>
  <c r="AJ24" i="53"/>
  <c r="AX65" i="53"/>
  <c r="AX24" i="53"/>
  <c r="AM65" i="53"/>
  <c r="AM24" i="53"/>
  <c r="V65" i="53"/>
  <c r="V24" i="53"/>
  <c r="AG65" i="53"/>
  <c r="AG24" i="53"/>
  <c r="Z65" i="53"/>
  <c r="Z24" i="53"/>
  <c r="AF65" i="53"/>
  <c r="AF24" i="53"/>
  <c r="AP65" i="53"/>
  <c r="AP24" i="53"/>
  <c r="AI65" i="53"/>
  <c r="AI24" i="53"/>
  <c r="AC65" i="53"/>
  <c r="AC24" i="53"/>
  <c r="R65" i="53"/>
  <c r="R24" i="53"/>
  <c r="AB24" i="53"/>
  <c r="AB65" i="53"/>
  <c r="AD24" i="53"/>
  <c r="AD65" i="53"/>
  <c r="AE24" i="53"/>
  <c r="AE65" i="53"/>
  <c r="Y65" i="53"/>
  <c r="Y24" i="53"/>
  <c r="BD24" i="53"/>
  <c r="BD65" i="53"/>
  <c r="X65" i="53"/>
  <c r="X24" i="53"/>
  <c r="AA65" i="53"/>
  <c r="AA24" i="53"/>
  <c r="BA65" i="53"/>
  <c r="BA24" i="53"/>
  <c r="U65" i="53"/>
  <c r="U24" i="53"/>
  <c r="AZ65" i="53"/>
  <c r="AZ24" i="53"/>
  <c r="T65" i="53"/>
  <c r="T24" i="53"/>
  <c r="BC65" i="53"/>
  <c r="BC24" i="53"/>
  <c r="W65" i="53"/>
  <c r="W24" i="53"/>
  <c r="AW65" i="53"/>
  <c r="AW24" i="53"/>
  <c r="Q24" i="53"/>
  <c r="Q65" i="53"/>
  <c r="AV65" i="53"/>
  <c r="AV24" i="53"/>
  <c r="P65" i="53"/>
  <c r="P24" i="53"/>
  <c r="AY65" i="53"/>
  <c r="AY24" i="53"/>
  <c r="S65" i="53"/>
  <c r="S24" i="53"/>
  <c r="BB65" i="53"/>
  <c r="BB24" i="53"/>
  <c r="AS65" i="53"/>
  <c r="AS24" i="53"/>
  <c r="AR65" i="53"/>
  <c r="AR24" i="53"/>
  <c r="AU65" i="53"/>
  <c r="AU24" i="53"/>
  <c r="O65" i="53"/>
  <c r="O24" i="53"/>
  <c r="S409" i="3"/>
  <c r="S331" i="3"/>
  <c r="R409" i="3"/>
  <c r="R331" i="3"/>
  <c r="AH386" i="3"/>
  <c r="Q25" i="3"/>
  <c r="Q26" i="3"/>
  <c r="P30" i="3"/>
  <c r="Q453" i="3"/>
  <c r="S4" i="3"/>
  <c r="S453" i="3"/>
  <c r="R318" i="3"/>
  <c r="F30" i="53"/>
  <c r="R396" i="3"/>
  <c r="Q4" i="3"/>
  <c r="R22" i="3"/>
  <c r="R116" i="3"/>
  <c r="R390" i="3" s="1"/>
  <c r="F51" i="53" s="1"/>
  <c r="AA363" i="3"/>
  <c r="AA520" i="3" s="1"/>
  <c r="BL438" i="3"/>
  <c r="BL516" i="3" s="1"/>
  <c r="BG356" i="3"/>
  <c r="BG513" i="3" s="1"/>
  <c r="R438" i="3"/>
  <c r="P15" i="3"/>
  <c r="AI38" i="4"/>
  <c r="BD38" i="4"/>
  <c r="AO38" i="4"/>
  <c r="AB38" i="4"/>
  <c r="BG38" i="4"/>
  <c r="AL38" i="4"/>
  <c r="AF38" i="4"/>
  <c r="AY38" i="4"/>
  <c r="BH38" i="4"/>
  <c r="AU434" i="3"/>
  <c r="AU512" i="3" s="1"/>
  <c r="AI520" i="3"/>
  <c r="AS353" i="3"/>
  <c r="AS510" i="3" s="1"/>
  <c r="BI353" i="3"/>
  <c r="BI510" i="3" s="1"/>
  <c r="AU351" i="3"/>
  <c r="BG434" i="3"/>
  <c r="AV436" i="3"/>
  <c r="BC355" i="3"/>
  <c r="BK355" i="3"/>
  <c r="T77" i="3"/>
  <c r="BO434" i="3"/>
  <c r="BO512" i="3" s="1"/>
  <c r="BE353" i="3"/>
  <c r="BE510" i="3" s="1"/>
  <c r="AY356" i="3"/>
  <c r="AY513" i="3" s="1"/>
  <c r="U77" i="3"/>
  <c r="BC518" i="3"/>
  <c r="AM355" i="3"/>
  <c r="AM512" i="3" s="1"/>
  <c r="AC432" i="3"/>
  <c r="BR347" i="4"/>
  <c r="S430" i="3"/>
  <c r="AG353" i="3"/>
  <c r="AG510" i="3" s="1"/>
  <c r="BC356" i="3"/>
  <c r="BC513" i="3" s="1"/>
  <c r="AA434" i="3"/>
  <c r="AA512" i="3" s="1"/>
  <c r="AQ434" i="3"/>
  <c r="AQ512" i="3" s="1"/>
  <c r="AU500" i="3"/>
  <c r="BN409" i="3"/>
  <c r="BN487" i="3"/>
  <c r="BE409" i="3"/>
  <c r="BE487" i="3"/>
  <c r="AO409" i="3"/>
  <c r="AO487" i="3"/>
  <c r="AD409" i="3"/>
  <c r="AD487" i="3"/>
  <c r="BH409" i="3"/>
  <c r="BH487" i="3"/>
  <c r="AR409" i="3"/>
  <c r="AR487" i="3"/>
  <c r="AB409" i="3"/>
  <c r="AB487" i="3"/>
  <c r="BB409" i="3"/>
  <c r="BB487" i="3"/>
  <c r="BK409" i="3"/>
  <c r="BK487" i="3"/>
  <c r="AU409" i="3"/>
  <c r="AU487" i="3"/>
  <c r="AE409" i="3"/>
  <c r="AE487" i="3"/>
  <c r="BF409" i="3"/>
  <c r="BF487" i="3"/>
  <c r="BA409" i="3"/>
  <c r="BA487" i="3"/>
  <c r="AK409" i="3"/>
  <c r="AK487" i="3"/>
  <c r="BD409" i="3"/>
  <c r="BD487" i="3"/>
  <c r="AN409" i="3"/>
  <c r="AN487" i="3"/>
  <c r="AP409" i="3"/>
  <c r="AP487" i="3"/>
  <c r="BG409" i="3"/>
  <c r="BG487" i="3"/>
  <c r="AQ409" i="3"/>
  <c r="AQ487" i="3"/>
  <c r="AA409" i="3"/>
  <c r="AA487" i="3"/>
  <c r="AT409" i="3"/>
  <c r="AT487" i="3"/>
  <c r="BM409" i="3"/>
  <c r="BM487" i="3"/>
  <c r="AW409" i="3"/>
  <c r="AW487" i="3"/>
  <c r="AG409" i="3"/>
  <c r="AG487" i="3"/>
  <c r="AX409" i="3"/>
  <c r="AX487" i="3"/>
  <c r="BP409" i="3"/>
  <c r="BP487" i="3"/>
  <c r="AZ409" i="3"/>
  <c r="AZ487" i="3"/>
  <c r="AJ409" i="3"/>
  <c r="AJ487" i="3"/>
  <c r="BC409" i="3"/>
  <c r="BC487" i="3"/>
  <c r="AM409" i="3"/>
  <c r="AM487" i="3"/>
  <c r="AI506" i="3"/>
  <c r="BF480" i="3"/>
  <c r="AH409" i="3"/>
  <c r="AH487" i="3"/>
  <c r="BI409" i="3"/>
  <c r="BI487" i="3"/>
  <c r="AS409" i="3"/>
  <c r="AS487" i="3"/>
  <c r="AC409" i="3"/>
  <c r="AC487" i="3"/>
  <c r="AL409" i="3"/>
  <c r="AL487" i="3"/>
  <c r="BL409" i="3"/>
  <c r="BL487" i="3"/>
  <c r="AV409" i="3"/>
  <c r="AV487" i="3"/>
  <c r="AF409" i="3"/>
  <c r="AF487" i="3"/>
  <c r="BJ409" i="3"/>
  <c r="BJ487" i="3"/>
  <c r="BO409" i="3"/>
  <c r="BO487" i="3"/>
  <c r="AY409" i="3"/>
  <c r="AY487" i="3"/>
  <c r="AI409" i="3"/>
  <c r="AI487" i="3"/>
  <c r="AS303" i="3"/>
  <c r="AD308" i="3"/>
  <c r="AD464" i="3" s="1"/>
  <c r="AV303" i="3"/>
  <c r="AV459" i="3" s="1"/>
  <c r="AZ303" i="3"/>
  <c r="BP303" i="3"/>
  <c r="BP459" i="3" s="1"/>
  <c r="BJ480" i="3"/>
  <c r="AG303" i="3"/>
  <c r="AG459" i="3" s="1"/>
  <c r="X303" i="3"/>
  <c r="X459" i="3"/>
  <c r="AN303" i="3"/>
  <c r="S324" i="3"/>
  <c r="G26" i="53"/>
  <c r="BG480" i="3"/>
  <c r="BF303" i="3"/>
  <c r="AJ303" i="3"/>
  <c r="S402" i="3"/>
  <c r="R303" i="3"/>
  <c r="AQ500" i="3"/>
  <c r="AG512" i="3"/>
  <c r="BE516" i="3"/>
  <c r="BP480" i="3"/>
  <c r="AC522" i="3"/>
  <c r="AK503" i="3"/>
  <c r="AO524" i="3"/>
  <c r="BA508" i="3"/>
  <c r="BN480" i="3"/>
  <c r="AU480" i="3"/>
  <c r="Z303" i="3"/>
  <c r="Z459" i="3" s="1"/>
  <c r="R503" i="3"/>
  <c r="AY514" i="3"/>
  <c r="AR480" i="3"/>
  <c r="T308" i="3"/>
  <c r="BK504" i="3"/>
  <c r="AX303" i="3"/>
  <c r="AX459" i="3" s="1"/>
  <c r="AP303" i="3"/>
  <c r="AP459" i="3" s="1"/>
  <c r="R381" i="3"/>
  <c r="R459" i="3" s="1"/>
  <c r="AE303" i="3"/>
  <c r="AE459" i="3"/>
  <c r="V303" i="3"/>
  <c r="V459" i="3" s="1"/>
  <c r="BE514" i="3"/>
  <c r="AG516" i="3"/>
  <c r="AH480" i="3"/>
  <c r="BL480" i="3"/>
  <c r="AO480" i="3"/>
  <c r="AU514" i="3"/>
  <c r="T42" i="4"/>
  <c r="P14" i="3"/>
  <c r="P453" i="3"/>
  <c r="AR386" i="3"/>
  <c r="BC480" i="3"/>
  <c r="BA303" i="3"/>
  <c r="Z308" i="3"/>
  <c r="BK381" i="3"/>
  <c r="AZ308" i="3"/>
  <c r="AK524" i="3"/>
  <c r="BA381" i="3"/>
  <c r="AE500" i="3"/>
  <c r="AO308" i="3"/>
  <c r="BH480" i="3"/>
  <c r="AV480" i="3"/>
  <c r="O68" i="7"/>
  <c r="AN480" i="3"/>
  <c r="V308" i="3"/>
  <c r="V464" i="3" s="1"/>
  <c r="BO480" i="3"/>
  <c r="BP247" i="3"/>
  <c r="BP327" i="3" s="1"/>
  <c r="BF381" i="3"/>
  <c r="BF459" i="3" s="1"/>
  <c r="V42" i="4"/>
  <c r="AG480" i="3"/>
  <c r="AP480" i="3"/>
  <c r="AE361" i="3"/>
  <c r="AE518" i="3" s="1"/>
  <c r="AA480" i="3"/>
  <c r="AI422" i="3"/>
  <c r="AI500" i="3" s="1"/>
  <c r="BJ343" i="4"/>
  <c r="BJ329" i="4" s="1"/>
  <c r="AX340" i="4"/>
  <c r="BK344" i="3"/>
  <c r="AJ480" i="3"/>
  <c r="BD480" i="3"/>
  <c r="AS151" i="3"/>
  <c r="AS248" i="3" s="1"/>
  <c r="AK480" i="3"/>
  <c r="AE480" i="3"/>
  <c r="AH60" i="3"/>
  <c r="AH229" i="3" s="1"/>
  <c r="AH309" i="3" s="1"/>
  <c r="V23" i="53" s="1"/>
  <c r="AP42" i="4"/>
  <c r="AX68" i="3"/>
  <c r="AX227" i="3"/>
  <c r="AX385" i="3" s="1"/>
  <c r="AB68" i="3"/>
  <c r="AN28" i="53"/>
  <c r="AD60" i="3"/>
  <c r="AD229" i="3" s="1"/>
  <c r="AD309" i="3" s="1"/>
  <c r="R23" i="53" s="1"/>
  <c r="AD307" i="3"/>
  <c r="AD463" i="3" s="1"/>
  <c r="CD340" i="4"/>
  <c r="R402" i="3"/>
  <c r="BO422" i="3"/>
  <c r="AM480" i="3"/>
  <c r="BH303" i="3"/>
  <c r="BH459" i="3" s="1"/>
  <c r="AW499" i="3"/>
  <c r="AZ247" i="3"/>
  <c r="AZ327" i="3"/>
  <c r="AZ483" i="3" s="1"/>
  <c r="AS499" i="3"/>
  <c r="AU425" i="3"/>
  <c r="AU503" i="3" s="1"/>
  <c r="AI480" i="3"/>
  <c r="AQ381" i="3"/>
  <c r="BK480" i="3"/>
  <c r="AD68" i="3"/>
  <c r="BZ341" i="4"/>
  <c r="BT347" i="4"/>
  <c r="AF480" i="3"/>
  <c r="Z480" i="3"/>
  <c r="AH68" i="3"/>
  <c r="AY480" i="3"/>
  <c r="BP308" i="3"/>
  <c r="AH151" i="3"/>
  <c r="AH248" i="3"/>
  <c r="AH406" i="3" s="1"/>
  <c r="AB480" i="3"/>
  <c r="AS480" i="3"/>
  <c r="AZ480" i="3"/>
  <c r="BO227" i="3"/>
  <c r="BO385" i="3" s="1"/>
  <c r="Y308" i="3"/>
  <c r="AJ381" i="3"/>
  <c r="AQ308" i="3"/>
  <c r="AK308" i="3"/>
  <c r="AK464" i="3" s="1"/>
  <c r="BF308" i="3"/>
  <c r="BF464" i="3" s="1"/>
  <c r="BD247" i="3"/>
  <c r="BC38" i="4"/>
  <c r="AB151" i="3"/>
  <c r="AB248" i="3"/>
  <c r="AB247" i="3"/>
  <c r="AL480" i="3"/>
  <c r="BB247" i="3"/>
  <c r="BB151" i="3"/>
  <c r="BB248" i="3"/>
  <c r="BH229" i="3"/>
  <c r="BH387" i="3" s="1"/>
  <c r="S247" i="3"/>
  <c r="S151" i="3"/>
  <c r="S248" i="3"/>
  <c r="BA346" i="3"/>
  <c r="BA503" i="3" s="1"/>
  <c r="BB308" i="3"/>
  <c r="BB464" i="3"/>
  <c r="R324" i="3"/>
  <c r="F26" i="53"/>
  <c r="BO504" i="3"/>
  <c r="AE308" i="3"/>
  <c r="AE464" i="3"/>
  <c r="AU516" i="3"/>
  <c r="R19" i="3"/>
  <c r="R296" i="3" s="1"/>
  <c r="J162" i="3"/>
  <c r="L162" i="3"/>
  <c r="S140" i="3"/>
  <c r="S22" i="3"/>
  <c r="S374" i="3" s="1"/>
  <c r="S19" i="3"/>
  <c r="S296" i="3" s="1"/>
  <c r="BB480" i="3"/>
  <c r="BG504" i="3"/>
  <c r="AC480" i="3"/>
  <c r="AC505" i="3"/>
  <c r="BG502" i="3"/>
  <c r="BL41" i="3"/>
  <c r="BL224" i="3" s="1"/>
  <c r="BL304" i="3" s="1"/>
  <c r="BP406" i="3"/>
  <c r="BP484" i="3" s="1"/>
  <c r="AQ520" i="3"/>
  <c r="AK500" i="3"/>
  <c r="BM464" i="3"/>
  <c r="AD480" i="3"/>
  <c r="S518" i="3"/>
  <c r="S514" i="3"/>
  <c r="AI518" i="3"/>
  <c r="AG505" i="3"/>
  <c r="AU518" i="3"/>
  <c r="AO522" i="3"/>
  <c r="BO502" i="3"/>
  <c r="AS524" i="3"/>
  <c r="BI508" i="3"/>
  <c r="BK518" i="3"/>
  <c r="AK516" i="3"/>
  <c r="BA480" i="3"/>
  <c r="AT480" i="3"/>
  <c r="BE480" i="3"/>
  <c r="AQ514" i="3"/>
  <c r="AW480" i="3"/>
  <c r="AW513" i="3"/>
  <c r="AO505" i="3"/>
  <c r="BC510" i="3"/>
  <c r="BI480" i="3"/>
  <c r="S217" i="3"/>
  <c r="AW524" i="3"/>
  <c r="AQ504" i="3"/>
  <c r="AI510" i="3"/>
  <c r="AQ480" i="3"/>
  <c r="BM480" i="3"/>
  <c r="BC522" i="3"/>
  <c r="S510" i="3"/>
  <c r="BC504" i="3"/>
  <c r="AK505" i="3"/>
  <c r="AZ406" i="3"/>
  <c r="T14" i="3"/>
  <c r="AC508" i="3"/>
  <c r="BK520" i="3"/>
  <c r="BF510" i="3"/>
  <c r="AG522" i="3"/>
  <c r="AF248" i="7"/>
  <c r="AF166" i="3"/>
  <c r="AF255" i="7"/>
  <c r="AF167" i="3" s="1"/>
  <c r="BL248" i="7"/>
  <c r="BL166" i="3" s="1"/>
  <c r="BL168" i="3" s="1"/>
  <c r="BL255" i="7"/>
  <c r="BL167" i="3" s="1"/>
  <c r="J48" i="9"/>
  <c r="P25" i="3"/>
  <c r="AN248" i="7"/>
  <c r="AN166" i="3" s="1"/>
  <c r="AN255" i="7"/>
  <c r="AN167" i="3" s="1"/>
  <c r="T248" i="7"/>
  <c r="T166" i="3" s="1"/>
  <c r="AJ248" i="7"/>
  <c r="AJ166" i="3" s="1"/>
  <c r="AJ255" i="7"/>
  <c r="AJ167" i="3" s="1"/>
  <c r="AZ248" i="7"/>
  <c r="AZ166" i="3" s="1"/>
  <c r="AZ168" i="3" s="1"/>
  <c r="AN64" i="53" s="1"/>
  <c r="AZ255" i="7"/>
  <c r="AZ167" i="3" s="1"/>
  <c r="BP248" i="7"/>
  <c r="BP166" i="3" s="1"/>
  <c r="BP255" i="7"/>
  <c r="BP167" i="3" s="1"/>
  <c r="AV248" i="7"/>
  <c r="AV166" i="3" s="1"/>
  <c r="AV255" i="7"/>
  <c r="AV167" i="3" s="1"/>
  <c r="AY504" i="3"/>
  <c r="X248" i="7"/>
  <c r="X166" i="3"/>
  <c r="BD248" i="7"/>
  <c r="BD166" i="3"/>
  <c r="BD255" i="7"/>
  <c r="BD167" i="3"/>
  <c r="AB248" i="7"/>
  <c r="AB166" i="3"/>
  <c r="AR248" i="7"/>
  <c r="AR166" i="3"/>
  <c r="AR255" i="7"/>
  <c r="AR167" i="3"/>
  <c r="BH248" i="7"/>
  <c r="BH166" i="3"/>
  <c r="BH255" i="7"/>
  <c r="BH167" i="3"/>
  <c r="AI335" i="4"/>
  <c r="Z60" i="3"/>
  <c r="Z229" i="3" s="1"/>
  <c r="Z309" i="3" s="1"/>
  <c r="T88" i="3"/>
  <c r="U89" i="3" s="1"/>
  <c r="T94" i="3"/>
  <c r="U95" i="3" s="1"/>
  <c r="T93" i="3"/>
  <c r="T100" i="3"/>
  <c r="U101" i="3" s="1"/>
  <c r="T87" i="3"/>
  <c r="U303" i="3"/>
  <c r="Z222" i="3"/>
  <c r="Z302" i="3" s="1"/>
  <c r="T89" i="3"/>
  <c r="AO222" i="3"/>
  <c r="AW303" i="3"/>
  <c r="AR381" i="3"/>
  <c r="BE381" i="3"/>
  <c r="BO381" i="3"/>
  <c r="BO303" i="3"/>
  <c r="BO459" i="3" s="1"/>
  <c r="AC41" i="3"/>
  <c r="AC222" i="3"/>
  <c r="AC302" i="3" s="1"/>
  <c r="AS41" i="3"/>
  <c r="AS222" i="3"/>
  <c r="W45" i="3"/>
  <c r="L34" i="3"/>
  <c r="AJ222" i="3"/>
  <c r="AC381" i="3"/>
  <c r="BD222" i="3"/>
  <c r="BD380" i="3" s="1"/>
  <c r="AK222" i="3"/>
  <c r="R255" i="7"/>
  <c r="AV38" i="4"/>
  <c r="R248" i="7"/>
  <c r="R166" i="3" s="1"/>
  <c r="U248" i="7"/>
  <c r="U166" i="3" s="1"/>
  <c r="AC248" i="7"/>
  <c r="AC166" i="3" s="1"/>
  <c r="AC255" i="7"/>
  <c r="AC167" i="3" s="1"/>
  <c r="AK248" i="7"/>
  <c r="AK166" i="3" s="1"/>
  <c r="AK255" i="7"/>
  <c r="AK167" i="3" s="1"/>
  <c r="AS248" i="7"/>
  <c r="AS166" i="3" s="1"/>
  <c r="AS255" i="7"/>
  <c r="AS167" i="3" s="1"/>
  <c r="BA248" i="7"/>
  <c r="BA166" i="3" s="1"/>
  <c r="BA255" i="7"/>
  <c r="BA167" i="3" s="1"/>
  <c r="BI248" i="7"/>
  <c r="BI166" i="3" s="1"/>
  <c r="BI255" i="7"/>
  <c r="BI167" i="3" s="1"/>
  <c r="AS405" i="3"/>
  <c r="AS327" i="3"/>
  <c r="AA386" i="3"/>
  <c r="AA308" i="3"/>
  <c r="R165" i="3"/>
  <c r="Y248" i="7"/>
  <c r="Y166" i="3" s="1"/>
  <c r="AG248" i="7"/>
  <c r="AG166" i="3" s="1"/>
  <c r="AG255" i="7"/>
  <c r="AG167" i="3" s="1"/>
  <c r="AO248" i="7"/>
  <c r="AO166" i="3" s="1"/>
  <c r="AO168" i="3" s="1"/>
  <c r="AC25" i="53" s="1"/>
  <c r="AO255" i="7"/>
  <c r="AO167" i="3" s="1"/>
  <c r="AW248" i="7"/>
  <c r="AW166" i="3" s="1"/>
  <c r="AW255" i="7"/>
  <c r="AW167" i="3" s="1"/>
  <c r="BE248" i="7"/>
  <c r="BE166" i="3" s="1"/>
  <c r="BE168" i="3" s="1"/>
  <c r="AS64" i="53" s="1"/>
  <c r="BE255" i="7"/>
  <c r="BE167" i="3" s="1"/>
  <c r="BM248" i="7"/>
  <c r="BM166" i="3" s="1"/>
  <c r="BM255" i="7"/>
  <c r="BM167" i="3" s="1"/>
  <c r="AU334" i="3"/>
  <c r="BO412" i="3"/>
  <c r="AO412" i="3"/>
  <c r="BB334" i="3"/>
  <c r="AX334" i="3"/>
  <c r="BD412" i="3"/>
  <c r="AG412" i="3"/>
  <c r="AI334" i="3"/>
  <c r="AS412" i="3"/>
  <c r="AY412" i="3"/>
  <c r="AU412" i="3"/>
  <c r="AG334" i="3"/>
  <c r="BG334" i="3"/>
  <c r="BB412" i="3"/>
  <c r="BD334" i="3"/>
  <c r="AY334" i="3"/>
  <c r="BF412" i="3"/>
  <c r="BN412" i="3"/>
  <c r="BN334" i="3"/>
  <c r="BE412" i="3"/>
  <c r="BE334" i="3"/>
  <c r="BH412" i="3"/>
  <c r="BH334" i="3"/>
  <c r="BP412" i="3"/>
  <c r="BP334" i="3"/>
  <c r="AW334" i="3"/>
  <c r="AW412" i="3"/>
  <c r="AV412" i="3"/>
  <c r="BA412" i="3"/>
  <c r="BA334" i="3"/>
  <c r="AL412" i="3"/>
  <c r="AL334" i="3"/>
  <c r="AF334" i="3"/>
  <c r="AF412" i="3"/>
  <c r="BK334" i="3"/>
  <c r="BK412" i="3"/>
  <c r="BO334" i="3"/>
  <c r="AN334" i="3"/>
  <c r="AN412" i="3"/>
  <c r="AT334" i="3"/>
  <c r="AT412" i="3"/>
  <c r="BC334" i="3"/>
  <c r="BC412" i="3"/>
  <c r="AV334" i="3"/>
  <c r="BM412" i="3"/>
  <c r="BF334" i="3"/>
  <c r="AZ412" i="3"/>
  <c r="AZ334" i="3"/>
  <c r="AM412" i="3"/>
  <c r="AH412" i="3"/>
  <c r="AH334" i="3"/>
  <c r="AQ412" i="3"/>
  <c r="AQ334" i="3"/>
  <c r="BM334" i="3"/>
  <c r="AM334" i="3"/>
  <c r="AJ412" i="3"/>
  <c r="AJ334" i="3"/>
  <c r="BL334" i="3"/>
  <c r="BL412" i="3"/>
  <c r="AK412" i="3"/>
  <c r="BJ412" i="3"/>
  <c r="AI412" i="3"/>
  <c r="AP412" i="3"/>
  <c r="AP334" i="3"/>
  <c r="BI412" i="3"/>
  <c r="BI334" i="3"/>
  <c r="AS334" i="3"/>
  <c r="AR412" i="3"/>
  <c r="AR334" i="3"/>
  <c r="BG412" i="3"/>
  <c r="AK334" i="3"/>
  <c r="BJ334" i="3"/>
  <c r="AM25" i="53"/>
  <c r="T4" i="3"/>
  <c r="T453" i="3"/>
  <c r="R487" i="3"/>
  <c r="F65" i="53"/>
  <c r="R474" i="3"/>
  <c r="R374" i="3"/>
  <c r="P26" i="3"/>
  <c r="O30" i="3"/>
  <c r="O14" i="3"/>
  <c r="P4" i="3"/>
  <c r="S116" i="3"/>
  <c r="AP63" i="53"/>
  <c r="AP62" i="53"/>
  <c r="AP61" i="53"/>
  <c r="AO60" i="53"/>
  <c r="AP60" i="53"/>
  <c r="AO62" i="53"/>
  <c r="AO59" i="53"/>
  <c r="AO61" i="53"/>
  <c r="G65" i="53"/>
  <c r="G24" i="53"/>
  <c r="F24" i="53"/>
  <c r="R167" i="3"/>
  <c r="S487" i="3"/>
  <c r="BO387" i="3"/>
  <c r="AH387" i="3"/>
  <c r="V77" i="3"/>
  <c r="AS406" i="3"/>
  <c r="AJ459" i="3"/>
  <c r="S480" i="3"/>
  <c r="BK459" i="3"/>
  <c r="AH328" i="3"/>
  <c r="AQ459" i="3"/>
  <c r="R480" i="3"/>
  <c r="BP405" i="3"/>
  <c r="BP483" i="3" s="1"/>
  <c r="AZ484" i="3"/>
  <c r="AS328" i="3"/>
  <c r="AG28" i="53"/>
  <c r="AX307" i="3"/>
  <c r="AX463" i="3" s="1"/>
  <c r="AZ405" i="3"/>
  <c r="S328" i="3"/>
  <c r="G28" i="53" s="1"/>
  <c r="BO309" i="3"/>
  <c r="BO465" i="3" s="1"/>
  <c r="BD405" i="3"/>
  <c r="BD327" i="3"/>
  <c r="S406" i="3"/>
  <c r="AV168" i="3"/>
  <c r="AJ64" i="53" s="1"/>
  <c r="AB405" i="3"/>
  <c r="AB483" i="3" s="1"/>
  <c r="AB327" i="3"/>
  <c r="BB406" i="3"/>
  <c r="BB484" i="3" s="1"/>
  <c r="BB328" i="3"/>
  <c r="AP28" i="53"/>
  <c r="AB406" i="3"/>
  <c r="AB328" i="3"/>
  <c r="P28" i="53" s="1"/>
  <c r="BB405" i="3"/>
  <c r="BB327" i="3"/>
  <c r="BL380" i="3"/>
  <c r="BL458" i="3" s="1"/>
  <c r="BH168" i="3"/>
  <c r="AV25" i="53" s="1"/>
  <c r="AN168" i="3"/>
  <c r="AB25" i="53" s="1"/>
  <c r="S327" i="3"/>
  <c r="S483" i="3" s="1"/>
  <c r="S405" i="3"/>
  <c r="BD168" i="3"/>
  <c r="AR64" i="53" s="1"/>
  <c r="T19" i="3"/>
  <c r="T296" i="3" s="1"/>
  <c r="T22" i="3"/>
  <c r="T374" i="3"/>
  <c r="T140" i="3"/>
  <c r="T217" i="3"/>
  <c r="U14" i="3"/>
  <c r="N14" i="3"/>
  <c r="Z387" i="3"/>
  <c r="AF168" i="3"/>
  <c r="AJ224" i="3"/>
  <c r="AJ382" i="3" s="1"/>
  <c r="AS302" i="3"/>
  <c r="AS380" i="3"/>
  <c r="AC380" i="3"/>
  <c r="AK302" i="3"/>
  <c r="AK380" i="3"/>
  <c r="BD224" i="3"/>
  <c r="BD304" i="3" s="1"/>
  <c r="AC224" i="3"/>
  <c r="AC304" i="3" s="1"/>
  <c r="AW459" i="3"/>
  <c r="AO302" i="3"/>
  <c r="AO380" i="3"/>
  <c r="U459" i="3"/>
  <c r="AK224" i="3"/>
  <c r="AK382" i="3" s="1"/>
  <c r="AJ302" i="3"/>
  <c r="AJ458" i="3" s="1"/>
  <c r="AJ380" i="3"/>
  <c r="AC459" i="3"/>
  <c r="AS224" i="3"/>
  <c r="BE459" i="3"/>
  <c r="AD387" i="3"/>
  <c r="AA464" i="3"/>
  <c r="BL382" i="3"/>
  <c r="AS483" i="3"/>
  <c r="S390" i="3"/>
  <c r="S312" i="3"/>
  <c r="AC64" i="53"/>
  <c r="AR25" i="53"/>
  <c r="AS25" i="53"/>
  <c r="AN25" i="53"/>
  <c r="AB64" i="53"/>
  <c r="T64" i="53"/>
  <c r="T25" i="53"/>
  <c r="N4" i="3"/>
  <c r="N453" i="3"/>
  <c r="U4" i="3"/>
  <c r="U453" i="3"/>
  <c r="O4" i="3"/>
  <c r="O453" i="3"/>
  <c r="O25" i="3"/>
  <c r="O26" i="3"/>
  <c r="N30" i="3"/>
  <c r="AH484" i="3"/>
  <c r="V28" i="53"/>
  <c r="W77" i="3"/>
  <c r="AS484" i="3"/>
  <c r="BD483" i="3"/>
  <c r="BB483" i="3"/>
  <c r="U19" i="3"/>
  <c r="U296" i="3" s="1"/>
  <c r="U22" i="3"/>
  <c r="V14" i="3"/>
  <c r="U217" i="3"/>
  <c r="U140" i="3"/>
  <c r="M14" i="3"/>
  <c r="M453" i="3"/>
  <c r="N25" i="3"/>
  <c r="BD382" i="3"/>
  <c r="AO304" i="3"/>
  <c r="AC22" i="53" s="1"/>
  <c r="AO382" i="3"/>
  <c r="AK304" i="3"/>
  <c r="AC382" i="3"/>
  <c r="Q22" i="53"/>
  <c r="G51" i="53"/>
  <c r="V4" i="3"/>
  <c r="V453" i="3"/>
  <c r="N26" i="3"/>
  <c r="M30" i="3"/>
  <c r="R30" i="3"/>
  <c r="M25" i="3"/>
  <c r="M4" i="3"/>
  <c r="U116" i="3"/>
  <c r="T116" i="3"/>
  <c r="X77" i="3"/>
  <c r="V22" i="3"/>
  <c r="V116" i="3" s="1"/>
  <c r="V19" i="3"/>
  <c r="U374" i="3"/>
  <c r="W14" i="3"/>
  <c r="V217" i="3"/>
  <c r="V140" i="3"/>
  <c r="S468" i="3"/>
  <c r="W4" i="3"/>
  <c r="W453" i="3"/>
  <c r="M26" i="3"/>
  <c r="L30" i="3"/>
  <c r="W22" i="3"/>
  <c r="W116" i="3" s="1"/>
  <c r="W19" i="3"/>
  <c r="W296" i="3" s="1"/>
  <c r="X14" i="3"/>
  <c r="W140" i="3"/>
  <c r="W217" i="3"/>
  <c r="V374" i="3"/>
  <c r="V296" i="3"/>
  <c r="R111" i="3"/>
  <c r="S92" i="3"/>
  <c r="S91" i="3"/>
  <c r="S111" i="3" s="1"/>
  <c r="S128" i="3"/>
  <c r="X4" i="3"/>
  <c r="X453" i="3"/>
  <c r="X19" i="3"/>
  <c r="X296" i="3" s="1"/>
  <c r="X22" i="3"/>
  <c r="W374" i="3"/>
  <c r="X217" i="3"/>
  <c r="X140" i="3"/>
  <c r="Y14" i="3"/>
  <c r="T92" i="3"/>
  <c r="T91" i="3" s="1"/>
  <c r="R120" i="3"/>
  <c r="AA181" i="3"/>
  <c r="Y4" i="3"/>
  <c r="Y453" i="3"/>
  <c r="X116" i="3"/>
  <c r="Y22" i="3"/>
  <c r="Y217" i="3"/>
  <c r="Y140" i="3"/>
  <c r="Z14" i="3"/>
  <c r="X374" i="3"/>
  <c r="AB181" i="3"/>
  <c r="Z4" i="3"/>
  <c r="Z453" i="3"/>
  <c r="Z22" i="3"/>
  <c r="Z374" i="3" s="1"/>
  <c r="Z19" i="3"/>
  <c r="Z296" i="3" s="1"/>
  <c r="Z217" i="3"/>
  <c r="Z140" i="3"/>
  <c r="AA14" i="3"/>
  <c r="Y374" i="3"/>
  <c r="AC181" i="3"/>
  <c r="AA4" i="3"/>
  <c r="AA453" i="3"/>
  <c r="AC44" i="3"/>
  <c r="AC50" i="3"/>
  <c r="AA22" i="3"/>
  <c r="AA374" i="3" s="1"/>
  <c r="AA19" i="3"/>
  <c r="AA140" i="3"/>
  <c r="AB14" i="3"/>
  <c r="AA217" i="3"/>
  <c r="AD181" i="3"/>
  <c r="AB4" i="3"/>
  <c r="AB453" i="3"/>
  <c r="AD44" i="3"/>
  <c r="AB19" i="3"/>
  <c r="AB296" i="3" s="1"/>
  <c r="AB22" i="3"/>
  <c r="AB374" i="3" s="1"/>
  <c r="AB217" i="3"/>
  <c r="AC14" i="3"/>
  <c r="AB140" i="3"/>
  <c r="AE181" i="3"/>
  <c r="AC4" i="3"/>
  <c r="AC453" i="3"/>
  <c r="AB116" i="3"/>
  <c r="AE44" i="3"/>
  <c r="AC19" i="3"/>
  <c r="AC296" i="3" s="1"/>
  <c r="AC22" i="3"/>
  <c r="AC374" i="3" s="1"/>
  <c r="AC140" i="3"/>
  <c r="AD14" i="3"/>
  <c r="AC217" i="3"/>
  <c r="AF181" i="3"/>
  <c r="AD4" i="3"/>
  <c r="AD453" i="3"/>
  <c r="AF44" i="3"/>
  <c r="AD22" i="3"/>
  <c r="AD116" i="3" s="1"/>
  <c r="AD19" i="3"/>
  <c r="AD140" i="3"/>
  <c r="AD217" i="3"/>
  <c r="AE14" i="3"/>
  <c r="AG181" i="3"/>
  <c r="AE4" i="3"/>
  <c r="AE453" i="3"/>
  <c r="AG44" i="3"/>
  <c r="AE19" i="3"/>
  <c r="AF14" i="3"/>
  <c r="AE217" i="3"/>
  <c r="AE140" i="3"/>
  <c r="AD296" i="3"/>
  <c r="AH181" i="3"/>
  <c r="AF4" i="3"/>
  <c r="AF453" i="3"/>
  <c r="AH44" i="3"/>
  <c r="AF19" i="3"/>
  <c r="AF296" i="3" s="1"/>
  <c r="AF22" i="3"/>
  <c r="AE296" i="3"/>
  <c r="AF140" i="3"/>
  <c r="AF217" i="3"/>
  <c r="AG14" i="3"/>
  <c r="AI181" i="3"/>
  <c r="AG4" i="3"/>
  <c r="AG453" i="3"/>
  <c r="AI44" i="3"/>
  <c r="AG19" i="3"/>
  <c r="AG22" i="3"/>
  <c r="AG374" i="3" s="1"/>
  <c r="AG217" i="3"/>
  <c r="AG140" i="3"/>
  <c r="AH14" i="3"/>
  <c r="AF374" i="3"/>
  <c r="AJ181" i="3"/>
  <c r="AH4" i="3"/>
  <c r="AH453" i="3"/>
  <c r="AJ44" i="3"/>
  <c r="AJ50" i="3"/>
  <c r="AH19" i="3"/>
  <c r="AH296" i="3" s="1"/>
  <c r="AH217" i="3"/>
  <c r="AH140" i="3"/>
  <c r="AI14" i="3"/>
  <c r="AG296" i="3"/>
  <c r="AK181" i="3"/>
  <c r="AI4" i="3"/>
  <c r="AI453" i="3"/>
  <c r="AK44" i="3"/>
  <c r="AK50" i="3"/>
  <c r="AI22" i="3"/>
  <c r="AI374" i="3" s="1"/>
  <c r="AI19" i="3"/>
  <c r="AI296" i="3" s="1"/>
  <c r="AI217" i="3"/>
  <c r="AJ14" i="3"/>
  <c r="AI140" i="3"/>
  <c r="AL181" i="3"/>
  <c r="AJ4" i="3"/>
  <c r="AJ453" i="3"/>
  <c r="AL44" i="3"/>
  <c r="AJ19" i="3"/>
  <c r="AJ296" i="3" s="1"/>
  <c r="AK14" i="3"/>
  <c r="AJ217" i="3"/>
  <c r="AJ140" i="3"/>
  <c r="AM181" i="3"/>
  <c r="AK4" i="3"/>
  <c r="AK453" i="3"/>
  <c r="AM44" i="3"/>
  <c r="AK19" i="3"/>
  <c r="AK296" i="3" s="1"/>
  <c r="AK22" i="3"/>
  <c r="AK140" i="3"/>
  <c r="AL14" i="3"/>
  <c r="AK217" i="3"/>
  <c r="AN181" i="3"/>
  <c r="AL4" i="3"/>
  <c r="AL453" i="3"/>
  <c r="AK116" i="3"/>
  <c r="AN44" i="3"/>
  <c r="AL22" i="3"/>
  <c r="AL374" i="3" s="1"/>
  <c r="AL19" i="3"/>
  <c r="AL296" i="3" s="1"/>
  <c r="AL140" i="3"/>
  <c r="AL217" i="3"/>
  <c r="AM14" i="3"/>
  <c r="AK374" i="3"/>
  <c r="AO181" i="3"/>
  <c r="AK312" i="3"/>
  <c r="AK468" i="3" s="1"/>
  <c r="AK390" i="3"/>
  <c r="Y51" i="53" s="1"/>
  <c r="AM4" i="3"/>
  <c r="AM453" i="3"/>
  <c r="AL116" i="3"/>
  <c r="AO44" i="3"/>
  <c r="AO50" i="3"/>
  <c r="AM22" i="3"/>
  <c r="AM19" i="3"/>
  <c r="AM296" i="3" s="1"/>
  <c r="AM217" i="3"/>
  <c r="AM140" i="3"/>
  <c r="AN14" i="3"/>
  <c r="AP181" i="3"/>
  <c r="AL312" i="3"/>
  <c r="AL390" i="3"/>
  <c r="Z51" i="53" s="1"/>
  <c r="AN4" i="3"/>
  <c r="AN453" i="3"/>
  <c r="AM116" i="3"/>
  <c r="AP44" i="3"/>
  <c r="AN19" i="3"/>
  <c r="AN296" i="3" s="1"/>
  <c r="AN22" i="3"/>
  <c r="AM374" i="3"/>
  <c r="AN217" i="3"/>
  <c r="AN140" i="3"/>
  <c r="AO14" i="3"/>
  <c r="AQ181" i="3"/>
  <c r="AM312" i="3"/>
  <c r="AM468" i="3" s="1"/>
  <c r="AM390" i="3"/>
  <c r="AA51" i="53" s="1"/>
  <c r="AO4" i="3"/>
  <c r="AO453" i="3"/>
  <c r="AN116" i="3"/>
  <c r="AN390" i="3" s="1"/>
  <c r="AB51" i="53" s="1"/>
  <c r="AQ44" i="3"/>
  <c r="AO19" i="3"/>
  <c r="AO22" i="3"/>
  <c r="AN374" i="3"/>
  <c r="AO140" i="3"/>
  <c r="AO217" i="3"/>
  <c r="AP14" i="3"/>
  <c r="AR181" i="3"/>
  <c r="AN312" i="3"/>
  <c r="AN468" i="3" s="1"/>
  <c r="AP4" i="3"/>
  <c r="AP453" i="3"/>
  <c r="AL468" i="3"/>
  <c r="AO116" i="3"/>
  <c r="AO390" i="3" s="1"/>
  <c r="AC51" i="53" s="1"/>
  <c r="AR44" i="3"/>
  <c r="AR50" i="3"/>
  <c r="AP22" i="3"/>
  <c r="AP116" i="3" s="1"/>
  <c r="AO296" i="3"/>
  <c r="AP217" i="3"/>
  <c r="AP140" i="3"/>
  <c r="AQ14" i="3"/>
  <c r="AO374" i="3"/>
  <c r="AS181" i="3"/>
  <c r="AO312" i="3"/>
  <c r="AO468" i="3" s="1"/>
  <c r="AQ4" i="3"/>
  <c r="AQ453" i="3"/>
  <c r="AS44" i="3"/>
  <c r="AS50" i="3"/>
  <c r="AQ22" i="3"/>
  <c r="AQ374" i="3" s="1"/>
  <c r="AQ19" i="3"/>
  <c r="AQ296" i="3" s="1"/>
  <c r="AQ217" i="3"/>
  <c r="AQ140" i="3"/>
  <c r="AR14" i="3"/>
  <c r="AP374" i="3"/>
  <c r="AT181" i="3"/>
  <c r="AR4" i="3"/>
  <c r="AR453" i="3"/>
  <c r="AQ116" i="3"/>
  <c r="AQ312" i="3" s="1"/>
  <c r="AQ468" i="3" s="1"/>
  <c r="AT44" i="3"/>
  <c r="AT50" i="3"/>
  <c r="AR19" i="3"/>
  <c r="AR296" i="3" s="1"/>
  <c r="AR22" i="3"/>
  <c r="AR217" i="3"/>
  <c r="AS14" i="3"/>
  <c r="AR140" i="3"/>
  <c r="AU181" i="3"/>
  <c r="AQ390" i="3"/>
  <c r="AE51" i="53" s="1"/>
  <c r="AS4" i="3"/>
  <c r="AS453" i="3"/>
  <c r="AR116" i="3"/>
  <c r="AR312" i="3" s="1"/>
  <c r="AR468" i="3" s="1"/>
  <c r="AU44" i="3"/>
  <c r="AS19" i="3"/>
  <c r="AS296" i="3" s="1"/>
  <c r="AS22" i="3"/>
  <c r="AS374" i="3" s="1"/>
  <c r="AR374" i="3"/>
  <c r="AS217" i="3"/>
  <c r="AS140" i="3"/>
  <c r="AT14" i="3"/>
  <c r="AV181" i="3"/>
  <c r="AR390" i="3"/>
  <c r="AT4" i="3"/>
  <c r="AT453" i="3"/>
  <c r="AV44" i="3"/>
  <c r="AT22" i="3"/>
  <c r="AT19" i="3"/>
  <c r="AT296" i="3" s="1"/>
  <c r="AT217" i="3"/>
  <c r="AT140" i="3"/>
  <c r="AU14" i="3"/>
  <c r="AW181" i="3"/>
  <c r="AU4" i="3"/>
  <c r="AU453" i="3"/>
  <c r="AT116" i="3"/>
  <c r="AS116" i="3"/>
  <c r="AS390" i="3" s="1"/>
  <c r="AG51" i="53" s="1"/>
  <c r="AW44" i="3"/>
  <c r="AU19" i="3"/>
  <c r="AU296" i="3" s="1"/>
  <c r="AU217" i="3"/>
  <c r="AU140" i="3"/>
  <c r="AV14" i="3"/>
  <c r="AT374" i="3"/>
  <c r="AS312" i="3"/>
  <c r="AS468" i="3" s="1"/>
  <c r="AT312" i="3"/>
  <c r="AT390" i="3"/>
  <c r="AV4" i="3"/>
  <c r="AV453" i="3"/>
  <c r="AF51" i="53"/>
  <c r="AX44" i="3"/>
  <c r="AV19" i="3"/>
  <c r="AV296" i="3" s="1"/>
  <c r="AV22" i="3"/>
  <c r="AV140" i="3"/>
  <c r="AV217" i="3"/>
  <c r="AW14" i="3"/>
  <c r="X491" i="3"/>
  <c r="W491" i="3"/>
  <c r="R491" i="3"/>
  <c r="U491" i="3"/>
  <c r="S491" i="3"/>
  <c r="T491" i="3"/>
  <c r="V491" i="3"/>
  <c r="R490" i="3"/>
  <c r="AI490" i="3"/>
  <c r="AP490" i="3"/>
  <c r="AS490" i="3"/>
  <c r="AU490" i="3"/>
  <c r="AW490" i="3"/>
  <c r="AW4" i="3"/>
  <c r="AW453" i="3"/>
  <c r="AH51" i="53"/>
  <c r="AV116" i="3"/>
  <c r="AV390" i="3" s="1"/>
  <c r="AJ51" i="53" s="1"/>
  <c r="AY44" i="3"/>
  <c r="AW19" i="3"/>
  <c r="AW296" i="3" s="1"/>
  <c r="AW22" i="3"/>
  <c r="AW374" i="3" s="1"/>
  <c r="AW140" i="3"/>
  <c r="AX14" i="3"/>
  <c r="AW217" i="3"/>
  <c r="AV374" i="3"/>
  <c r="AX490" i="3"/>
  <c r="AO490" i="3"/>
  <c r="AK490" i="3"/>
  <c r="AG490" i="3"/>
  <c r="AV490" i="3"/>
  <c r="AR490" i="3"/>
  <c r="AN490" i="3"/>
  <c r="AJ490" i="3"/>
  <c r="AF490" i="3"/>
  <c r="S490" i="3"/>
  <c r="AQ490" i="3"/>
  <c r="AM490" i="3"/>
  <c r="AT490" i="3"/>
  <c r="AL490" i="3"/>
  <c r="AH490" i="3"/>
  <c r="AX4" i="3"/>
  <c r="AX453" i="3"/>
  <c r="AT468" i="3"/>
  <c r="AZ44" i="3"/>
  <c r="AZ50" i="3"/>
  <c r="AX22" i="3"/>
  <c r="AX19" i="3"/>
  <c r="AX296" i="3" s="1"/>
  <c r="AX217" i="3"/>
  <c r="AX140" i="3"/>
  <c r="AY14" i="3"/>
  <c r="AY490" i="3"/>
  <c r="AY4" i="3"/>
  <c r="AY453" i="3"/>
  <c r="AX116" i="3"/>
  <c r="AW116" i="3"/>
  <c r="AW312" i="3" s="1"/>
  <c r="BA44" i="3"/>
  <c r="AY22" i="3"/>
  <c r="AY116" i="3" s="1"/>
  <c r="AY19" i="3"/>
  <c r="AY217" i="3"/>
  <c r="AY140" i="3"/>
  <c r="AZ14" i="3"/>
  <c r="AX374" i="3"/>
  <c r="AZ490" i="3"/>
  <c r="AX312" i="3"/>
  <c r="AX468" i="3" s="1"/>
  <c r="AX390" i="3"/>
  <c r="AL51" i="53" s="1"/>
  <c r="AZ4" i="3"/>
  <c r="AZ453" i="3"/>
  <c r="BB44" i="3"/>
  <c r="AZ22" i="3"/>
  <c r="AZ116" i="3" s="1"/>
  <c r="AY296" i="3"/>
  <c r="AZ140" i="3"/>
  <c r="BA14" i="3"/>
  <c r="AZ217" i="3"/>
  <c r="BA490" i="3"/>
  <c r="BA4" i="3"/>
  <c r="BA453" i="3"/>
  <c r="BB490" i="3"/>
  <c r="BC44" i="3"/>
  <c r="BA19" i="3"/>
  <c r="BA22" i="3"/>
  <c r="BA116" i="3" s="1"/>
  <c r="BA140" i="3"/>
  <c r="BA217" i="3"/>
  <c r="BB14" i="3"/>
  <c r="BB4" i="3"/>
  <c r="BB453" i="3"/>
  <c r="BC490" i="3"/>
  <c r="BD44" i="3"/>
  <c r="BD50" i="3"/>
  <c r="BB19" i="3"/>
  <c r="BB296" i="3" s="1"/>
  <c r="BB140" i="3"/>
  <c r="BC14" i="3"/>
  <c r="BB217" i="3"/>
  <c r="BA374" i="3"/>
  <c r="BA296" i="3"/>
  <c r="BC4" i="3"/>
  <c r="BC453" i="3"/>
  <c r="BE44" i="3"/>
  <c r="BE50" i="3"/>
  <c r="BC19" i="3"/>
  <c r="BC140" i="3"/>
  <c r="BD14" i="3"/>
  <c r="BC217" i="3"/>
  <c r="BD490" i="3"/>
  <c r="BD4" i="3"/>
  <c r="BD453" i="3"/>
  <c r="BF44" i="3"/>
  <c r="BD19" i="3"/>
  <c r="BD296" i="3" s="1"/>
  <c r="BD22" i="3"/>
  <c r="BD217" i="3"/>
  <c r="BD140" i="3"/>
  <c r="BE14" i="3"/>
  <c r="BC296" i="3"/>
  <c r="BE490" i="3"/>
  <c r="BE4" i="3"/>
  <c r="BE453" i="3"/>
  <c r="BD116" i="3"/>
  <c r="BD312" i="3" s="1"/>
  <c r="BD468" i="3" s="1"/>
  <c r="BG44" i="3"/>
  <c r="BG50" i="3"/>
  <c r="BE19" i="3"/>
  <c r="BE22" i="3"/>
  <c r="BE374" i="3" s="1"/>
  <c r="BF14" i="3"/>
  <c r="BE217" i="3"/>
  <c r="BE140" i="3"/>
  <c r="BD374" i="3"/>
  <c r="BF490" i="3"/>
  <c r="BD390" i="3"/>
  <c r="AR51" i="53" s="1"/>
  <c r="BF4" i="3"/>
  <c r="BF453" i="3"/>
  <c r="BG490" i="3"/>
  <c r="BE116" i="3"/>
  <c r="BE312" i="3" s="1"/>
  <c r="BH44" i="3"/>
  <c r="BF22" i="3"/>
  <c r="BF116" i="3" s="1"/>
  <c r="BF19" i="3"/>
  <c r="BF296" i="3" s="1"/>
  <c r="BG14" i="3"/>
  <c r="BF140" i="3"/>
  <c r="BF217" i="3"/>
  <c r="BE296" i="3"/>
  <c r="BG4" i="3"/>
  <c r="BG453" i="3"/>
  <c r="BI44" i="3"/>
  <c r="BI50" i="3"/>
  <c r="BH490" i="3"/>
  <c r="BG22" i="3"/>
  <c r="BG116" i="3" s="1"/>
  <c r="BG19" i="3"/>
  <c r="BG217" i="3"/>
  <c r="BH14" i="3"/>
  <c r="BG140" i="3"/>
  <c r="BF374" i="3"/>
  <c r="BH4" i="3"/>
  <c r="BH453" i="3"/>
  <c r="BJ44" i="3"/>
  <c r="BH19" i="3"/>
  <c r="BH296" i="3" s="1"/>
  <c r="BH22" i="3"/>
  <c r="BH116" i="3" s="1"/>
  <c r="BH217" i="3"/>
  <c r="BH140" i="3"/>
  <c r="BI14" i="3"/>
  <c r="BG296" i="3"/>
  <c r="BI490" i="3"/>
  <c r="BI4" i="3"/>
  <c r="BI453" i="3"/>
  <c r="BJ490" i="3"/>
  <c r="BK44" i="3"/>
  <c r="BI22" i="3"/>
  <c r="BI374" i="3" s="1"/>
  <c r="BI217" i="3"/>
  <c r="BI140" i="3"/>
  <c r="BJ14" i="3"/>
  <c r="BJ4" i="3"/>
  <c r="BJ453" i="3"/>
  <c r="BI116" i="3"/>
  <c r="BL44" i="3"/>
  <c r="BL50" i="3"/>
  <c r="BJ19" i="3"/>
  <c r="BK490" i="3"/>
  <c r="BJ140" i="3"/>
  <c r="BK14" i="3"/>
  <c r="BJ217" i="3"/>
  <c r="BI312" i="3"/>
  <c r="BI390" i="3"/>
  <c r="BK4" i="3"/>
  <c r="BK453" i="3"/>
  <c r="BM44" i="3"/>
  <c r="BK22" i="3"/>
  <c r="BK116" i="3" s="1"/>
  <c r="BK19" i="3"/>
  <c r="BL14" i="3"/>
  <c r="BK217" i="3"/>
  <c r="BK140" i="3"/>
  <c r="BL490" i="3"/>
  <c r="BL4" i="3"/>
  <c r="BL453" i="3"/>
  <c r="BM490" i="3"/>
  <c r="BN44" i="3"/>
  <c r="BN50" i="3"/>
  <c r="BL19" i="3"/>
  <c r="BL296" i="3" s="1"/>
  <c r="BL22" i="3"/>
  <c r="BK374" i="3"/>
  <c r="BK296" i="3"/>
  <c r="BL217" i="3"/>
  <c r="BL140" i="3"/>
  <c r="BM14" i="3"/>
  <c r="BM4" i="3"/>
  <c r="BM453" i="3"/>
  <c r="AW51" i="53"/>
  <c r="BI468" i="3"/>
  <c r="BL116" i="3"/>
  <c r="BP44" i="3"/>
  <c r="BO44" i="3"/>
  <c r="BM22" i="3"/>
  <c r="BL374" i="3"/>
  <c r="BM140" i="3"/>
  <c r="BN14" i="3"/>
  <c r="BM217" i="3"/>
  <c r="BN490" i="3"/>
  <c r="BL390" i="3"/>
  <c r="AZ51" i="53" s="1"/>
  <c r="BL312" i="3"/>
  <c r="BM116" i="3"/>
  <c r="BM312" i="3" s="1"/>
  <c r="BN4" i="3"/>
  <c r="BN453" i="3"/>
  <c r="BN22" i="3"/>
  <c r="BN19" i="3"/>
  <c r="BN217" i="3"/>
  <c r="BO14" i="3"/>
  <c r="BN140" i="3"/>
  <c r="BM374" i="3"/>
  <c r="BO490" i="3"/>
  <c r="BP490" i="3"/>
  <c r="BN116" i="3"/>
  <c r="BN390" i="3" s="1"/>
  <c r="BB51" i="53" s="1"/>
  <c r="BO4" i="3"/>
  <c r="BO453" i="3"/>
  <c r="BO22" i="3"/>
  <c r="BO116" i="3" s="1"/>
  <c r="BO19" i="3"/>
  <c r="BO140" i="3"/>
  <c r="BO217" i="3"/>
  <c r="BP14" i="3"/>
  <c r="BN374" i="3"/>
  <c r="BN312" i="3"/>
  <c r="BN468" i="3" s="1"/>
  <c r="BP4" i="3"/>
  <c r="BP453" i="3"/>
  <c r="L135" i="3"/>
  <c r="L103" i="3"/>
  <c r="BP19" i="3"/>
  <c r="BP296" i="3" s="1"/>
  <c r="BP22" i="3"/>
  <c r="BP140" i="3"/>
  <c r="BP217" i="3"/>
  <c r="BP374" i="3"/>
  <c r="BP116" i="3"/>
  <c r="BP312" i="3" s="1"/>
  <c r="BP468" i="3" s="1"/>
  <c r="L134" i="3"/>
  <c r="BP390" i="3"/>
  <c r="L232" i="3"/>
  <c r="BD51" i="53"/>
  <c r="J36" i="4"/>
  <c r="R70" i="7"/>
  <c r="AO44" i="53"/>
  <c r="AP44" i="53"/>
  <c r="AO45" i="53"/>
  <c r="AP45" i="53"/>
  <c r="AP46" i="53"/>
  <c r="AO47" i="53"/>
  <c r="AP49" i="53"/>
  <c r="AO49" i="53"/>
  <c r="AO46" i="53"/>
  <c r="AO48" i="53"/>
  <c r="AP48" i="53"/>
  <c r="AP47" i="53"/>
  <c r="R33" i="3"/>
  <c r="J31" i="4"/>
  <c r="J38" i="4" s="1"/>
  <c r="AI499" i="3" l="1"/>
  <c r="Z424" i="3"/>
  <c r="Z502" i="3" s="1"/>
  <c r="B1" i="51"/>
  <c r="F15" i="4"/>
  <c r="AD312" i="3"/>
  <c r="AD468" i="3" s="1"/>
  <c r="AD390" i="3"/>
  <c r="R51" i="53" s="1"/>
  <c r="AU116" i="3"/>
  <c r="AU374" i="3"/>
  <c r="BJ374" i="3"/>
  <c r="BJ116" i="3"/>
  <c r="AJ374" i="3"/>
  <c r="AJ116" i="3"/>
  <c r="BC374" i="3"/>
  <c r="BC116" i="3"/>
  <c r="BK390" i="3"/>
  <c r="AY51" i="53" s="1"/>
  <c r="BK312" i="3"/>
  <c r="BO312" i="3"/>
  <c r="BO390" i="3"/>
  <c r="BC51" i="53" s="1"/>
  <c r="BF390" i="3"/>
  <c r="AT51" i="53" s="1"/>
  <c r="BF312" i="3"/>
  <c r="BF468" i="3" s="1"/>
  <c r="AP390" i="3"/>
  <c r="AD51" i="53" s="1"/>
  <c r="AP312" i="3"/>
  <c r="AP468" i="3" s="1"/>
  <c r="AE116" i="3"/>
  <c r="AE374" i="3"/>
  <c r="AH116" i="3"/>
  <c r="AH374" i="3"/>
  <c r="BB116" i="3"/>
  <c r="BB374" i="3"/>
  <c r="BH390" i="3"/>
  <c r="AV51" i="53" s="1"/>
  <c r="BH312" i="3"/>
  <c r="AY312" i="3"/>
  <c r="AY468" i="3" s="1"/>
  <c r="AY390" i="3"/>
  <c r="AM51" i="53" s="1"/>
  <c r="T23" i="3"/>
  <c r="T375" i="3" s="1"/>
  <c r="AZ390" i="3"/>
  <c r="AN51" i="53" s="1"/>
  <c r="AZ312" i="3"/>
  <c r="AZ468" i="3" s="1"/>
  <c r="BA390" i="3"/>
  <c r="AO51" i="53" s="1"/>
  <c r="BA312" i="3"/>
  <c r="BG390" i="3"/>
  <c r="AU51" i="53" s="1"/>
  <c r="BG312" i="3"/>
  <c r="BG468" i="3" s="1"/>
  <c r="AW468" i="3"/>
  <c r="BL468" i="3"/>
  <c r="AF116" i="3"/>
  <c r="BG374" i="3"/>
  <c r="AY374" i="3"/>
  <c r="AC116" i="3"/>
  <c r="AA116" i="3"/>
  <c r="S23" i="3"/>
  <c r="S375" i="3" s="1"/>
  <c r="AD374" i="3"/>
  <c r="BH374" i="3"/>
  <c r="BO374" i="3"/>
  <c r="AZ374" i="3"/>
  <c r="AI116" i="3"/>
  <c r="Z116" i="3"/>
  <c r="Y116" i="3"/>
  <c r="L116" i="3" s="1"/>
  <c r="R312" i="3"/>
  <c r="R468" i="3" s="1"/>
  <c r="AG116" i="3"/>
  <c r="AV312" i="3"/>
  <c r="AV468" i="3" s="1"/>
  <c r="BE390" i="3"/>
  <c r="AS51" i="53" s="1"/>
  <c r="BM390" i="3"/>
  <c r="BA51" i="53" s="1"/>
  <c r="AW390" i="3"/>
  <c r="AK51" i="53" s="1"/>
  <c r="AB312" i="3"/>
  <c r="S120" i="3"/>
  <c r="Y19" i="3"/>
  <c r="Y296" i="3" s="1"/>
  <c r="AZ19" i="3"/>
  <c r="AP19" i="3"/>
  <c r="AP296" i="3" s="1"/>
  <c r="BM19" i="3"/>
  <c r="BM296" i="3" s="1"/>
  <c r="BI19" i="3"/>
  <c r="BI296" i="3" s="1"/>
  <c r="J33" i="9"/>
  <c r="E15" i="4" s="1"/>
  <c r="S20" i="3"/>
  <c r="BN296" i="3"/>
  <c r="BJ296" i="3"/>
  <c r="BO296" i="3"/>
  <c r="AZ296" i="3"/>
  <c r="AA296" i="3"/>
  <c r="D8" i="51"/>
  <c r="L8" i="51"/>
  <c r="AE334" i="3"/>
  <c r="AE412" i="3"/>
  <c r="Z181" i="3"/>
  <c r="AC424" i="3"/>
  <c r="S345" i="3"/>
  <c r="AH342" i="4"/>
  <c r="AH331" i="4" s="1"/>
  <c r="S424" i="3"/>
  <c r="X181" i="3"/>
  <c r="U206" i="3"/>
  <c r="U285" i="3"/>
  <c r="AN343" i="4"/>
  <c r="AN329" i="4" s="1"/>
  <c r="Y425" i="3"/>
  <c r="Y346" i="3"/>
  <c r="Y503" i="3" s="1"/>
  <c r="Y421" i="3"/>
  <c r="Y342" i="3"/>
  <c r="Y206" i="3"/>
  <c r="Y285" i="3"/>
  <c r="AN348" i="4" s="1"/>
  <c r="W361" i="3"/>
  <c r="W518" i="3" s="1"/>
  <c r="W440" i="3"/>
  <c r="Y356" i="3"/>
  <c r="Y435" i="3"/>
  <c r="U277" i="3"/>
  <c r="U197" i="3"/>
  <c r="Y430" i="3"/>
  <c r="Y351" i="3"/>
  <c r="W426" i="3"/>
  <c r="AL344" i="4"/>
  <c r="W347" i="3"/>
  <c r="U351" i="3"/>
  <c r="U430" i="3"/>
  <c r="AJ343" i="4"/>
  <c r="AJ329" i="4" s="1"/>
  <c r="W355" i="3"/>
  <c r="AL340" i="4"/>
  <c r="Y359" i="3"/>
  <c r="Y516" i="3" s="1"/>
  <c r="U321" i="3"/>
  <c r="I31" i="53" s="1"/>
  <c r="E31" i="53" s="1"/>
  <c r="Y355" i="3"/>
  <c r="Y512" i="3" s="1"/>
  <c r="W423" i="3"/>
  <c r="W501" i="3" s="1"/>
  <c r="U422" i="3"/>
  <c r="U500" i="3" s="1"/>
  <c r="Y423" i="3"/>
  <c r="Y344" i="3"/>
  <c r="Y347" i="3"/>
  <c r="U254" i="3"/>
  <c r="U181" i="3"/>
  <c r="J64" i="53"/>
  <c r="J25" i="53"/>
  <c r="W402" i="3"/>
  <c r="W324" i="3"/>
  <c r="I64" i="53"/>
  <c r="I25" i="53"/>
  <c r="J26" i="53"/>
  <c r="X324" i="3"/>
  <c r="X402" i="3"/>
  <c r="L25" i="53"/>
  <c r="L64" i="53"/>
  <c r="W435" i="3"/>
  <c r="W356" i="3"/>
  <c r="W513" i="3" s="1"/>
  <c r="Y432" i="3"/>
  <c r="Y353" i="3"/>
  <c r="W432" i="3"/>
  <c r="W353" i="3"/>
  <c r="Y324" i="3"/>
  <c r="Y402" i="3"/>
  <c r="U402" i="3"/>
  <c r="U324" i="3"/>
  <c r="M25" i="53"/>
  <c r="M64" i="53"/>
  <c r="AL348" i="4"/>
  <c r="U425" i="3"/>
  <c r="U503" i="3" s="1"/>
  <c r="W343" i="3"/>
  <c r="W500" i="3" s="1"/>
  <c r="W442" i="3"/>
  <c r="W520" i="3" s="1"/>
  <c r="W436" i="3"/>
  <c r="W514" i="3" s="1"/>
  <c r="V402" i="3"/>
  <c r="V480" i="3" s="1"/>
  <c r="N36" i="4"/>
  <c r="N31" i="4" s="1"/>
  <c r="AN339" i="4"/>
  <c r="AN328" i="4" s="1"/>
  <c r="Y277" i="3"/>
  <c r="AN347" i="4" s="1"/>
  <c r="W277" i="3"/>
  <c r="W181" i="3"/>
  <c r="W254" i="3"/>
  <c r="X255" i="3" s="1"/>
  <c r="Y254" i="3"/>
  <c r="Y181" i="3"/>
  <c r="V181" i="3"/>
  <c r="V254" i="3"/>
  <c r="T167" i="3"/>
  <c r="AJ62" i="53"/>
  <c r="AM61" i="53"/>
  <c r="AN59" i="53"/>
  <c r="AN61" i="53"/>
  <c r="AK63" i="53"/>
  <c r="AM59" i="53"/>
  <c r="AN63" i="53"/>
  <c r="AL61" i="53"/>
  <c r="AL60" i="53"/>
  <c r="AK60" i="53"/>
  <c r="AL59" i="53"/>
  <c r="AI61" i="53"/>
  <c r="AJ63" i="53"/>
  <c r="AJ61" i="53"/>
  <c r="T244" i="3"/>
  <c r="L143" i="3"/>
  <c r="T251" i="3"/>
  <c r="L45" i="4"/>
  <c r="AH62" i="53"/>
  <c r="L63" i="53"/>
  <c r="W59" i="53"/>
  <c r="U62" i="53"/>
  <c r="S62" i="53"/>
  <c r="N63" i="53"/>
  <c r="I62" i="53"/>
  <c r="T59" i="53"/>
  <c r="L60" i="53"/>
  <c r="AB167" i="3"/>
  <c r="R63" i="53"/>
  <c r="K62" i="53"/>
  <c r="Y63" i="53"/>
  <c r="S59" i="53"/>
  <c r="U61" i="53"/>
  <c r="F63" i="53"/>
  <c r="Z62" i="53"/>
  <c r="S60" i="53"/>
  <c r="AF60" i="53"/>
  <c r="AE63" i="53"/>
  <c r="AC63" i="53"/>
  <c r="AF62" i="53"/>
  <c r="F62" i="53"/>
  <c r="AA60" i="53"/>
  <c r="W61" i="53"/>
  <c r="G60" i="53"/>
  <c r="O60" i="53"/>
  <c r="T61" i="53"/>
  <c r="O61" i="53"/>
  <c r="O63" i="53"/>
  <c r="M59" i="53"/>
  <c r="P62" i="53"/>
  <c r="AF63" i="53"/>
  <c r="N59" i="53"/>
  <c r="V61" i="53"/>
  <c r="O59" i="53"/>
  <c r="Q59" i="53"/>
  <c r="Q63" i="53"/>
  <c r="H62" i="53"/>
  <c r="M60" i="53"/>
  <c r="AB60" i="53"/>
  <c r="L62" i="53"/>
  <c r="J63" i="53"/>
  <c r="AC61" i="53"/>
  <c r="Z61" i="53"/>
  <c r="Y59" i="53"/>
  <c r="R59" i="53"/>
  <c r="Y61" i="53"/>
  <c r="AD62" i="53"/>
  <c r="P60" i="53"/>
  <c r="AC60" i="53"/>
  <c r="M61" i="53"/>
  <c r="Y60" i="53"/>
  <c r="AG63" i="53"/>
  <c r="M63" i="53"/>
  <c r="AD63" i="53"/>
  <c r="AB62" i="53"/>
  <c r="J62" i="53"/>
  <c r="AH63" i="53"/>
  <c r="M62" i="53"/>
  <c r="N60" i="53"/>
  <c r="N61" i="53"/>
  <c r="K59" i="53"/>
  <c r="F59" i="53"/>
  <c r="V60" i="53"/>
  <c r="Z59" i="53"/>
  <c r="X60" i="53"/>
  <c r="G63" i="53"/>
  <c r="X61" i="53"/>
  <c r="Y62" i="53"/>
  <c r="AE61" i="53"/>
  <c r="W63" i="53"/>
  <c r="Q60" i="53"/>
  <c r="AH60" i="53"/>
  <c r="I60" i="53"/>
  <c r="AA62" i="53"/>
  <c r="AG60" i="53"/>
  <c r="AO351" i="3"/>
  <c r="AO430" i="3"/>
  <c r="AO508" i="3" s="1"/>
  <c r="AM367" i="3"/>
  <c r="AM446" i="3"/>
  <c r="BB350" i="4"/>
  <c r="AT350" i="4"/>
  <c r="AE446" i="3"/>
  <c r="AE367" i="3"/>
  <c r="AE524" i="3" s="1"/>
  <c r="BM211" i="3"/>
  <c r="BM289" i="3"/>
  <c r="CB349" i="4" s="1"/>
  <c r="AO211" i="3"/>
  <c r="AO289" i="3"/>
  <c r="BO444" i="3"/>
  <c r="BO365" i="3"/>
  <c r="AU365" i="3"/>
  <c r="AU444" i="3"/>
  <c r="AI444" i="3"/>
  <c r="AI365" i="3"/>
  <c r="AI522" i="3" s="1"/>
  <c r="AA365" i="3"/>
  <c r="AA522" i="3" s="1"/>
  <c r="AA444" i="3"/>
  <c r="W444" i="3"/>
  <c r="W365" i="3"/>
  <c r="AW363" i="3"/>
  <c r="AW520" i="3" s="1"/>
  <c r="AW442" i="3"/>
  <c r="AO442" i="3"/>
  <c r="AO363" i="3"/>
  <c r="AE206" i="3"/>
  <c r="AE285" i="3"/>
  <c r="AT348" i="4" s="1"/>
  <c r="S206" i="3"/>
  <c r="S285" i="3"/>
  <c r="AH348" i="4" s="1"/>
  <c r="AG440" i="3"/>
  <c r="AG361" i="3"/>
  <c r="AG518" i="3" s="1"/>
  <c r="AC440" i="3"/>
  <c r="AC361" i="3"/>
  <c r="AC518" i="3" s="1"/>
  <c r="U440" i="3"/>
  <c r="U361" i="3"/>
  <c r="AJ348" i="4"/>
  <c r="BC359" i="3"/>
  <c r="BC516" i="3" s="1"/>
  <c r="BC438" i="3"/>
  <c r="AQ438" i="3"/>
  <c r="AQ359" i="3"/>
  <c r="AQ516" i="3" s="1"/>
  <c r="AW357" i="3"/>
  <c r="AW514" i="3" s="1"/>
  <c r="AW436" i="3"/>
  <c r="BL347" i="4"/>
  <c r="AO357" i="3"/>
  <c r="AO436" i="3"/>
  <c r="BO356" i="3"/>
  <c r="BO435" i="3"/>
  <c r="AS355" i="3"/>
  <c r="AS434" i="3"/>
  <c r="AK434" i="3"/>
  <c r="AK355" i="3"/>
  <c r="AK512" i="3" s="1"/>
  <c r="BG277" i="3"/>
  <c r="BV347" i="4" s="1"/>
  <c r="BG197" i="3"/>
  <c r="BM353" i="3"/>
  <c r="BM432" i="3"/>
  <c r="BG430" i="3"/>
  <c r="BG351" i="3"/>
  <c r="BG508" i="3" s="1"/>
  <c r="AY430" i="3"/>
  <c r="AY351" i="3"/>
  <c r="AE351" i="3"/>
  <c r="AE430" i="3"/>
  <c r="BE272" i="3"/>
  <c r="BT346" i="4" s="1"/>
  <c r="BE213" i="3"/>
  <c r="BD346" i="4"/>
  <c r="AO428" i="3"/>
  <c r="AO349" i="3"/>
  <c r="AO506" i="3" s="1"/>
  <c r="AA427" i="3"/>
  <c r="AA348" i="3"/>
  <c r="AA505" i="3" s="1"/>
  <c r="AP345" i="4"/>
  <c r="AS347" i="3"/>
  <c r="AS504" i="3" s="1"/>
  <c r="AS426" i="3"/>
  <c r="BH344" i="4"/>
  <c r="W425" i="3"/>
  <c r="W346" i="3"/>
  <c r="AL343" i="4"/>
  <c r="AL329" i="4" s="1"/>
  <c r="S425" i="3"/>
  <c r="S346" i="3"/>
  <c r="AH343" i="4"/>
  <c r="AH329" i="4" s="1"/>
  <c r="BI345" i="3"/>
  <c r="BX342" i="4"/>
  <c r="BX331" i="4" s="1"/>
  <c r="BI424" i="3"/>
  <c r="BP342" i="4"/>
  <c r="BP331" i="4" s="1"/>
  <c r="BA345" i="3"/>
  <c r="BA424" i="3"/>
  <c r="AQ423" i="3"/>
  <c r="AQ344" i="3"/>
  <c r="BF341" i="4"/>
  <c r="AI344" i="3"/>
  <c r="AI423" i="3"/>
  <c r="AX341" i="4"/>
  <c r="CB340" i="4"/>
  <c r="BM422" i="3"/>
  <c r="BM343" i="3"/>
  <c r="BM500" i="3" s="1"/>
  <c r="AM444" i="3"/>
  <c r="AM365" i="3"/>
  <c r="BF348" i="4"/>
  <c r="U438" i="3"/>
  <c r="U359" i="3"/>
  <c r="BO361" i="3"/>
  <c r="BO518" i="3" s="1"/>
  <c r="BO440" i="3"/>
  <c r="AA342" i="3"/>
  <c r="AP339" i="4"/>
  <c r="AP328" i="4" s="1"/>
  <c r="AQ428" i="3"/>
  <c r="AQ349" i="3"/>
  <c r="AJ342" i="4"/>
  <c r="AJ331" i="4" s="1"/>
  <c r="U424" i="3"/>
  <c r="U345" i="3"/>
  <c r="AO213" i="3"/>
  <c r="AU421" i="3"/>
  <c r="AU342" i="3"/>
  <c r="AU499" i="3" s="1"/>
  <c r="BJ339" i="4"/>
  <c r="BJ328" i="4" s="1"/>
  <c r="BK367" i="3"/>
  <c r="BK446" i="3"/>
  <c r="AW444" i="3"/>
  <c r="AW365" i="3"/>
  <c r="AW522" i="3" s="1"/>
  <c r="BK206" i="3"/>
  <c r="BK285" i="3"/>
  <c r="BZ348" i="4" s="1"/>
  <c r="BC206" i="3"/>
  <c r="BC285" i="3"/>
  <c r="AC206" i="3"/>
  <c r="AC285" i="3"/>
  <c r="BM197" i="3"/>
  <c r="BM277" i="3"/>
  <c r="AG345" i="4"/>
  <c r="R348" i="3"/>
  <c r="R427" i="3"/>
  <c r="BO367" i="3"/>
  <c r="BO524" i="3" s="1"/>
  <c r="CD350" i="4"/>
  <c r="AY446" i="3"/>
  <c r="AY367" i="3"/>
  <c r="AY524" i="3" s="1"/>
  <c r="BN350" i="4"/>
  <c r="AU367" i="3"/>
  <c r="BJ350" i="4"/>
  <c r="BI211" i="3"/>
  <c r="BI289" i="3"/>
  <c r="BX349" i="4" s="1"/>
  <c r="AK211" i="3"/>
  <c r="AK289" i="3"/>
  <c r="BK444" i="3"/>
  <c r="BK365" i="3"/>
  <c r="BK522" i="3" s="1"/>
  <c r="BG444" i="3"/>
  <c r="BG522" i="3" s="1"/>
  <c r="BG365" i="3"/>
  <c r="AE365" i="3"/>
  <c r="AE444" i="3"/>
  <c r="AE522" i="3" s="1"/>
  <c r="BI363" i="3"/>
  <c r="BI520" i="3" s="1"/>
  <c r="BI442" i="3"/>
  <c r="BA363" i="3"/>
  <c r="BA442" i="3"/>
  <c r="AS363" i="3"/>
  <c r="AS442" i="3"/>
  <c r="AC442" i="3"/>
  <c r="AC363" i="3"/>
  <c r="Y363" i="3"/>
  <c r="Y520" i="3" s="1"/>
  <c r="Y442" i="3"/>
  <c r="BO285" i="3"/>
  <c r="BO206" i="3"/>
  <c r="AA206" i="3"/>
  <c r="AA285" i="3"/>
  <c r="AP348" i="4" s="1"/>
  <c r="AW440" i="3"/>
  <c r="AW361" i="3"/>
  <c r="AS440" i="3"/>
  <c r="AS361" i="3"/>
  <c r="AK440" i="3"/>
  <c r="AK361" i="3"/>
  <c r="AK518" i="3" s="1"/>
  <c r="Y440" i="3"/>
  <c r="Y518" i="3" s="1"/>
  <c r="Y361" i="3"/>
  <c r="CD348" i="4"/>
  <c r="BG438" i="3"/>
  <c r="BG359" i="3"/>
  <c r="AY359" i="3"/>
  <c r="AY438" i="3"/>
  <c r="BN348" i="4"/>
  <c r="AM438" i="3"/>
  <c r="AM516" i="3" s="1"/>
  <c r="AM359" i="3"/>
  <c r="AI359" i="3"/>
  <c r="AI516" i="3" s="1"/>
  <c r="AX348" i="4"/>
  <c r="AE438" i="3"/>
  <c r="AE516" i="3" s="1"/>
  <c r="AE359" i="3"/>
  <c r="W438" i="3"/>
  <c r="W359" i="3"/>
  <c r="S516" i="3"/>
  <c r="BA357" i="3"/>
  <c r="BA436" i="3"/>
  <c r="BA514" i="3" s="1"/>
  <c r="AS514" i="3"/>
  <c r="AK357" i="3"/>
  <c r="AK436" i="3"/>
  <c r="AG436" i="3"/>
  <c r="AG357" i="3"/>
  <c r="AG514" i="3" s="1"/>
  <c r="U436" i="3"/>
  <c r="L436" i="3" s="1"/>
  <c r="U357" i="3"/>
  <c r="BK356" i="3"/>
  <c r="BK435" i="3"/>
  <c r="BK513" i="3" s="1"/>
  <c r="AU435" i="3"/>
  <c r="AU356" i="3"/>
  <c r="AI435" i="3"/>
  <c r="AI356" i="3"/>
  <c r="AE435" i="3"/>
  <c r="AE356" i="3"/>
  <c r="AA356" i="3"/>
  <c r="AA435" i="3"/>
  <c r="AA513" i="3" s="1"/>
  <c r="BM434" i="3"/>
  <c r="BM355" i="3"/>
  <c r="BI434" i="3"/>
  <c r="BI355" i="3"/>
  <c r="BI512" i="3" s="1"/>
  <c r="AW434" i="3"/>
  <c r="AW355" i="3"/>
  <c r="AW512" i="3" s="1"/>
  <c r="BO277" i="3"/>
  <c r="BO197" i="3"/>
  <c r="AU197" i="3"/>
  <c r="AU277" i="3"/>
  <c r="AI197" i="3"/>
  <c r="AI277" i="3"/>
  <c r="AX347" i="4" s="1"/>
  <c r="AE197" i="3"/>
  <c r="AE277" i="3"/>
  <c r="AA197" i="3"/>
  <c r="AA277" i="3"/>
  <c r="S197" i="3"/>
  <c r="S277" i="3"/>
  <c r="BC430" i="3"/>
  <c r="BC351" i="3"/>
  <c r="AQ351" i="3"/>
  <c r="AQ430" i="3"/>
  <c r="AQ508" i="3" s="1"/>
  <c r="AM430" i="3"/>
  <c r="AM351" i="3"/>
  <c r="W430" i="3"/>
  <c r="W508" i="3" s="1"/>
  <c r="AL347" i="4"/>
  <c r="BP346" i="4"/>
  <c r="BA428" i="3"/>
  <c r="BA506" i="3" s="1"/>
  <c r="AW428" i="3"/>
  <c r="AW349" i="3"/>
  <c r="AC428" i="3"/>
  <c r="AC349" i="3"/>
  <c r="Y349" i="3"/>
  <c r="Y428" i="3"/>
  <c r="U428" i="3"/>
  <c r="U349" i="3"/>
  <c r="AU348" i="3"/>
  <c r="AU427" i="3"/>
  <c r="AU505" i="3" s="1"/>
  <c r="S348" i="3"/>
  <c r="S505" i="3" s="1"/>
  <c r="S427" i="3"/>
  <c r="AH345" i="4"/>
  <c r="BM426" i="3"/>
  <c r="BM504" i="3" s="1"/>
  <c r="CB344" i="4"/>
  <c r="BE347" i="3"/>
  <c r="BE426" i="3"/>
  <c r="BT344" i="4"/>
  <c r="AW426" i="3"/>
  <c r="AW347" i="3"/>
  <c r="BD344" i="4"/>
  <c r="AO347" i="3"/>
  <c r="AO504" i="3" s="1"/>
  <c r="AJ344" i="4"/>
  <c r="U347" i="3"/>
  <c r="U504" i="3" s="1"/>
  <c r="CD343" i="4"/>
  <c r="CD329" i="4" s="1"/>
  <c r="BO425" i="3"/>
  <c r="BC346" i="3"/>
  <c r="BC503" i="3" s="1"/>
  <c r="BC425" i="3"/>
  <c r="AI346" i="3"/>
  <c r="AI425" i="3"/>
  <c r="AT343" i="4"/>
  <c r="AT329" i="4" s="1"/>
  <c r="AE346" i="3"/>
  <c r="AE425" i="3"/>
  <c r="BM345" i="3"/>
  <c r="BM502" i="3" s="1"/>
  <c r="CB342" i="4"/>
  <c r="CB331" i="4" s="1"/>
  <c r="BE424" i="3"/>
  <c r="BT342" i="4"/>
  <c r="BT331" i="4" s="1"/>
  <c r="BE345" i="3"/>
  <c r="BE502" i="3" s="1"/>
  <c r="AO502" i="3"/>
  <c r="AG424" i="3"/>
  <c r="AG345" i="3"/>
  <c r="AG502" i="3" s="1"/>
  <c r="BO344" i="3"/>
  <c r="BO501" i="3" s="1"/>
  <c r="CD341" i="4"/>
  <c r="BG423" i="3"/>
  <c r="BV341" i="4"/>
  <c r="AY423" i="3"/>
  <c r="AY344" i="3"/>
  <c r="BJ341" i="4"/>
  <c r="AU423" i="3"/>
  <c r="AU344" i="3"/>
  <c r="AU501" i="3" s="1"/>
  <c r="AM501" i="3"/>
  <c r="AP341" i="4"/>
  <c r="AA344" i="3"/>
  <c r="AA423" i="3"/>
  <c r="S423" i="3"/>
  <c r="S344" i="3"/>
  <c r="BA343" i="3"/>
  <c r="BA422" i="3"/>
  <c r="AW266" i="3"/>
  <c r="AW213" i="3"/>
  <c r="BO342" i="3"/>
  <c r="BO421" i="3"/>
  <c r="BK342" i="3"/>
  <c r="BZ339" i="4"/>
  <c r="BZ328" i="4" s="1"/>
  <c r="BK421" i="3"/>
  <c r="BV339" i="4"/>
  <c r="BV328" i="4" s="1"/>
  <c r="BG421" i="3"/>
  <c r="BG499" i="3" s="1"/>
  <c r="BR339" i="4"/>
  <c r="BR328" i="4" s="1"/>
  <c r="BC421" i="3"/>
  <c r="AY342" i="3"/>
  <c r="BN339" i="4"/>
  <c r="BN328" i="4" s="1"/>
  <c r="AY421" i="3"/>
  <c r="AE421" i="3"/>
  <c r="AE342" i="3"/>
  <c r="AE499" i="3" s="1"/>
  <c r="BP349" i="4"/>
  <c r="BA365" i="3"/>
  <c r="BA522" i="3" s="1"/>
  <c r="AY502" i="3"/>
  <c r="Y514" i="3"/>
  <c r="BV350" i="4"/>
  <c r="BO446" i="3"/>
  <c r="R444" i="3"/>
  <c r="R522" i="3" s="1"/>
  <c r="BO346" i="3"/>
  <c r="BO503" i="3" s="1"/>
  <c r="BC499" i="3"/>
  <c r="BA347" i="3"/>
  <c r="BA504" i="3" s="1"/>
  <c r="BP344" i="4"/>
  <c r="BL346" i="4"/>
  <c r="BE361" i="3"/>
  <c r="BE518" i="3" s="1"/>
  <c r="BK348" i="3"/>
  <c r="Y424" i="3"/>
  <c r="U355" i="3"/>
  <c r="U512" i="3" s="1"/>
  <c r="AP346" i="4"/>
  <c r="AY277" i="3"/>
  <c r="S367" i="3"/>
  <c r="S524" i="3" s="1"/>
  <c r="BA277" i="3"/>
  <c r="AM206" i="3"/>
  <c r="BK427" i="3"/>
  <c r="AQ277" i="3"/>
  <c r="BF347" i="4" s="1"/>
  <c r="AI355" i="3"/>
  <c r="AI434" i="3"/>
  <c r="BE355" i="3"/>
  <c r="BE512" i="3" s="1"/>
  <c r="BK428" i="3"/>
  <c r="BK506" i="3" s="1"/>
  <c r="BZ346" i="4"/>
  <c r="S426" i="3"/>
  <c r="S347" i="3"/>
  <c r="BX350" i="4"/>
  <c r="BI367" i="3"/>
  <c r="BI524" i="3" s="1"/>
  <c r="AK365" i="3"/>
  <c r="AK522" i="3" s="1"/>
  <c r="AK444" i="3"/>
  <c r="BA513" i="3"/>
  <c r="AV347" i="4"/>
  <c r="AY355" i="3"/>
  <c r="AY512" i="3" s="1"/>
  <c r="AQ435" i="3"/>
  <c r="BI440" i="3"/>
  <c r="BI518" i="3" s="1"/>
  <c r="AA421" i="3"/>
  <c r="AM421" i="3"/>
  <c r="AM499" i="3" s="1"/>
  <c r="BZ350" i="4"/>
  <c r="BJ345" i="4"/>
  <c r="U442" i="3"/>
  <c r="U520" i="3" s="1"/>
  <c r="BA355" i="3"/>
  <c r="BA512" i="3" s="1"/>
  <c r="Y426" i="3"/>
  <c r="Y504" i="3" s="1"/>
  <c r="BE435" i="3"/>
  <c r="BE513" i="3" s="1"/>
  <c r="AX343" i="4"/>
  <c r="AX329" i="4" s="1"/>
  <c r="AX345" i="4"/>
  <c r="AK442" i="3"/>
  <c r="AK520" i="3" s="1"/>
  <c r="AQ444" i="3"/>
  <c r="AQ522" i="3" s="1"/>
  <c r="BA367" i="3"/>
  <c r="BA524" i="3" s="1"/>
  <c r="AU446" i="3"/>
  <c r="AA349" i="3"/>
  <c r="AA506" i="3" s="1"/>
  <c r="W206" i="3"/>
  <c r="AS438" i="3"/>
  <c r="AX349" i="4"/>
  <c r="BK277" i="3"/>
  <c r="BA289" i="3"/>
  <c r="AW289" i="3"/>
  <c r="BZ343" i="4"/>
  <c r="BZ329" i="4" s="1"/>
  <c r="AO424" i="3"/>
  <c r="Y345" i="3"/>
  <c r="Y502" i="3" s="1"/>
  <c r="AC434" i="3"/>
  <c r="AC512" i="3" s="1"/>
  <c r="BO363" i="3"/>
  <c r="BO520" i="3" s="1"/>
  <c r="BO442" i="3"/>
  <c r="BD348" i="4"/>
  <c r="BO505" i="3"/>
  <c r="BO432" i="3"/>
  <c r="BO510" i="3" s="1"/>
  <c r="AG504" i="3"/>
  <c r="AO266" i="3"/>
  <c r="AS359" i="3"/>
  <c r="AS516" i="3" s="1"/>
  <c r="AC289" i="3"/>
  <c r="AR349" i="4" s="1"/>
  <c r="AU285" i="3"/>
  <c r="BC427" i="3"/>
  <c r="BC348" i="3"/>
  <c r="BC505" i="3" s="1"/>
  <c r="AQ440" i="3"/>
  <c r="AQ361" i="3"/>
  <c r="AQ518" i="3" s="1"/>
  <c r="BK510" i="3"/>
  <c r="AW353" i="3"/>
  <c r="AW432" i="3"/>
  <c r="BE501" i="3"/>
  <c r="AV365" i="3"/>
  <c r="AV522" i="3" s="1"/>
  <c r="AY518" i="3"/>
  <c r="AJ285" i="3"/>
  <c r="BB349" i="4"/>
  <c r="AZ348" i="4"/>
  <c r="BG289" i="3"/>
  <c r="BV349" i="4" s="1"/>
  <c r="BG211" i="3"/>
  <c r="BI206" i="3"/>
  <c r="BI285" i="3"/>
  <c r="BO500" i="3"/>
  <c r="AI514" i="3"/>
  <c r="S506" i="3"/>
  <c r="BG514" i="3"/>
  <c r="BM522" i="3"/>
  <c r="Z357" i="3"/>
  <c r="AT349" i="4"/>
  <c r="BB432" i="3"/>
  <c r="BB510" i="3" s="1"/>
  <c r="Z361" i="3"/>
  <c r="Z518" i="3" s="1"/>
  <c r="AJ508" i="3"/>
  <c r="BP499" i="3"/>
  <c r="J9" i="57"/>
  <c r="I2" i="57"/>
  <c r="I20" i="57"/>
  <c r="H2" i="57"/>
  <c r="AD363" i="3"/>
  <c r="AD442" i="3"/>
  <c r="AX211" i="3"/>
  <c r="AX289" i="3"/>
  <c r="X365" i="3"/>
  <c r="X522" i="3" s="1"/>
  <c r="X444" i="3"/>
  <c r="AH442" i="3"/>
  <c r="AH363" i="3"/>
  <c r="AX436" i="3"/>
  <c r="AX357" i="3"/>
  <c r="BF428" i="3"/>
  <c r="BU346" i="4"/>
  <c r="BF349" i="3"/>
  <c r="AL428" i="3"/>
  <c r="AL349" i="3"/>
  <c r="BA346" i="4"/>
  <c r="BH348" i="3"/>
  <c r="BH427" i="3"/>
  <c r="BW345" i="4"/>
  <c r="AU341" i="4"/>
  <c r="AF344" i="3"/>
  <c r="AF423" i="3"/>
  <c r="R353" i="3"/>
  <c r="R432" i="3"/>
  <c r="BN363" i="3"/>
  <c r="BN442" i="3"/>
  <c r="Z363" i="3"/>
  <c r="Z442" i="3"/>
  <c r="AP361" i="3"/>
  <c r="AP440" i="3"/>
  <c r="AD436" i="3"/>
  <c r="AD357" i="3"/>
  <c r="AD514" i="3" s="1"/>
  <c r="AS346" i="4"/>
  <c r="AD349" i="3"/>
  <c r="AD506" i="3" s="1"/>
  <c r="AD428" i="3"/>
  <c r="AZ348" i="3"/>
  <c r="BO345" i="4"/>
  <c r="AZ427" i="3"/>
  <c r="AZ505" i="3" s="1"/>
  <c r="BY344" i="4"/>
  <c r="BJ347" i="3"/>
  <c r="BJ426" i="3"/>
  <c r="AU430" i="3"/>
  <c r="AU508" i="3" s="1"/>
  <c r="BJ347" i="4"/>
  <c r="AV359" i="3"/>
  <c r="AV438" i="3"/>
  <c r="AM357" i="3"/>
  <c r="AM436" i="3"/>
  <c r="R430" i="3"/>
  <c r="R351" i="3"/>
  <c r="R349" i="3"/>
  <c r="R428" i="3"/>
  <c r="BL446" i="3"/>
  <c r="BL367" i="3"/>
  <c r="CA350" i="4"/>
  <c r="AZ446" i="3"/>
  <c r="AZ367" i="3"/>
  <c r="BO350" i="4"/>
  <c r="AN367" i="3"/>
  <c r="AN446" i="3"/>
  <c r="AB446" i="3"/>
  <c r="AB367" i="3"/>
  <c r="AL211" i="3"/>
  <c r="AL289" i="3"/>
  <c r="AR444" i="3"/>
  <c r="AR365" i="3"/>
  <c r="AL442" i="3"/>
  <c r="AL363" i="3"/>
  <c r="AL520" i="3" s="1"/>
  <c r="BL206" i="3"/>
  <c r="BL285" i="3"/>
  <c r="BD206" i="3"/>
  <c r="BD285" i="3"/>
  <c r="AR206" i="3"/>
  <c r="AR285" i="3"/>
  <c r="BB440" i="3"/>
  <c r="BB361" i="3"/>
  <c r="BB518" i="3" s="1"/>
  <c r="V361" i="3"/>
  <c r="V440" i="3"/>
  <c r="T438" i="3"/>
  <c r="T359" i="3"/>
  <c r="T516" i="3" s="1"/>
  <c r="AT436" i="3"/>
  <c r="AT357" i="3"/>
  <c r="V357" i="3"/>
  <c r="V436" i="3"/>
  <c r="BL435" i="3"/>
  <c r="BL356" i="3"/>
  <c r="AJ513" i="3"/>
  <c r="BB355" i="3"/>
  <c r="BB512" i="3" s="1"/>
  <c r="BB434" i="3"/>
  <c r="Z355" i="3"/>
  <c r="Z434" i="3"/>
  <c r="BL277" i="3"/>
  <c r="BL197" i="3"/>
  <c r="BH197" i="3"/>
  <c r="BH277" i="3"/>
  <c r="BD277" i="3"/>
  <c r="BD197" i="3"/>
  <c r="AZ197" i="3"/>
  <c r="AZ277" i="3"/>
  <c r="AV197" i="3"/>
  <c r="AV277" i="3"/>
  <c r="AR197" i="3"/>
  <c r="AR277" i="3"/>
  <c r="AN197" i="3"/>
  <c r="AN277" i="3"/>
  <c r="AJ197" i="3"/>
  <c r="AJ277" i="3"/>
  <c r="AF197" i="3"/>
  <c r="AF277" i="3"/>
  <c r="AB197" i="3"/>
  <c r="AB277" i="3"/>
  <c r="AQ347" i="4" s="1"/>
  <c r="X197" i="3"/>
  <c r="X277" i="3"/>
  <c r="AM347" i="4" s="1"/>
  <c r="AX432" i="3"/>
  <c r="AX353" i="3"/>
  <c r="AT353" i="3"/>
  <c r="AT510" i="3" s="1"/>
  <c r="AT432" i="3"/>
  <c r="AP353" i="3"/>
  <c r="AP432" i="3"/>
  <c r="AD432" i="3"/>
  <c r="AD353" i="3"/>
  <c r="V432" i="3"/>
  <c r="V353" i="3"/>
  <c r="AZ430" i="3"/>
  <c r="AZ508" i="3" s="1"/>
  <c r="AZ351" i="3"/>
  <c r="AF351" i="3"/>
  <c r="AF430" i="3"/>
  <c r="T351" i="3"/>
  <c r="T430" i="3"/>
  <c r="CC346" i="4"/>
  <c r="BN428" i="3"/>
  <c r="BY346" i="4"/>
  <c r="BJ428" i="3"/>
  <c r="BJ506" i="3" s="1"/>
  <c r="BE346" i="4"/>
  <c r="AP428" i="3"/>
  <c r="AP349" i="3"/>
  <c r="V349" i="3"/>
  <c r="V506" i="3" s="1"/>
  <c r="AK346" i="4"/>
  <c r="BL348" i="3"/>
  <c r="CA345" i="4"/>
  <c r="BL427" i="3"/>
  <c r="AB348" i="3"/>
  <c r="AB427" i="3"/>
  <c r="AQ345" i="4"/>
  <c r="X427" i="3"/>
  <c r="X348" i="3"/>
  <c r="AM345" i="4"/>
  <c r="BN347" i="3"/>
  <c r="BN426" i="3"/>
  <c r="BB347" i="3"/>
  <c r="BQ344" i="4"/>
  <c r="AX347" i="3"/>
  <c r="AX426" i="3"/>
  <c r="BM344" i="4"/>
  <c r="BI344" i="4"/>
  <c r="AT347" i="3"/>
  <c r="AT426" i="3"/>
  <c r="AP347" i="3"/>
  <c r="BE344" i="4"/>
  <c r="AP426" i="3"/>
  <c r="AL426" i="3"/>
  <c r="BA344" i="4"/>
  <c r="AL347" i="3"/>
  <c r="Z347" i="3"/>
  <c r="Z426" i="3"/>
  <c r="BP346" i="3"/>
  <c r="BP425" i="3"/>
  <c r="CE343" i="4"/>
  <c r="CE329" i="4" s="1"/>
  <c r="BH425" i="3"/>
  <c r="BH346" i="3"/>
  <c r="BW343" i="4"/>
  <c r="BW329" i="4" s="1"/>
  <c r="X425" i="3"/>
  <c r="X346" i="3"/>
  <c r="AM343" i="4"/>
  <c r="AM329" i="4" s="1"/>
  <c r="AX345" i="3"/>
  <c r="BM342" i="4"/>
  <c r="BM331" i="4" s="1"/>
  <c r="AV344" i="3"/>
  <c r="AV423" i="3"/>
  <c r="BK341" i="4"/>
  <c r="X344" i="3"/>
  <c r="X423" i="3"/>
  <c r="AM341" i="4"/>
  <c r="CC340" i="4"/>
  <c r="BN422" i="3"/>
  <c r="BN343" i="3"/>
  <c r="BY340" i="4"/>
  <c r="BJ422" i="3"/>
  <c r="BJ500" i="3" s="1"/>
  <c r="BJ343" i="3"/>
  <c r="AP343" i="3"/>
  <c r="BE340" i="4"/>
  <c r="AP422" i="3"/>
  <c r="BL342" i="3"/>
  <c r="CA339" i="4"/>
  <c r="CA328" i="4" s="1"/>
  <c r="AZ421" i="3"/>
  <c r="BO339" i="4"/>
  <c r="BO328" i="4" s="1"/>
  <c r="AZ342" i="3"/>
  <c r="AF342" i="3"/>
  <c r="AF499" i="3" s="1"/>
  <c r="AU339" i="4"/>
  <c r="AU328" i="4" s="1"/>
  <c r="AM339" i="4"/>
  <c r="AM328" i="4" s="1"/>
  <c r="X342" i="3"/>
  <c r="X421" i="3"/>
  <c r="AT347" i="4"/>
  <c r="T444" i="3"/>
  <c r="T522" i="3" s="1"/>
  <c r="AF438" i="3"/>
  <c r="AF516" i="3" s="1"/>
  <c r="BG348" i="4"/>
  <c r="AB438" i="3"/>
  <c r="BD347" i="4"/>
  <c r="AZ359" i="3"/>
  <c r="AZ516" i="3" s="1"/>
  <c r="AN359" i="3"/>
  <c r="AN516" i="3" s="1"/>
  <c r="AM356" i="3"/>
  <c r="AM513" i="3" s="1"/>
  <c r="AR438" i="3"/>
  <c r="BX347" i="4"/>
  <c r="BH367" i="3"/>
  <c r="X351" i="3"/>
  <c r="X508" i="3" s="1"/>
  <c r="BC343" i="4"/>
  <c r="BC329" i="4" s="1"/>
  <c r="BH446" i="3"/>
  <c r="AL436" i="3"/>
  <c r="AL514" i="3" s="1"/>
  <c r="BM524" i="3"/>
  <c r="BF343" i="3"/>
  <c r="BM340" i="4"/>
  <c r="AF425" i="3"/>
  <c r="AF503" i="3" s="1"/>
  <c r="BL421" i="3"/>
  <c r="AI345" i="4"/>
  <c r="AI343" i="4"/>
  <c r="AI329" i="4" s="1"/>
  <c r="AH357" i="3"/>
  <c r="BB347" i="4"/>
  <c r="BB428" i="3"/>
  <c r="BB506" i="3" s="1"/>
  <c r="AD343" i="3"/>
  <c r="AD500" i="3" s="1"/>
  <c r="BH365" i="3"/>
  <c r="BH522" i="3" s="1"/>
  <c r="AO342" i="4"/>
  <c r="AO331" i="4" s="1"/>
  <c r="BQ340" i="4"/>
  <c r="BD365" i="3"/>
  <c r="BD522" i="3" s="1"/>
  <c r="BJ353" i="3"/>
  <c r="BJ510" i="3" s="1"/>
  <c r="AG346" i="4"/>
  <c r="AZ365" i="3"/>
  <c r="AZ522" i="3" s="1"/>
  <c r="BC345" i="4"/>
  <c r="BH435" i="3"/>
  <c r="BH513" i="3" s="1"/>
  <c r="BL365" i="3"/>
  <c r="BL522" i="3" s="1"/>
  <c r="BF440" i="3"/>
  <c r="BF518" i="3" s="1"/>
  <c r="AN351" i="3"/>
  <c r="BP435" i="3"/>
  <c r="BP513" i="3" s="1"/>
  <c r="BJ442" i="3"/>
  <c r="BJ520" i="3" s="1"/>
  <c r="BJ440" i="3"/>
  <c r="BJ518" i="3" s="1"/>
  <c r="AA343" i="3"/>
  <c r="AP340" i="4"/>
  <c r="AA422" i="3"/>
  <c r="AA500" i="3" s="1"/>
  <c r="AQ446" i="3"/>
  <c r="AQ367" i="3"/>
  <c r="BF350" i="4"/>
  <c r="AQ211" i="3"/>
  <c r="AQ289" i="3"/>
  <c r="T503" i="3"/>
  <c r="S435" i="3"/>
  <c r="S356" i="3"/>
  <c r="U421" i="3"/>
  <c r="U342" i="3"/>
  <c r="AJ339" i="4"/>
  <c r="AJ328" i="4" s="1"/>
  <c r="AK351" i="3"/>
  <c r="AK430" i="3"/>
  <c r="AH345" i="3"/>
  <c r="AH502" i="3" s="1"/>
  <c r="AH424" i="3"/>
  <c r="AW342" i="4"/>
  <c r="AW331" i="4" s="1"/>
  <c r="AE345" i="3"/>
  <c r="AE424" i="3"/>
  <c r="AT342" i="4"/>
  <c r="AT331" i="4" s="1"/>
  <c r="BF355" i="3"/>
  <c r="BF434" i="3"/>
  <c r="AR367" i="3"/>
  <c r="BG350" i="4"/>
  <c r="AR446" i="3"/>
  <c r="AJ446" i="3"/>
  <c r="AY350" i="4"/>
  <c r="AJ367" i="3"/>
  <c r="AH211" i="3"/>
  <c r="AH289" i="3"/>
  <c r="V211" i="3"/>
  <c r="V289" i="3"/>
  <c r="BH206" i="3"/>
  <c r="BH285" i="3"/>
  <c r="AZ206" i="3"/>
  <c r="AZ285" i="3"/>
  <c r="AV206" i="3"/>
  <c r="AV285" i="3"/>
  <c r="AN206" i="3"/>
  <c r="AN285" i="3"/>
  <c r="T206" i="3"/>
  <c r="T285" i="3"/>
  <c r="AT440" i="3"/>
  <c r="AT361" i="3"/>
  <c r="BD438" i="3"/>
  <c r="BD359" i="3"/>
  <c r="X359" i="3"/>
  <c r="X438" i="3"/>
  <c r="BN436" i="3"/>
  <c r="BN357" i="3"/>
  <c r="BF357" i="3"/>
  <c r="BF514" i="3" s="1"/>
  <c r="BF436" i="3"/>
  <c r="BD356" i="3"/>
  <c r="BD435" i="3"/>
  <c r="AV356" i="3"/>
  <c r="AV513" i="3" s="1"/>
  <c r="AV435" i="3"/>
  <c r="X356" i="3"/>
  <c r="X435" i="3"/>
  <c r="BJ355" i="3"/>
  <c r="BJ512" i="3" s="1"/>
  <c r="BJ434" i="3"/>
  <c r="AT355" i="3"/>
  <c r="AT434" i="3"/>
  <c r="AL355" i="3"/>
  <c r="AL512" i="3" s="1"/>
  <c r="AL434" i="3"/>
  <c r="V434" i="3"/>
  <c r="V355" i="3"/>
  <c r="AT428" i="3"/>
  <c r="BI346" i="4"/>
  <c r="AT349" i="3"/>
  <c r="AH349" i="3"/>
  <c r="AH506" i="3" s="1"/>
  <c r="AH428" i="3"/>
  <c r="Z349" i="3"/>
  <c r="AO346" i="4"/>
  <c r="BP427" i="3"/>
  <c r="CE345" i="4"/>
  <c r="BK345" i="4"/>
  <c r="AV427" i="3"/>
  <c r="AU345" i="4"/>
  <c r="AF348" i="3"/>
  <c r="AF505" i="3" s="1"/>
  <c r="AF427" i="3"/>
  <c r="BU344" i="4"/>
  <c r="BF347" i="3"/>
  <c r="BS343" i="4"/>
  <c r="BS329" i="4" s="1"/>
  <c r="BD425" i="3"/>
  <c r="AZ425" i="3"/>
  <c r="BO343" i="4"/>
  <c r="BO329" i="4" s="1"/>
  <c r="AR425" i="3"/>
  <c r="AR346" i="3"/>
  <c r="AJ346" i="3"/>
  <c r="AY343" i="4"/>
  <c r="AY329" i="4" s="1"/>
  <c r="AJ425" i="3"/>
  <c r="CC342" i="4"/>
  <c r="CC331" i="4" s="1"/>
  <c r="BN345" i="3"/>
  <c r="BN424" i="3"/>
  <c r="BB345" i="3"/>
  <c r="BQ342" i="4"/>
  <c r="BQ331" i="4" s="1"/>
  <c r="BB424" i="3"/>
  <c r="AT424" i="3"/>
  <c r="AT345" i="3"/>
  <c r="BI342" i="4"/>
  <c r="BI331" i="4" s="1"/>
  <c r="AP424" i="3"/>
  <c r="AP345" i="3"/>
  <c r="BE342" i="4"/>
  <c r="BE331" i="4" s="1"/>
  <c r="AL424" i="3"/>
  <c r="AL502" i="3" s="1"/>
  <c r="BA342" i="4"/>
  <c r="BA331" i="4" s="1"/>
  <c r="AD345" i="3"/>
  <c r="AD502" i="3" s="1"/>
  <c r="AD424" i="3"/>
  <c r="BL423" i="3"/>
  <c r="CA341" i="4"/>
  <c r="BL344" i="3"/>
  <c r="BL501" i="3" s="1"/>
  <c r="BO341" i="4"/>
  <c r="AZ423" i="3"/>
  <c r="AR344" i="3"/>
  <c r="AR501" i="3" s="1"/>
  <c r="BG341" i="4"/>
  <c r="AY341" i="4"/>
  <c r="AJ423" i="3"/>
  <c r="AJ501" i="3" s="1"/>
  <c r="BI340" i="4"/>
  <c r="AT343" i="3"/>
  <c r="AT500" i="3" s="1"/>
  <c r="AL422" i="3"/>
  <c r="AL343" i="3"/>
  <c r="AH422" i="3"/>
  <c r="AH343" i="3"/>
  <c r="AW340" i="4"/>
  <c r="Z343" i="3"/>
  <c r="Z500" i="3" s="1"/>
  <c r="AO340" i="4"/>
  <c r="V422" i="3"/>
  <c r="AK340" i="4"/>
  <c r="BG339" i="4"/>
  <c r="BG328" i="4" s="1"/>
  <c r="AR421" i="3"/>
  <c r="AY339" i="4"/>
  <c r="AY328" i="4" s="1"/>
  <c r="AJ342" i="3"/>
  <c r="AJ499" i="3" s="1"/>
  <c r="AB342" i="3"/>
  <c r="AB421" i="3"/>
  <c r="BO430" i="3"/>
  <c r="BO508" i="3" s="1"/>
  <c r="AP347" i="4"/>
  <c r="AA430" i="3"/>
  <c r="BP438" i="3"/>
  <c r="BP516" i="3" s="1"/>
  <c r="AJ359" i="3"/>
  <c r="AO432" i="3"/>
  <c r="R516" i="3"/>
  <c r="BN361" i="3"/>
  <c r="BN518" i="3" s="1"/>
  <c r="AX424" i="3"/>
  <c r="AZ344" i="3"/>
  <c r="BB436" i="3"/>
  <c r="AN348" i="3"/>
  <c r="AN505" i="3" s="1"/>
  <c r="AX422" i="3"/>
  <c r="AX500" i="3" s="1"/>
  <c r="AU522" i="3"/>
  <c r="AC499" i="3"/>
  <c r="BN432" i="3"/>
  <c r="BN510" i="3" s="1"/>
  <c r="AG499" i="3"/>
  <c r="BJ345" i="3"/>
  <c r="BJ502" i="3" s="1"/>
  <c r="AS340" i="4"/>
  <c r="BF422" i="3"/>
  <c r="AR427" i="3"/>
  <c r="AR505" i="3" s="1"/>
  <c r="BH421" i="3"/>
  <c r="AP355" i="3"/>
  <c r="AP512" i="3" s="1"/>
  <c r="AF444" i="3"/>
  <c r="AF522" i="3" s="1"/>
  <c r="BB422" i="3"/>
  <c r="BB500" i="3" s="1"/>
  <c r="AL353" i="3"/>
  <c r="AL510" i="3" s="1"/>
  <c r="BB426" i="3"/>
  <c r="AV430" i="3"/>
  <c r="AV508" i="3" s="1"/>
  <c r="BF424" i="3"/>
  <c r="BF502" i="3" s="1"/>
  <c r="AV348" i="3"/>
  <c r="V343" i="3"/>
  <c r="BD346" i="3"/>
  <c r="AR342" i="3"/>
  <c r="BJ357" i="3"/>
  <c r="BJ514" i="3" s="1"/>
  <c r="BL346" i="3"/>
  <c r="BH423" i="3"/>
  <c r="BF363" i="3"/>
  <c r="BF520" i="3" s="1"/>
  <c r="BB442" i="3"/>
  <c r="BB520" i="3" s="1"/>
  <c r="BD430" i="3"/>
  <c r="BD508" i="3" s="1"/>
  <c r="AP436" i="3"/>
  <c r="AP514" i="3" s="1"/>
  <c r="BP351" i="3"/>
  <c r="BP508" i="3" s="1"/>
  <c r="BP348" i="3"/>
  <c r="AZ346" i="3"/>
  <c r="BP277" i="3"/>
  <c r="BD423" i="3"/>
  <c r="BD501" i="3" s="1"/>
  <c r="BF426" i="3"/>
  <c r="S421" i="3"/>
  <c r="AH339" i="4"/>
  <c r="AH328" i="4" s="1"/>
  <c r="S342" i="3"/>
  <c r="AE349" i="3"/>
  <c r="AE506" i="3" s="1"/>
  <c r="AT346" i="4"/>
  <c r="BI343" i="3"/>
  <c r="BI422" i="3"/>
  <c r="S444" i="3"/>
  <c r="S522" i="3" s="1"/>
  <c r="S365" i="3"/>
  <c r="AV348" i="4"/>
  <c r="AG442" i="3"/>
  <c r="AG520" i="3" s="1"/>
  <c r="CB343" i="4"/>
  <c r="CB329" i="4" s="1"/>
  <c r="BM346" i="3"/>
  <c r="BM425" i="3"/>
  <c r="AO355" i="3"/>
  <c r="AO434" i="3"/>
  <c r="AB356" i="3"/>
  <c r="AB435" i="3"/>
  <c r="R436" i="3"/>
  <c r="R357" i="3"/>
  <c r="BP446" i="3"/>
  <c r="BP367" i="3"/>
  <c r="BS350" i="4"/>
  <c r="BD446" i="3"/>
  <c r="BD524" i="3" s="1"/>
  <c r="BK350" i="4"/>
  <c r="AV446" i="3"/>
  <c r="AV367" i="3"/>
  <c r="AF367" i="3"/>
  <c r="AF524" i="3" s="1"/>
  <c r="AF446" i="3"/>
  <c r="BN211" i="3"/>
  <c r="BN289" i="3"/>
  <c r="CC349" i="4" s="1"/>
  <c r="BJ211" i="3"/>
  <c r="BJ289" i="3"/>
  <c r="BB211" i="3"/>
  <c r="BB289" i="3"/>
  <c r="AP211" i="3"/>
  <c r="AP289" i="3"/>
  <c r="AJ365" i="3"/>
  <c r="AJ444" i="3"/>
  <c r="AT363" i="3"/>
  <c r="AT520" i="3" s="1"/>
  <c r="AT442" i="3"/>
  <c r="X206" i="3"/>
  <c r="X285" i="3"/>
  <c r="AX361" i="3"/>
  <c r="AX518" i="3" s="1"/>
  <c r="AX440" i="3"/>
  <c r="AL361" i="3"/>
  <c r="AL440" i="3"/>
  <c r="BB514" i="3"/>
  <c r="AZ435" i="3"/>
  <c r="AZ356" i="3"/>
  <c r="AR435" i="3"/>
  <c r="AR356" i="3"/>
  <c r="AF356" i="3"/>
  <c r="AF435" i="3"/>
  <c r="AH434" i="3"/>
  <c r="AH355" i="3"/>
  <c r="BK339" i="4"/>
  <c r="BK328" i="4" s="1"/>
  <c r="AV421" i="3"/>
  <c r="AN421" i="3"/>
  <c r="AN499" i="3" s="1"/>
  <c r="BC339" i="4"/>
  <c r="BC328" i="4" s="1"/>
  <c r="T342" i="3"/>
  <c r="T421" i="3"/>
  <c r="AH347" i="4"/>
  <c r="AE434" i="3"/>
  <c r="BH438" i="3"/>
  <c r="BH516" i="3" s="1"/>
  <c r="AP363" i="3"/>
  <c r="AP520" i="3" s="1"/>
  <c r="AV342" i="3"/>
  <c r="AM432" i="3"/>
  <c r="AM510" i="3" s="1"/>
  <c r="AH353" i="3"/>
  <c r="CE339" i="4"/>
  <c r="CE328" i="4" s="1"/>
  <c r="BL425" i="3"/>
  <c r="BP444" i="3"/>
  <c r="BP522" i="3" s="1"/>
  <c r="AH361" i="3"/>
  <c r="AH518" i="3" s="1"/>
  <c r="AY501" i="3"/>
  <c r="Z428" i="3"/>
  <c r="CD347" i="4"/>
  <c r="BA340" i="4"/>
  <c r="BG345" i="4"/>
  <c r="BH342" i="3"/>
  <c r="BS339" i="4"/>
  <c r="BS328" i="4" s="1"/>
  <c r="BG510" i="3"/>
  <c r="BD421" i="3"/>
  <c r="BD499" i="3" s="1"/>
  <c r="AD440" i="3"/>
  <c r="AD518" i="3" s="1"/>
  <c r="AW518" i="3"/>
  <c r="BK524" i="3"/>
  <c r="BD348" i="3"/>
  <c r="BD505" i="3" s="1"/>
  <c r="BU342" i="4"/>
  <c r="BU331" i="4" s="1"/>
  <c r="AX442" i="3"/>
  <c r="AX520" i="3" s="1"/>
  <c r="AW346" i="4"/>
  <c r="AS342" i="4"/>
  <c r="AS331" i="4" s="1"/>
  <c r="AO344" i="4"/>
  <c r="BH344" i="3"/>
  <c r="AD355" i="3"/>
  <c r="AB444" i="3"/>
  <c r="AB522" i="3" s="1"/>
  <c r="CC344" i="4"/>
  <c r="T197" i="3"/>
  <c r="BI365" i="3"/>
  <c r="BI444" i="3"/>
  <c r="AK344" i="3"/>
  <c r="AK501" i="3" s="1"/>
  <c r="AK423" i="3"/>
  <c r="AZ341" i="4"/>
  <c r="BE428" i="3"/>
  <c r="BE349" i="3"/>
  <c r="BE430" i="3"/>
  <c r="BE351" i="3"/>
  <c r="BE442" i="3"/>
  <c r="BE363" i="3"/>
  <c r="AG341" i="4"/>
  <c r="R423" i="3"/>
  <c r="AK345" i="3"/>
  <c r="AK424" i="3"/>
  <c r="BC211" i="3"/>
  <c r="BC289" i="3"/>
  <c r="BR349" i="4" s="1"/>
  <c r="BI436" i="3"/>
  <c r="BI357" i="3"/>
  <c r="BI499" i="3"/>
  <c r="BM514" i="3"/>
  <c r="AE348" i="3"/>
  <c r="R344" i="3"/>
  <c r="S213" i="3"/>
  <c r="AE427" i="3"/>
  <c r="AH341" i="4"/>
  <c r="BA518" i="3"/>
  <c r="BO499" i="3"/>
  <c r="BN340" i="4"/>
  <c r="AI501" i="3"/>
  <c r="AO359" i="3"/>
  <c r="AO516" i="3" s="1"/>
  <c r="AE503" i="3"/>
  <c r="AY499" i="3"/>
  <c r="AA518" i="3"/>
  <c r="AC516" i="3"/>
  <c r="BA502" i="3"/>
  <c r="BT339" i="4"/>
  <c r="BT328" i="4" s="1"/>
  <c r="BE421" i="3"/>
  <c r="BE499" i="3" s="1"/>
  <c r="AM428" i="3"/>
  <c r="AM349" i="3"/>
  <c r="AG349" i="3"/>
  <c r="AG506" i="3" s="1"/>
  <c r="AG428" i="3"/>
  <c r="AU268" i="3"/>
  <c r="AU213" i="3"/>
  <c r="AN340" i="4"/>
  <c r="Y422" i="3"/>
  <c r="Y500" i="3" s="1"/>
  <c r="AH349" i="4"/>
  <c r="AA438" i="3"/>
  <c r="AA516" i="3" s="1"/>
  <c r="BT348" i="4"/>
  <c r="Y508" i="3"/>
  <c r="BM520" i="3"/>
  <c r="AS505" i="3"/>
  <c r="AO520" i="3"/>
  <c r="AH350" i="4"/>
  <c r="AJ340" i="4"/>
  <c r="BJ349" i="4"/>
  <c r="AZ349" i="4"/>
  <c r="AC520" i="3"/>
  <c r="BC349" i="4"/>
  <c r="AQ349" i="4"/>
  <c r="AA168" i="3"/>
  <c r="O64" i="53" s="1"/>
  <c r="L167" i="3"/>
  <c r="Q62" i="53"/>
  <c r="R45" i="4"/>
  <c r="Z251" i="3"/>
  <c r="Q45" i="4"/>
  <c r="Y251" i="3"/>
  <c r="V251" i="3"/>
  <c r="N45" i="4"/>
  <c r="W251" i="3"/>
  <c r="O45" i="4"/>
  <c r="X251" i="3"/>
  <c r="M45" i="4"/>
  <c r="U251" i="3"/>
  <c r="O36" i="4"/>
  <c r="O31" i="4" s="1"/>
  <c r="AR350" i="4"/>
  <c r="AC446" i="3"/>
  <c r="AC367" i="3"/>
  <c r="AC213" i="3"/>
  <c r="AQ350" i="4"/>
  <c r="Z380" i="3"/>
  <c r="AB425" i="3"/>
  <c r="AQ343" i="4"/>
  <c r="AQ329" i="4" s="1"/>
  <c r="AB346" i="3"/>
  <c r="AA67" i="3"/>
  <c r="AA58" i="3"/>
  <c r="S36" i="4"/>
  <c r="T181" i="3"/>
  <c r="T254" i="3"/>
  <c r="L171" i="3"/>
  <c r="T58" i="3"/>
  <c r="BM303" i="3"/>
  <c r="BM459" i="3" s="1"/>
  <c r="L47" i="3"/>
  <c r="Y381" i="3"/>
  <c r="Y303" i="3"/>
  <c r="Y459" i="3" s="1"/>
  <c r="AZ31" i="4"/>
  <c r="AW47" i="3"/>
  <c r="AW39" i="3"/>
  <c r="AH46" i="3"/>
  <c r="AH39" i="3"/>
  <c r="AJ304" i="3"/>
  <c r="AK458" i="3"/>
  <c r="O67" i="7"/>
  <c r="O15" i="3"/>
  <c r="AC460" i="3"/>
  <c r="AS458" i="3"/>
  <c r="AR222" i="3"/>
  <c r="AR41" i="3"/>
  <c r="AR224" i="3" s="1"/>
  <c r="S381" i="3"/>
  <c r="AR31" i="4"/>
  <c r="AR38" i="4" s="1"/>
  <c r="AU31" i="4"/>
  <c r="AU38" i="4" s="1"/>
  <c r="AJ31" i="4"/>
  <c r="AJ38" i="4" s="1"/>
  <c r="BF31" i="4"/>
  <c r="BF38" i="4" s="1"/>
  <c r="BB31" i="4"/>
  <c r="BB38" i="4" s="1"/>
  <c r="AX31" i="4"/>
  <c r="AX38" i="4" s="1"/>
  <c r="AP31" i="4"/>
  <c r="AP38" i="4" s="1"/>
  <c r="Y38" i="4"/>
  <c r="BN223" i="3"/>
  <c r="BF40" i="4"/>
  <c r="BJ223" i="3"/>
  <c r="BB40" i="4"/>
  <c r="AT40" i="4"/>
  <c r="BB223" i="3"/>
  <c r="AL223" i="3"/>
  <c r="AD40" i="4"/>
  <c r="AF223" i="3"/>
  <c r="X40" i="4"/>
  <c r="AB223" i="3"/>
  <c r="T40" i="4"/>
  <c r="AL48" i="3"/>
  <c r="L48" i="3" s="1"/>
  <c r="AL39" i="3"/>
  <c r="BJ45" i="3"/>
  <c r="BJ39" i="3"/>
  <c r="AU39" i="3"/>
  <c r="AU50" i="3" s="1"/>
  <c r="AO458" i="3"/>
  <c r="AZ222" i="3"/>
  <c r="BA459" i="3"/>
  <c r="BI381" i="3"/>
  <c r="BI303" i="3"/>
  <c r="S459" i="3"/>
  <c r="AS31" i="4"/>
  <c r="AS38" i="4" s="1"/>
  <c r="BE31" i="4"/>
  <c r="BE38" i="4" s="1"/>
  <c r="AK31" i="4"/>
  <c r="U31" i="4"/>
  <c r="U38" i="4" s="1"/>
  <c r="S399" i="3"/>
  <c r="S321" i="3"/>
  <c r="G31" i="53" s="1"/>
  <c r="AA381" i="3"/>
  <c r="AA303" i="3"/>
  <c r="AA459" i="3" s="1"/>
  <c r="AN48" i="3"/>
  <c r="AN39" i="3"/>
  <c r="BB46" i="3"/>
  <c r="BB39" i="3"/>
  <c r="BB50" i="3" s="1"/>
  <c r="AI45" i="3"/>
  <c r="AI39" i="3"/>
  <c r="BA31" i="4"/>
  <c r="L35" i="3"/>
  <c r="P67" i="7"/>
  <c r="T67" i="7"/>
  <c r="W223" i="3"/>
  <c r="W381" i="3" s="1"/>
  <c r="BO39" i="3"/>
  <c r="BC39" i="3"/>
  <c r="AY39" i="3"/>
  <c r="AY50" i="3" s="1"/>
  <c r="AQ39" i="3"/>
  <c r="AM39" i="3"/>
  <c r="AE39" i="3"/>
  <c r="AE50" i="3" s="1"/>
  <c r="AA39" i="3"/>
  <c r="AA41" i="3" s="1"/>
  <c r="AA224" i="3" s="1"/>
  <c r="AA382" i="3" s="1"/>
  <c r="AA460" i="3" s="1"/>
  <c r="W39" i="3"/>
  <c r="W41" i="3" s="1"/>
  <c r="W224" i="3" s="1"/>
  <c r="AA211" i="3"/>
  <c r="AA289" i="3"/>
  <c r="Y211" i="3"/>
  <c r="Y289" i="3"/>
  <c r="Z211" i="3"/>
  <c r="W289" i="3"/>
  <c r="U211" i="3"/>
  <c r="U289" i="3"/>
  <c r="AA268" i="3"/>
  <c r="AA213" i="3"/>
  <c r="W345" i="3"/>
  <c r="W502" i="3" s="1"/>
  <c r="AL342" i="4"/>
  <c r="AL331" i="4" s="1"/>
  <c r="X446" i="3"/>
  <c r="AM350" i="4"/>
  <c r="X367" i="3"/>
  <c r="Y367" i="3"/>
  <c r="Y446" i="3"/>
  <c r="AN350" i="4"/>
  <c r="U446" i="3"/>
  <c r="AJ350" i="4"/>
  <c r="U367" i="3"/>
  <c r="W446" i="3"/>
  <c r="AL350" i="4"/>
  <c r="W367" i="3"/>
  <c r="T446" i="3"/>
  <c r="AI350" i="4"/>
  <c r="T367" i="3"/>
  <c r="V74" i="3"/>
  <c r="Y312" i="3"/>
  <c r="Y390" i="3"/>
  <c r="M51" i="53" s="1"/>
  <c r="X74" i="3"/>
  <c r="U124" i="3"/>
  <c r="Z74" i="3"/>
  <c r="T79" i="3"/>
  <c r="T74" i="3"/>
  <c r="L73" i="3"/>
  <c r="W74" i="3"/>
  <c r="AB390" i="3"/>
  <c r="P51" i="53" s="1"/>
  <c r="AA74" i="3"/>
  <c r="AA304" i="3"/>
  <c r="S31" i="4"/>
  <c r="S38" i="4" s="1"/>
  <c r="R31" i="4"/>
  <c r="R38" i="4" s="1"/>
  <c r="Y70" i="7"/>
  <c r="Y33" i="3" s="1"/>
  <c r="I35" i="4"/>
  <c r="AT321" i="3"/>
  <c r="AH31" i="53" s="1"/>
  <c r="AJ399" i="3"/>
  <c r="AJ477" i="3" s="1"/>
  <c r="BJ321" i="3"/>
  <c r="AX31" i="53" s="1"/>
  <c r="AX321" i="3"/>
  <c r="AL31" i="53" s="1"/>
  <c r="T33" i="3"/>
  <c r="AN46" i="53"/>
  <c r="AN48" i="53"/>
  <c r="AN47" i="53"/>
  <c r="AN45" i="53"/>
  <c r="AL47" i="53"/>
  <c r="AL49" i="53"/>
  <c r="AK49" i="53"/>
  <c r="AN44" i="53"/>
  <c r="AN49" i="53"/>
  <c r="L36" i="4"/>
  <c r="L31" i="4" s="1"/>
  <c r="AA222" i="3"/>
  <c r="Z458" i="3"/>
  <c r="BB321" i="3"/>
  <c r="AP31" i="53" s="1"/>
  <c r="AI321" i="3"/>
  <c r="W31" i="53" s="1"/>
  <c r="BN399" i="3"/>
  <c r="BN477" i="3" s="1"/>
  <c r="X33" i="3"/>
  <c r="P36" i="4"/>
  <c r="P31" i="4" s="1"/>
  <c r="P38" i="4" s="1"/>
  <c r="AA321" i="3"/>
  <c r="O31" i="53" s="1"/>
  <c r="AO399" i="3"/>
  <c r="AO477" i="3" s="1"/>
  <c r="I34" i="4"/>
  <c r="AB321" i="3"/>
  <c r="P31" i="53" s="1"/>
  <c r="AH399" i="3"/>
  <c r="AH477" i="3" s="1"/>
  <c r="AS399" i="3"/>
  <c r="AS477" i="3" s="1"/>
  <c r="U33" i="3"/>
  <c r="AJ45" i="53"/>
  <c r="AL44" i="53"/>
  <c r="AM49" i="53"/>
  <c r="AM46" i="53"/>
  <c r="AK48" i="53"/>
  <c r="AJ47" i="53"/>
  <c r="AM44" i="53"/>
  <c r="AJ44" i="53"/>
  <c r="AK44" i="53"/>
  <c r="AK45" i="53"/>
  <c r="AK46" i="53"/>
  <c r="AK47" i="53"/>
  <c r="AM45" i="53"/>
  <c r="AL46" i="53"/>
  <c r="AL48" i="53"/>
  <c r="AM48" i="53"/>
  <c r="AJ49" i="53"/>
  <c r="AM47" i="53"/>
  <c r="AJ46" i="53"/>
  <c r="AJ48" i="53"/>
  <c r="AL45" i="53"/>
  <c r="AP399" i="3"/>
  <c r="AP477" i="3" s="1"/>
  <c r="BL321" i="3"/>
  <c r="AZ31" i="53" s="1"/>
  <c r="M36" i="4"/>
  <c r="Y399" i="3"/>
  <c r="Y477" i="3" s="1"/>
  <c r="BO321" i="3"/>
  <c r="V399" i="3"/>
  <c r="V477" i="3" s="1"/>
  <c r="BJ247" i="3"/>
  <c r="BJ151" i="3"/>
  <c r="BJ248" i="3" s="1"/>
  <c r="BK151" i="3"/>
  <c r="BK248" i="3" s="1"/>
  <c r="BK247" i="3"/>
  <c r="AI151" i="3"/>
  <c r="AI248" i="3" s="1"/>
  <c r="AI148" i="3"/>
  <c r="AI150" i="3"/>
  <c r="AI247" i="3" s="1"/>
  <c r="S484" i="3"/>
  <c r="AB484" i="3"/>
  <c r="BN151" i="3"/>
  <c r="BN248" i="3" s="1"/>
  <c r="BN247" i="3"/>
  <c r="BC148" i="3"/>
  <c r="AC150" i="3"/>
  <c r="T150" i="3"/>
  <c r="T247" i="3" s="1"/>
  <c r="AY150" i="3"/>
  <c r="AL150" i="3"/>
  <c r="BH150" i="3"/>
  <c r="AF150" i="3"/>
  <c r="BL150" i="3"/>
  <c r="U150" i="3"/>
  <c r="AP150" i="3"/>
  <c r="AD150" i="3"/>
  <c r="AR150" i="3"/>
  <c r="R150" i="3"/>
  <c r="R151" i="3" s="1"/>
  <c r="W150" i="3"/>
  <c r="BI150" i="3"/>
  <c r="BG150" i="3"/>
  <c r="BO150" i="3"/>
  <c r="X150" i="3"/>
  <c r="X247" i="3" s="1"/>
  <c r="V150" i="3"/>
  <c r="V247" i="3" s="1"/>
  <c r="AX150" i="3"/>
  <c r="AU150" i="3"/>
  <c r="AO150" i="3"/>
  <c r="Y150" i="3"/>
  <c r="AK150" i="3"/>
  <c r="AE150" i="3"/>
  <c r="AA150" i="3"/>
  <c r="AN150" i="3"/>
  <c r="AQ150" i="3"/>
  <c r="BF150" i="3"/>
  <c r="Z150" i="3"/>
  <c r="AT150" i="3"/>
  <c r="AM150" i="3"/>
  <c r="BC150" i="3"/>
  <c r="BC247" i="3" s="1"/>
  <c r="BM150" i="3"/>
  <c r="AG150" i="3"/>
  <c r="AW150" i="3"/>
  <c r="AJ150" i="3"/>
  <c r="BE150" i="3"/>
  <c r="BA150" i="3"/>
  <c r="AV150" i="3"/>
  <c r="X148" i="3"/>
  <c r="X151" i="3"/>
  <c r="X248" i="3" s="1"/>
  <c r="T148" i="3"/>
  <c r="L147" i="3"/>
  <c r="BD328" i="3"/>
  <c r="BD406" i="3"/>
  <c r="AH327" i="3"/>
  <c r="AH405" i="3"/>
  <c r="V148" i="3"/>
  <c r="N23" i="53"/>
  <c r="Z465" i="3"/>
  <c r="Z385" i="3"/>
  <c r="Z307" i="3"/>
  <c r="Z463" i="3" s="1"/>
  <c r="AJ386" i="3"/>
  <c r="AJ308" i="3"/>
  <c r="T60" i="3"/>
  <c r="T229" i="3" s="1"/>
  <c r="T68" i="3"/>
  <c r="L42" i="4"/>
  <c r="AA227" i="3"/>
  <c r="S42" i="4"/>
  <c r="S47" i="4" s="1"/>
  <c r="AC464" i="3"/>
  <c r="AW399" i="3"/>
  <c r="AW321" i="3"/>
  <c r="AK31" i="53" s="1"/>
  <c r="AN321" i="3"/>
  <c r="AN399" i="3"/>
  <c r="BA399" i="3"/>
  <c r="BA321" i="3"/>
  <c r="AO31" i="53" s="1"/>
  <c r="W63" i="3"/>
  <c r="W58" i="3"/>
  <c r="O42" i="4" s="1"/>
  <c r="BG58" i="3"/>
  <c r="BC65" i="3"/>
  <c r="BC58" i="3"/>
  <c r="AT63" i="3"/>
  <c r="AT58" i="3"/>
  <c r="AM63" i="3"/>
  <c r="AM58" i="3"/>
  <c r="AP43" i="4"/>
  <c r="AX228" i="3"/>
  <c r="AL43" i="4"/>
  <c r="AT228" i="3"/>
  <c r="AH43" i="4"/>
  <c r="AP228" i="3"/>
  <c r="BC23" i="53"/>
  <c r="AD465" i="3"/>
  <c r="BH309" i="3"/>
  <c r="AV23" i="53" s="1"/>
  <c r="R42" i="4"/>
  <c r="R47" i="4" s="1"/>
  <c r="BH227" i="3"/>
  <c r="AZ42" i="4"/>
  <c r="AA68" i="3"/>
  <c r="Z321" i="3"/>
  <c r="N31" i="53" s="1"/>
  <c r="AB227" i="3"/>
  <c r="AB60" i="3"/>
  <c r="AB229" i="3" s="1"/>
  <c r="AE58" i="3"/>
  <c r="S58" i="3"/>
  <c r="AM386" i="3"/>
  <c r="AM464" i="3" s="1"/>
  <c r="AH464" i="3"/>
  <c r="BE321" i="3"/>
  <c r="AS31" i="53" s="1"/>
  <c r="BE399" i="3"/>
  <c r="AG399" i="3"/>
  <c r="AG321" i="3"/>
  <c r="U31" i="53" s="1"/>
  <c r="BO386" i="3"/>
  <c r="BO308" i="3"/>
  <c r="BO464" i="3" s="1"/>
  <c r="AE399" i="3"/>
  <c r="AE321" i="3"/>
  <c r="S31" i="53" s="1"/>
  <c r="Z68" i="3"/>
  <c r="T227" i="3"/>
  <c r="BH68" i="3"/>
  <c r="AP68" i="3"/>
  <c r="AP47" i="4"/>
  <c r="AO464" i="3"/>
  <c r="T464" i="3"/>
  <c r="BI308" i="3"/>
  <c r="BI464" i="3" s="1"/>
  <c r="BH321" i="3"/>
  <c r="AV31" i="53" s="1"/>
  <c r="BD308" i="3"/>
  <c r="BD464" i="3" s="1"/>
  <c r="AV321" i="3"/>
  <c r="R58" i="3"/>
  <c r="BA228" i="3"/>
  <c r="BG321" i="3"/>
  <c r="AS228" i="3"/>
  <c r="AG64" i="3"/>
  <c r="AG58" i="3"/>
  <c r="Y42" i="4" s="1"/>
  <c r="Y47" i="4" s="1"/>
  <c r="AI63" i="3"/>
  <c r="AI58" i="3"/>
  <c r="BK399" i="3"/>
  <c r="BK321" i="3"/>
  <c r="AU321" i="3"/>
  <c r="AI31" i="53" s="1"/>
  <c r="AU399" i="3"/>
  <c r="AY43" i="4"/>
  <c r="BG228" i="3"/>
  <c r="AF43" i="4"/>
  <c r="AN228" i="3"/>
  <c r="AB228" i="3"/>
  <c r="T43" i="4"/>
  <c r="D308" i="3"/>
  <c r="D464" i="3"/>
  <c r="BO307" i="3"/>
  <c r="BO463" i="3" s="1"/>
  <c r="BP464" i="3"/>
  <c r="AA60" i="3"/>
  <c r="BN386" i="3"/>
  <c r="BN464" i="3" s="1"/>
  <c r="AL308" i="3"/>
  <c r="AL464" i="3" s="1"/>
  <c r="Y58" i="3"/>
  <c r="AJ58" i="3"/>
  <c r="AL399" i="3"/>
  <c r="AL477" i="3" s="1"/>
  <c r="BL58" i="3"/>
  <c r="AG228" i="3"/>
  <c r="BE464" i="3"/>
  <c r="AX60" i="3"/>
  <c r="AX229" i="3" s="1"/>
  <c r="AH227" i="3"/>
  <c r="Z42" i="4"/>
  <c r="BC228" i="3"/>
  <c r="AF228" i="3"/>
  <c r="BH228" i="3"/>
  <c r="BH308" i="3" s="1"/>
  <c r="BG65" i="3"/>
  <c r="BD65" i="3"/>
  <c r="BD58" i="3"/>
  <c r="BH63" i="3"/>
  <c r="BE58" i="3"/>
  <c r="AI228" i="3"/>
  <c r="AA43" i="4"/>
  <c r="Z464" i="3"/>
  <c r="V363" i="3"/>
  <c r="V442" i="3"/>
  <c r="T435" i="3"/>
  <c r="T356" i="3"/>
  <c r="D355" i="3"/>
  <c r="D512" i="3"/>
  <c r="D434" i="3"/>
  <c r="D516" i="3"/>
  <c r="D359" i="3"/>
  <c r="D438" i="3"/>
  <c r="D519" i="3"/>
  <c r="D441" i="3"/>
  <c r="D362" i="3"/>
  <c r="D445" i="3"/>
  <c r="D523" i="3"/>
  <c r="D366" i="3"/>
  <c r="AX367" i="3"/>
  <c r="AX446" i="3"/>
  <c r="BM350" i="4"/>
  <c r="BP211" i="3"/>
  <c r="BP289" i="3"/>
  <c r="CE349" i="4" s="1"/>
  <c r="AV211" i="3"/>
  <c r="AV289" i="3"/>
  <c r="BK349" i="4" s="1"/>
  <c r="AR211" i="3"/>
  <c r="AR289" i="3"/>
  <c r="BG349" i="4" s="1"/>
  <c r="AF211" i="3"/>
  <c r="AF289" i="3"/>
  <c r="AU349" i="4" s="1"/>
  <c r="BB444" i="3"/>
  <c r="BQ349" i="4"/>
  <c r="AT444" i="3"/>
  <c r="AL444" i="3"/>
  <c r="AL365" i="3"/>
  <c r="AL522" i="3" s="1"/>
  <c r="AW349" i="4"/>
  <c r="AH444" i="3"/>
  <c r="AO349" i="4"/>
  <c r="Z365" i="3"/>
  <c r="BD442" i="3"/>
  <c r="BD363" i="3"/>
  <c r="AZ363" i="3"/>
  <c r="AZ442" i="3"/>
  <c r="BN206" i="3"/>
  <c r="BN285" i="3"/>
  <c r="CC348" i="4" s="1"/>
  <c r="AP285" i="3"/>
  <c r="AP206" i="3"/>
  <c r="BL361" i="3"/>
  <c r="CA348" i="4"/>
  <c r="BW348" i="4"/>
  <c r="BH361" i="3"/>
  <c r="BD361" i="3"/>
  <c r="BS348" i="4"/>
  <c r="BK348" i="4"/>
  <c r="AR361" i="3"/>
  <c r="AR440" i="3"/>
  <c r="AN440" i="3"/>
  <c r="AN361" i="3"/>
  <c r="BC348" i="4"/>
  <c r="X440" i="3"/>
  <c r="X361" i="3"/>
  <c r="BF438" i="3"/>
  <c r="BF359" i="3"/>
  <c r="BF516" i="3" s="1"/>
  <c r="AT438" i="3"/>
  <c r="AT359" i="3"/>
  <c r="BP357" i="3"/>
  <c r="BP436" i="3"/>
  <c r="BP514" i="3" s="1"/>
  <c r="BL436" i="3"/>
  <c r="BL357" i="3"/>
  <c r="BH436" i="3"/>
  <c r="BH357" i="3"/>
  <c r="BH514" i="3" s="1"/>
  <c r="BD357" i="3"/>
  <c r="BD436" i="3"/>
  <c r="AZ357" i="3"/>
  <c r="AZ436" i="3"/>
  <c r="AR436" i="3"/>
  <c r="AR357" i="3"/>
  <c r="AN436" i="3"/>
  <c r="AN357" i="3"/>
  <c r="AN514" i="3" s="1"/>
  <c r="AJ436" i="3"/>
  <c r="AJ357" i="3"/>
  <c r="AB436" i="3"/>
  <c r="AB357" i="3"/>
  <c r="AB514" i="3" s="1"/>
  <c r="X436" i="3"/>
  <c r="X357" i="3"/>
  <c r="T436" i="3"/>
  <c r="T357" i="3"/>
  <c r="L280" i="3"/>
  <c r="AX435" i="3"/>
  <c r="AX356" i="3"/>
  <c r="AT435" i="3"/>
  <c r="AT356" i="3"/>
  <c r="BL434" i="3"/>
  <c r="BL355" i="3"/>
  <c r="BD434" i="3"/>
  <c r="BD355" i="3"/>
  <c r="AR355" i="3"/>
  <c r="AR434" i="3"/>
  <c r="AJ355" i="3"/>
  <c r="AJ434" i="3"/>
  <c r="AF434" i="3"/>
  <c r="AF355" i="3"/>
  <c r="T355" i="3"/>
  <c r="T512" i="3" s="1"/>
  <c r="T434" i="3"/>
  <c r="BL353" i="3"/>
  <c r="BL432" i="3"/>
  <c r="CA347" i="4"/>
  <c r="BH432" i="3"/>
  <c r="BH353" i="3"/>
  <c r="BD353" i="3"/>
  <c r="BD432" i="3"/>
  <c r="BS347" i="4"/>
  <c r="AR353" i="3"/>
  <c r="AR432" i="3"/>
  <c r="AN353" i="3"/>
  <c r="AN432" i="3"/>
  <c r="BC347" i="4"/>
  <c r="AJ353" i="3"/>
  <c r="AJ510" i="3" s="1"/>
  <c r="AY347" i="4"/>
  <c r="T432" i="3"/>
  <c r="T353" i="3"/>
  <c r="AI347" i="4"/>
  <c r="BJ351" i="3"/>
  <c r="BJ430" i="3"/>
  <c r="AX430" i="3"/>
  <c r="AX351" i="3"/>
  <c r="AP351" i="3"/>
  <c r="AP508" i="3" s="1"/>
  <c r="AP430" i="3"/>
  <c r="AD351" i="3"/>
  <c r="AD430" i="3"/>
  <c r="BP428" i="3"/>
  <c r="CE346" i="4"/>
  <c r="CA346" i="4"/>
  <c r="BL428" i="3"/>
  <c r="BL349" i="3"/>
  <c r="BL506" i="3" s="1"/>
  <c r="BW346" i="4"/>
  <c r="BH428" i="3"/>
  <c r="BD349" i="3"/>
  <c r="BD428" i="3"/>
  <c r="BD506" i="3" s="1"/>
  <c r="AV428" i="3"/>
  <c r="BK346" i="4"/>
  <c r="AN428" i="3"/>
  <c r="BC346" i="4"/>
  <c r="AB349" i="3"/>
  <c r="AQ346" i="4"/>
  <c r="X349" i="3"/>
  <c r="AM346" i="4"/>
  <c r="BN348" i="3"/>
  <c r="CC345" i="4"/>
  <c r="BJ427" i="3"/>
  <c r="BY345" i="4"/>
  <c r="BJ348" i="3"/>
  <c r="BJ505" i="3" s="1"/>
  <c r="BM345" i="4"/>
  <c r="AX348" i="3"/>
  <c r="AX505" i="3" s="1"/>
  <c r="AL348" i="3"/>
  <c r="BA345" i="4"/>
  <c r="AS345" i="4"/>
  <c r="AD427" i="3"/>
  <c r="V348" i="3"/>
  <c r="V427" i="3"/>
  <c r="CA344" i="4"/>
  <c r="BL426" i="3"/>
  <c r="BW344" i="4"/>
  <c r="BH347" i="3"/>
  <c r="AZ347" i="3"/>
  <c r="AZ426" i="3"/>
  <c r="BO344" i="4"/>
  <c r="AV426" i="3"/>
  <c r="AV347" i="3"/>
  <c r="BG344" i="4"/>
  <c r="AR347" i="3"/>
  <c r="BC344" i="4"/>
  <c r="AN347" i="3"/>
  <c r="AJ426" i="3"/>
  <c r="AJ347" i="3"/>
  <c r="AJ504" i="3" s="1"/>
  <c r="AU344" i="4"/>
  <c r="AF426" i="3"/>
  <c r="AF504" i="3" s="1"/>
  <c r="AB347" i="3"/>
  <c r="AB426" i="3"/>
  <c r="AQ344" i="4"/>
  <c r="AM344" i="4"/>
  <c r="X426" i="3"/>
  <c r="X347" i="3"/>
  <c r="T426" i="3"/>
  <c r="AI344" i="4"/>
  <c r="BY343" i="4"/>
  <c r="BY329" i="4" s="1"/>
  <c r="BJ425" i="3"/>
  <c r="BF425" i="3"/>
  <c r="BF346" i="3"/>
  <c r="BU343" i="4"/>
  <c r="BU329" i="4" s="1"/>
  <c r="BB346" i="3"/>
  <c r="BB425" i="3"/>
  <c r="AT425" i="3"/>
  <c r="BI343" i="4"/>
  <c r="BI329" i="4" s="1"/>
  <c r="BE343" i="4"/>
  <c r="BE329" i="4" s="1"/>
  <c r="AP425" i="3"/>
  <c r="AL346" i="3"/>
  <c r="BA343" i="4"/>
  <c r="BA329" i="4" s="1"/>
  <c r="AL425" i="3"/>
  <c r="AH425" i="3"/>
  <c r="AH346" i="3"/>
  <c r="BP424" i="3"/>
  <c r="CE342" i="4"/>
  <c r="CE331" i="4" s="1"/>
  <c r="BL424" i="3"/>
  <c r="BL345" i="3"/>
  <c r="BH424" i="3"/>
  <c r="BW342" i="4"/>
  <c r="BW331" i="4" s="1"/>
  <c r="BD424" i="3"/>
  <c r="BD345" i="3"/>
  <c r="BS342" i="4"/>
  <c r="BS331" i="4" s="1"/>
  <c r="AZ424" i="3"/>
  <c r="AZ345" i="3"/>
  <c r="BO342" i="4"/>
  <c r="BO331" i="4" s="1"/>
  <c r="AV345" i="3"/>
  <c r="BK342" i="4"/>
  <c r="BK331" i="4" s="1"/>
  <c r="AN345" i="3"/>
  <c r="BC342" i="4"/>
  <c r="BC331" i="4" s="1"/>
  <c r="AF424" i="3"/>
  <c r="AF345" i="3"/>
  <c r="AF502" i="3" s="1"/>
  <c r="AQ342" i="4"/>
  <c r="AQ331" i="4" s="1"/>
  <c r="AB424" i="3"/>
  <c r="X424" i="3"/>
  <c r="AM342" i="4"/>
  <c r="AM331" i="4" s="1"/>
  <c r="T268" i="3"/>
  <c r="L187" i="3"/>
  <c r="BN423" i="3"/>
  <c r="BN344" i="3"/>
  <c r="BN501" i="3" s="1"/>
  <c r="CC341" i="4"/>
  <c r="BJ423" i="3"/>
  <c r="BJ344" i="3"/>
  <c r="BU341" i="4"/>
  <c r="BF423" i="3"/>
  <c r="BB344" i="3"/>
  <c r="BQ341" i="4"/>
  <c r="BM341" i="4"/>
  <c r="AX344" i="3"/>
  <c r="AX423" i="3"/>
  <c r="AT423" i="3"/>
  <c r="AT344" i="3"/>
  <c r="AT501" i="3" s="1"/>
  <c r="BI341" i="4"/>
  <c r="AP423" i="3"/>
  <c r="BE341" i="4"/>
  <c r="AL344" i="3"/>
  <c r="AL423" i="3"/>
  <c r="AW341" i="4"/>
  <c r="AH423" i="3"/>
  <c r="AS341" i="4"/>
  <c r="AD344" i="3"/>
  <c r="AO341" i="4"/>
  <c r="Z344" i="3"/>
  <c r="Z423" i="3"/>
  <c r="BL422" i="3"/>
  <c r="BL343" i="3"/>
  <c r="CA340" i="4"/>
  <c r="BD343" i="3"/>
  <c r="BS340" i="4"/>
  <c r="BK340" i="4"/>
  <c r="AV343" i="3"/>
  <c r="AR343" i="3"/>
  <c r="AR422" i="3"/>
  <c r="AN343" i="3"/>
  <c r="AN422" i="3"/>
  <c r="AJ422" i="3"/>
  <c r="AY340" i="4"/>
  <c r="AM340" i="4"/>
  <c r="X422" i="3"/>
  <c r="T266" i="3"/>
  <c r="T213" i="3"/>
  <c r="BB265" i="3"/>
  <c r="BB213" i="3"/>
  <c r="AT265" i="3"/>
  <c r="AT213" i="3"/>
  <c r="AH342" i="3"/>
  <c r="AW339" i="4"/>
  <c r="AW328" i="4" s="1"/>
  <c r="AO339" i="4"/>
  <c r="AO328" i="4" s="1"/>
  <c r="Z421" i="3"/>
  <c r="V342" i="3"/>
  <c r="V421" i="3"/>
  <c r="S434" i="3"/>
  <c r="S355" i="3"/>
  <c r="BB423" i="3"/>
  <c r="AH421" i="3"/>
  <c r="AV422" i="3"/>
  <c r="AN365" i="3"/>
  <c r="AN444" i="3"/>
  <c r="BM430" i="3"/>
  <c r="BM351" i="3"/>
  <c r="BM508" i="3" s="1"/>
  <c r="CB347" i="4"/>
  <c r="AA346" i="3"/>
  <c r="AA425" i="3"/>
  <c r="AP343" i="4"/>
  <c r="AP329" i="4" s="1"/>
  <c r="BO347" i="4"/>
  <c r="AF436" i="3"/>
  <c r="AN426" i="3"/>
  <c r="BF421" i="3"/>
  <c r="BH349" i="3"/>
  <c r="BH506" i="3" s="1"/>
  <c r="AV502" i="3"/>
  <c r="AP346" i="3"/>
  <c r="AP503" i="3" s="1"/>
  <c r="BC340" i="4"/>
  <c r="AH356" i="3"/>
  <c r="AH513" i="3" s="1"/>
  <c r="AC502" i="3"/>
  <c r="BK343" i="4"/>
  <c r="BK329" i="4" s="1"/>
  <c r="AV346" i="3"/>
  <c r="AV503" i="3" s="1"/>
  <c r="L192" i="3"/>
  <c r="BO272" i="3"/>
  <c r="BO213" i="3"/>
  <c r="BC349" i="3"/>
  <c r="BC506" i="3" s="1"/>
  <c r="BR346" i="4"/>
  <c r="AX349" i="3"/>
  <c r="AX506" i="3" s="1"/>
  <c r="BM346" i="4"/>
  <c r="AS428" i="3"/>
  <c r="BH346" i="4"/>
  <c r="AS349" i="3"/>
  <c r="AL346" i="4"/>
  <c r="W349" i="3"/>
  <c r="W428" i="3"/>
  <c r="BV345" i="4"/>
  <c r="BG348" i="3"/>
  <c r="BG505" i="3" s="1"/>
  <c r="BG427" i="3"/>
  <c r="BF345" i="4"/>
  <c r="AQ348" i="3"/>
  <c r="AQ505" i="3" s="1"/>
  <c r="AJ427" i="3"/>
  <c r="AJ505" i="3" s="1"/>
  <c r="AY345" i="4"/>
  <c r="AN345" i="4"/>
  <c r="Y427" i="3"/>
  <c r="Y348" i="3"/>
  <c r="U271" i="3"/>
  <c r="L271" i="3" s="1"/>
  <c r="L190" i="3"/>
  <c r="BI347" i="3"/>
  <c r="BI426" i="3"/>
  <c r="BX344" i="4"/>
  <c r="AK347" i="3"/>
  <c r="AK426" i="3"/>
  <c r="AZ344" i="4"/>
  <c r="AD347" i="3"/>
  <c r="AD504" i="3" s="1"/>
  <c r="AS344" i="4"/>
  <c r="AW346" i="3"/>
  <c r="AW425" i="3"/>
  <c r="AM346" i="3"/>
  <c r="AM425" i="3"/>
  <c r="BK345" i="3"/>
  <c r="BK502" i="3" s="1"/>
  <c r="BZ342" i="4"/>
  <c r="BZ331" i="4" s="1"/>
  <c r="BL342" i="4"/>
  <c r="BL331" i="4" s="1"/>
  <c r="AW424" i="3"/>
  <c r="AW345" i="3"/>
  <c r="BF342" i="4"/>
  <c r="BF331" i="4" s="1"/>
  <c r="AQ345" i="3"/>
  <c r="AI268" i="3"/>
  <c r="AI213" i="3"/>
  <c r="BP423" i="3"/>
  <c r="BP501" i="3" s="1"/>
  <c r="CE341" i="4"/>
  <c r="BI213" i="3"/>
  <c r="AS344" i="3"/>
  <c r="AS423" i="3"/>
  <c r="AN344" i="3"/>
  <c r="AN423" i="3"/>
  <c r="AE267" i="3"/>
  <c r="AE213" i="3"/>
  <c r="U344" i="3"/>
  <c r="U423" i="3"/>
  <c r="AS266" i="3"/>
  <c r="AS213" i="3"/>
  <c r="AG266" i="3"/>
  <c r="AG213" i="3"/>
  <c r="BM348" i="3"/>
  <c r="BM427" i="3"/>
  <c r="BM267" i="3"/>
  <c r="BM213" i="3"/>
  <c r="BA265" i="3"/>
  <c r="BA213" i="3"/>
  <c r="AQ342" i="3"/>
  <c r="AQ421" i="3"/>
  <c r="AR344" i="4"/>
  <c r="AC426" i="3"/>
  <c r="AC347" i="3"/>
  <c r="AB423" i="3"/>
  <c r="AB501" i="3" s="1"/>
  <c r="AQ341" i="4"/>
  <c r="W265" i="3"/>
  <c r="W213" i="3"/>
  <c r="AI341" i="4"/>
  <c r="T344" i="3"/>
  <c r="T423" i="3"/>
  <c r="AV350" i="4"/>
  <c r="AG367" i="3"/>
  <c r="AG524" i="3" s="1"/>
  <c r="BO211" i="3"/>
  <c r="BO289" i="3"/>
  <c r="CD349" i="4" s="1"/>
  <c r="BI505" i="3"/>
  <c r="AQ424" i="3"/>
  <c r="AJ341" i="4"/>
  <c r="AU442" i="3"/>
  <c r="AU520" i="3" s="1"/>
  <c r="BJ348" i="4"/>
  <c r="BH524" i="3"/>
  <c r="BN506" i="3"/>
  <c r="L184" i="3"/>
  <c r="AA367" i="3"/>
  <c r="AA446" i="3"/>
  <c r="BI435" i="3"/>
  <c r="BI356" i="3"/>
  <c r="CB346" i="4"/>
  <c r="BM349" i="3"/>
  <c r="BM428" i="3"/>
  <c r="BI267" i="3"/>
  <c r="R345" i="3"/>
  <c r="R424" i="3"/>
  <c r="AG342" i="4"/>
  <c r="AG331" i="4" s="1"/>
  <c r="AO421" i="3"/>
  <c r="AO499" i="3" s="1"/>
  <c r="BD339" i="4"/>
  <c r="BD328" i="4" s="1"/>
  <c r="AW359" i="3"/>
  <c r="AW438" i="3"/>
  <c r="AQ501" i="3"/>
  <c r="BO522" i="3"/>
  <c r="AW501" i="3"/>
  <c r="BG501" i="3"/>
  <c r="AY506" i="3"/>
  <c r="AY348" i="4"/>
  <c r="BK505" i="3"/>
  <c r="AT289" i="3"/>
  <c r="BI349" i="4" s="1"/>
  <c r="AV524" i="3"/>
  <c r="AN508" i="3"/>
  <c r="BK503" i="3"/>
  <c r="S503" i="3"/>
  <c r="AP502" i="3"/>
  <c r="U356" i="3"/>
  <c r="U435" i="3"/>
  <c r="BH343" i="4"/>
  <c r="BH329" i="4" s="1"/>
  <c r="AS346" i="3"/>
  <c r="AS503" i="3" s="1"/>
  <c r="D499" i="3"/>
  <c r="D342" i="3"/>
  <c r="AD512" i="3"/>
  <c r="CB348" i="4"/>
  <c r="BN347" i="4"/>
  <c r="BA520" i="3"/>
  <c r="AT506" i="3"/>
  <c r="BK211" i="3"/>
  <c r="BK289" i="3"/>
  <c r="BZ349" i="4" s="1"/>
  <c r="AY211" i="3"/>
  <c r="AY213" i="3"/>
  <c r="AD289" i="3"/>
  <c r="AS349" i="4" s="1"/>
  <c r="AD211" i="3"/>
  <c r="AB206" i="3"/>
  <c r="AB285" i="3"/>
  <c r="AR348" i="4"/>
  <c r="BH347" i="4"/>
  <c r="BL349" i="4"/>
  <c r="BE504" i="3"/>
  <c r="AP349" i="4"/>
  <c r="AS513" i="3"/>
  <c r="BX348" i="4"/>
  <c r="AZ64" i="53"/>
  <c r="AZ25" i="53"/>
  <c r="O25" i="53"/>
  <c r="W64" i="53"/>
  <c r="W25" i="53"/>
  <c r="AE64" i="53"/>
  <c r="AE25" i="53"/>
  <c r="AU64" i="53"/>
  <c r="AU25" i="53"/>
  <c r="AJ25" i="53"/>
  <c r="AB63" i="53"/>
  <c r="AI59" i="53"/>
  <c r="J60" i="53"/>
  <c r="AC59" i="53"/>
  <c r="X63" i="53"/>
  <c r="I59" i="53"/>
  <c r="Z60" i="53"/>
  <c r="S61" i="53"/>
  <c r="AG61" i="53"/>
  <c r="O62" i="53"/>
  <c r="AN62" i="53"/>
  <c r="AA63" i="53"/>
  <c r="AF59" i="53"/>
  <c r="G62" i="53"/>
  <c r="X59" i="53"/>
  <c r="AK61" i="53"/>
  <c r="L59" i="53"/>
  <c r="AL62" i="53"/>
  <c r="T62" i="53"/>
  <c r="J59" i="53"/>
  <c r="K63" i="53"/>
  <c r="AK59" i="53"/>
  <c r="P59" i="53"/>
  <c r="R62" i="53"/>
  <c r="BC168" i="3"/>
  <c r="AQ25" i="53" s="1"/>
  <c r="AX168" i="3"/>
  <c r="BJ168" i="3"/>
  <c r="AD168" i="3"/>
  <c r="BB168" i="3"/>
  <c r="J163" i="3"/>
  <c r="AV64" i="53"/>
  <c r="I63" i="53"/>
  <c r="AI60" i="53"/>
  <c r="AD59" i="53"/>
  <c r="T63" i="53"/>
  <c r="AF61" i="53"/>
  <c r="AG59" i="53"/>
  <c r="N62" i="53"/>
  <c r="R60" i="53"/>
  <c r="BP168" i="3"/>
  <c r="S165" i="3"/>
  <c r="V63" i="53"/>
  <c r="V59" i="53"/>
  <c r="Z63" i="53"/>
  <c r="S63" i="53"/>
  <c r="K61" i="53"/>
  <c r="H60" i="53"/>
  <c r="AM63" i="53"/>
  <c r="V62" i="53"/>
  <c r="H61" i="53"/>
  <c r="BO168" i="3"/>
  <c r="AP59" i="53"/>
  <c r="AM60" i="53"/>
  <c r="P63" i="53"/>
  <c r="R61" i="53"/>
  <c r="AA61" i="53"/>
  <c r="AG62" i="53"/>
  <c r="L61" i="53"/>
  <c r="H59" i="53"/>
  <c r="G61" i="53"/>
  <c r="AJ59" i="53"/>
  <c r="U63" i="53"/>
  <c r="AK62" i="53"/>
  <c r="AN60" i="53"/>
  <c r="F60" i="53"/>
  <c r="F61" i="53"/>
  <c r="BI168" i="3"/>
  <c r="AS168" i="3"/>
  <c r="AC168" i="3"/>
  <c r="AR168" i="3"/>
  <c r="AL168" i="3"/>
  <c r="AM168" i="3"/>
  <c r="AH168" i="3"/>
  <c r="V25" i="53" s="1"/>
  <c r="T164" i="3"/>
  <c r="X62" i="53"/>
  <c r="AM62" i="53"/>
  <c r="AH61" i="53"/>
  <c r="AE59" i="53"/>
  <c r="AJ60" i="53"/>
  <c r="AE60" i="53"/>
  <c r="AL63" i="53"/>
  <c r="AH59" i="53"/>
  <c r="K60" i="53"/>
  <c r="P61" i="53"/>
  <c r="AO63" i="53"/>
  <c r="AB59" i="53"/>
  <c r="W62" i="53"/>
  <c r="Q61" i="53"/>
  <c r="U60" i="53"/>
  <c r="H63" i="53"/>
  <c r="I61" i="53"/>
  <c r="AI62" i="53"/>
  <c r="U59" i="53"/>
  <c r="AC62" i="53"/>
  <c r="AD60" i="53"/>
  <c r="AE62" i="53"/>
  <c r="AD61" i="53"/>
  <c r="AA59" i="53"/>
  <c r="AB61" i="53"/>
  <c r="J61" i="53"/>
  <c r="G59" i="53"/>
  <c r="T60" i="53"/>
  <c r="W60" i="53"/>
  <c r="BM168" i="3"/>
  <c r="AW168" i="3"/>
  <c r="AG168" i="3"/>
  <c r="BA168" i="3"/>
  <c r="AK168" i="3"/>
  <c r="AE168" i="3"/>
  <c r="S25" i="53" s="1"/>
  <c r="BK168" i="3"/>
  <c r="BF168" i="3"/>
  <c r="AT168" i="3"/>
  <c r="L163" i="3"/>
  <c r="BH465" i="3"/>
  <c r="AY386" i="3"/>
  <c r="AY308" i="3"/>
  <c r="AY464" i="3" s="1"/>
  <c r="AX387" i="3"/>
  <c r="AX309" i="3"/>
  <c r="BG386" i="3"/>
  <c r="BG308" i="3"/>
  <c r="BG464" i="3" s="1"/>
  <c r="BA386" i="3"/>
  <c r="BA308" i="3"/>
  <c r="AU42" i="4"/>
  <c r="BC60" i="3"/>
  <c r="BC227" i="3"/>
  <c r="AK67" i="3"/>
  <c r="AK58" i="3"/>
  <c r="V63" i="3"/>
  <c r="V58" i="3"/>
  <c r="BN66" i="3"/>
  <c r="BN58" i="3"/>
  <c r="BC66" i="3"/>
  <c r="L56" i="3"/>
  <c r="BM65" i="3"/>
  <c r="BM58" i="3"/>
  <c r="BA65" i="3"/>
  <c r="BA58" i="3"/>
  <c r="L55" i="3"/>
  <c r="BK64" i="3"/>
  <c r="BK58" i="3"/>
  <c r="AY64" i="3"/>
  <c r="AY58" i="3"/>
  <c r="AR63" i="3"/>
  <c r="AR58" i="3"/>
  <c r="BC399" i="3"/>
  <c r="BC321" i="3"/>
  <c r="AQ31" i="53" s="1"/>
  <c r="S308" i="3"/>
  <c r="S386" i="3"/>
  <c r="U63" i="3"/>
  <c r="L63" i="3" s="1"/>
  <c r="U58" i="3"/>
  <c r="AH465" i="3"/>
  <c r="L53" i="3"/>
  <c r="W60" i="3"/>
  <c r="AQ464" i="3"/>
  <c r="Y464" i="3"/>
  <c r="BH386" i="3"/>
  <c r="BH464" i="3" s="1"/>
  <c r="AB387" i="3"/>
  <c r="AB309" i="3"/>
  <c r="BC68" i="3"/>
  <c r="AG227" i="3"/>
  <c r="AG68" i="3"/>
  <c r="AG60" i="3"/>
  <c r="AG229" i="3" s="1"/>
  <c r="AZ47" i="4"/>
  <c r="AP227" i="3"/>
  <c r="AP60" i="3"/>
  <c r="AP229" i="3" s="1"/>
  <c r="BG42" i="4"/>
  <c r="BG47" i="4" s="1"/>
  <c r="BO68" i="3"/>
  <c r="AR464" i="3"/>
  <c r="AC67" i="3"/>
  <c r="AC58" i="3"/>
  <c r="AF63" i="3"/>
  <c r="AF58" i="3"/>
  <c r="BI67" i="3"/>
  <c r="BI58" i="3"/>
  <c r="BF66" i="3"/>
  <c r="BF58" i="3"/>
  <c r="AS65" i="3"/>
  <c r="AS58" i="3"/>
  <c r="AQ64" i="3"/>
  <c r="AQ58" i="3"/>
  <c r="AU63" i="3"/>
  <c r="AU58" i="3"/>
  <c r="AM43" i="4"/>
  <c r="AU228" i="3"/>
  <c r="R386" i="3"/>
  <c r="R308" i="3"/>
  <c r="BL68" i="3"/>
  <c r="BD42" i="4"/>
  <c r="BD47" i="4" s="1"/>
  <c r="AW386" i="3"/>
  <c r="AW308" i="3"/>
  <c r="BI399" i="3"/>
  <c r="BI321" i="3"/>
  <c r="W321" i="3"/>
  <c r="K31" i="53" s="1"/>
  <c r="W399" i="3"/>
  <c r="AW66" i="3"/>
  <c r="AW58" i="3"/>
  <c r="AV65" i="3"/>
  <c r="AV58" i="3"/>
  <c r="BP64" i="3"/>
  <c r="BP58" i="3"/>
  <c r="AZ63" i="3"/>
  <c r="AZ58" i="3"/>
  <c r="M43" i="4"/>
  <c r="U228" i="3"/>
  <c r="L59" i="3"/>
  <c r="S60" i="3"/>
  <c r="K42" i="4"/>
  <c r="X321" i="3"/>
  <c r="L31" i="53" s="1"/>
  <c r="X399" i="3"/>
  <c r="BF321" i="3"/>
  <c r="BF399" i="3"/>
  <c r="AY399" i="3"/>
  <c r="AY321" i="3"/>
  <c r="AM31" i="53" s="1"/>
  <c r="AV308" i="3"/>
  <c r="AV386" i="3"/>
  <c r="AZ399" i="3"/>
  <c r="AZ321" i="3"/>
  <c r="AD399" i="3"/>
  <c r="AD321" i="3"/>
  <c r="X67" i="3"/>
  <c r="X58" i="3"/>
  <c r="L57" i="3"/>
  <c r="AO66" i="3"/>
  <c r="L66" i="3" s="1"/>
  <c r="AO58" i="3"/>
  <c r="BJ65" i="3"/>
  <c r="BJ58" i="3"/>
  <c r="AN65" i="3"/>
  <c r="L65" i="3" s="1"/>
  <c r="AN58" i="3"/>
  <c r="AL64" i="3"/>
  <c r="L54" i="3"/>
  <c r="AL58" i="3"/>
  <c r="BB63" i="3"/>
  <c r="BB58" i="3"/>
  <c r="P43" i="4"/>
  <c r="X228" i="3"/>
  <c r="S477" i="3"/>
  <c r="AU47" i="4"/>
  <c r="Y22" i="53"/>
  <c r="AK460" i="3"/>
  <c r="AR22" i="53"/>
  <c r="BD460" i="3"/>
  <c r="R39" i="3"/>
  <c r="R44" i="3"/>
  <c r="AO303" i="3"/>
  <c r="AO459" i="3" s="1"/>
  <c r="AO381" i="3"/>
  <c r="AT381" i="3"/>
  <c r="AT303" i="3"/>
  <c r="BB222" i="3"/>
  <c r="BB41" i="3"/>
  <c r="BI222" i="3"/>
  <c r="BI41" i="3"/>
  <c r="AC31" i="53"/>
  <c r="M31" i="53"/>
  <c r="AA31" i="53"/>
  <c r="Q31" i="53"/>
  <c r="AY222" i="3"/>
  <c r="AY41" i="3"/>
  <c r="AE222" i="3"/>
  <c r="AE41" i="3"/>
  <c r="S44" i="3"/>
  <c r="S39" i="3"/>
  <c r="AT41" i="3"/>
  <c r="AT222" i="3"/>
  <c r="AO460" i="3"/>
  <c r="AR459" i="3"/>
  <c r="AZ304" i="3"/>
  <c r="AN22" i="53" s="1"/>
  <c r="AZ382" i="3"/>
  <c r="AU41" i="3"/>
  <c r="AU222" i="3"/>
  <c r="U15" i="3"/>
  <c r="U87" i="3" s="1"/>
  <c r="U195" i="7"/>
  <c r="U184" i="7"/>
  <c r="BD302" i="3"/>
  <c r="BD458" i="3" s="1"/>
  <c r="AC458" i="3"/>
  <c r="T101" i="3"/>
  <c r="BE41" i="3"/>
  <c r="BE222" i="3"/>
  <c r="Y45" i="3"/>
  <c r="BK39" i="3"/>
  <c r="L77" i="3"/>
  <c r="T477" i="3"/>
  <c r="AM41" i="3"/>
  <c r="AK38" i="4"/>
  <c r="AW38" i="4"/>
  <c r="L38" i="3"/>
  <c r="L49" i="3"/>
  <c r="AV39" i="3"/>
  <c r="BM39" i="3"/>
  <c r="BH39" i="3"/>
  <c r="AM223" i="3"/>
  <c r="AQ31" i="4"/>
  <c r="AM31" i="4"/>
  <c r="AE31" i="4"/>
  <c r="W31" i="4"/>
  <c r="I32" i="4"/>
  <c r="K31" i="4"/>
  <c r="AB45" i="3"/>
  <c r="AB39" i="3"/>
  <c r="BC303" i="3"/>
  <c r="BC459" i="3" s="1"/>
  <c r="BG41" i="3"/>
  <c r="BG303" i="3"/>
  <c r="BG459" i="3" s="1"/>
  <c r="BL303" i="3"/>
  <c r="BL459" i="3" s="1"/>
  <c r="BI459" i="3"/>
  <c r="AZ38" i="4"/>
  <c r="AR321" i="3"/>
  <c r="AR477" i="3" s="1"/>
  <c r="U39" i="3"/>
  <c r="AQ399" i="3"/>
  <c r="AQ477" i="3" s="1"/>
  <c r="BP39" i="3"/>
  <c r="L36" i="3"/>
  <c r="AF39" i="3"/>
  <c r="AC399" i="3"/>
  <c r="AC477" i="3" s="1"/>
  <c r="AI40" i="4"/>
  <c r="AM399" i="3"/>
  <c r="AM477" i="3" s="1"/>
  <c r="AN31" i="4"/>
  <c r="AG31" i="4"/>
  <c r="T31" i="4"/>
  <c r="Q31" i="4"/>
  <c r="I33" i="4"/>
  <c r="AH31" i="4"/>
  <c r="AD31" i="4"/>
  <c r="Z31" i="4"/>
  <c r="AF399" i="3"/>
  <c r="AF321" i="3"/>
  <c r="L40" i="4"/>
  <c r="I40" i="4" s="1"/>
  <c r="T223" i="3"/>
  <c r="AX46" i="3"/>
  <c r="L46" i="3" s="1"/>
  <c r="AX39" i="3"/>
  <c r="BF45" i="3"/>
  <c r="BF39" i="3"/>
  <c r="AP45" i="3"/>
  <c r="AP39" i="3"/>
  <c r="AG45" i="3"/>
  <c r="AG39" i="3"/>
  <c r="AD45" i="3"/>
  <c r="AD39" i="3"/>
  <c r="R477" i="3"/>
  <c r="AY303" i="3"/>
  <c r="AY459" i="3" s="1"/>
  <c r="AI222" i="3"/>
  <c r="AH303" i="3"/>
  <c r="AH459" i="3" s="1"/>
  <c r="W303" i="3"/>
  <c r="W459" i="3" s="1"/>
  <c r="L40" i="3"/>
  <c r="V39" i="3"/>
  <c r="BA39" i="3"/>
  <c r="L37" i="3"/>
  <c r="AI223" i="3"/>
  <c r="AU223" i="3"/>
  <c r="AK321" i="3"/>
  <c r="AK399" i="3"/>
  <c r="BM321" i="3"/>
  <c r="BM399" i="3"/>
  <c r="BD399" i="3"/>
  <c r="BD321" i="3"/>
  <c r="V40" i="4"/>
  <c r="V47" i="4" s="1"/>
  <c r="AD223" i="3"/>
  <c r="AZ459" i="3"/>
  <c r="AS459" i="3"/>
  <c r="AN459" i="3"/>
  <c r="L78" i="3"/>
  <c r="Z382" i="3"/>
  <c r="Z304" i="3"/>
  <c r="T128" i="3"/>
  <c r="U92" i="3"/>
  <c r="T111" i="3"/>
  <c r="L140" i="3"/>
  <c r="O22" i="53"/>
  <c r="AS382" i="3"/>
  <c r="AS304" i="3"/>
  <c r="X22" i="53"/>
  <c r="AJ460" i="3"/>
  <c r="BL460" i="3"/>
  <c r="AZ22" i="53"/>
  <c r="U88" i="3"/>
  <c r="V89" i="3" s="1"/>
  <c r="U100" i="3"/>
  <c r="V101" i="3" s="1"/>
  <c r="BG302" i="3"/>
  <c r="BG380" i="3"/>
  <c r="BN382" i="3"/>
  <c r="BN304" i="3"/>
  <c r="N68" i="7"/>
  <c r="AK381" i="3"/>
  <c r="BC222" i="3"/>
  <c r="BN222" i="3"/>
  <c r="BA38" i="4"/>
  <c r="U216" i="7"/>
  <c r="U67" i="7"/>
  <c r="O114" i="7"/>
  <c r="U127" i="7"/>
  <c r="U161" i="7"/>
  <c r="U143" i="7"/>
  <c r="AF222" i="3"/>
  <c r="V68" i="7"/>
  <c r="BD223" i="3"/>
  <c r="U4" i="7"/>
  <c r="U276" i="7"/>
  <c r="AO50" i="53"/>
  <c r="AP50" i="53"/>
  <c r="BC367" i="3"/>
  <c r="BC446" i="3"/>
  <c r="BR350" i="4"/>
  <c r="BF430" i="3"/>
  <c r="BF351" i="3"/>
  <c r="BI428" i="3"/>
  <c r="BX346" i="4"/>
  <c r="AG339" i="4"/>
  <c r="AG328" i="4" s="1"/>
  <c r="R421" i="3"/>
  <c r="AH426" i="3"/>
  <c r="AH347" i="3"/>
  <c r="AW344" i="4"/>
  <c r="AK342" i="4"/>
  <c r="AK331" i="4" s="1"/>
  <c r="V424" i="3"/>
  <c r="BR342" i="4"/>
  <c r="BR331" i="4" s="1"/>
  <c r="BC424" i="3"/>
  <c r="BC345" i="3"/>
  <c r="AS343" i="4"/>
  <c r="AS329" i="4" s="1"/>
  <c r="AD346" i="3"/>
  <c r="AD425" i="3"/>
  <c r="AK344" i="4"/>
  <c r="V426" i="3"/>
  <c r="V504" i="3" s="1"/>
  <c r="BN346" i="3"/>
  <c r="BN503" i="3" s="1"/>
  <c r="CC343" i="4"/>
  <c r="CC329" i="4" s="1"/>
  <c r="BG213" i="3"/>
  <c r="BG269" i="3"/>
  <c r="AQ269" i="3"/>
  <c r="AQ213" i="3"/>
  <c r="BK266" i="3"/>
  <c r="BK213" i="3"/>
  <c r="BC266" i="3"/>
  <c r="BC213" i="3"/>
  <c r="AM266" i="3"/>
  <c r="AM213" i="3"/>
  <c r="Y288" i="3"/>
  <c r="Y213" i="3"/>
  <c r="AM363" i="3"/>
  <c r="BB348" i="4"/>
  <c r="AM442" i="3"/>
  <c r="BP206" i="3"/>
  <c r="BP285" i="3"/>
  <c r="CE348" i="4" s="1"/>
  <c r="BB206" i="3"/>
  <c r="BB285" i="3"/>
  <c r="BQ348" i="4" s="1"/>
  <c r="AX206" i="3"/>
  <c r="AX285" i="3"/>
  <c r="BM348" i="4" s="1"/>
  <c r="AT285" i="3"/>
  <c r="AT206" i="3"/>
  <c r="AF285" i="3"/>
  <c r="AU348" i="4" s="1"/>
  <c r="AF206" i="3"/>
  <c r="BN197" i="3"/>
  <c r="BN277" i="3"/>
  <c r="CC347" i="4" s="1"/>
  <c r="BJ197" i="3"/>
  <c r="BJ277" i="3"/>
  <c r="BY347" i="4" s="1"/>
  <c r="BF197" i="3"/>
  <c r="BF277" i="3"/>
  <c r="BU347" i="4" s="1"/>
  <c r="BB197" i="3"/>
  <c r="BB277" i="3"/>
  <c r="BQ347" i="4" s="1"/>
  <c r="AX197" i="3"/>
  <c r="AX277" i="3"/>
  <c r="BM347" i="4" s="1"/>
  <c r="AT197" i="3"/>
  <c r="AT277" i="3"/>
  <c r="BI347" i="4" s="1"/>
  <c r="AP197" i="3"/>
  <c r="AP277" i="3"/>
  <c r="BE347" i="4" s="1"/>
  <c r="AL197" i="3"/>
  <c r="AL277" i="3"/>
  <c r="BA347" i="4" s="1"/>
  <c r="AH197" i="3"/>
  <c r="AH277" i="3"/>
  <c r="AW347" i="4" s="1"/>
  <c r="AD197" i="3"/>
  <c r="AD277" i="3"/>
  <c r="AS347" i="4" s="1"/>
  <c r="Z197" i="3"/>
  <c r="Z277" i="3"/>
  <c r="AO347" i="4" s="1"/>
  <c r="V277" i="3"/>
  <c r="V197" i="3"/>
  <c r="R277" i="3"/>
  <c r="R197" i="3"/>
  <c r="L196" i="3"/>
  <c r="BA432" i="3"/>
  <c r="BP347" i="4"/>
  <c r="AK276" i="3"/>
  <c r="AK213" i="3"/>
  <c r="U276" i="3"/>
  <c r="U213" i="3"/>
  <c r="BH351" i="3"/>
  <c r="BH430" i="3"/>
  <c r="AR351" i="3"/>
  <c r="AR508" i="3" s="1"/>
  <c r="BG347" i="4"/>
  <c r="AB351" i="3"/>
  <c r="AB430" i="3"/>
  <c r="R270" i="3"/>
  <c r="L270" i="3" s="1"/>
  <c r="L189" i="3"/>
  <c r="R266" i="3"/>
  <c r="L185" i="3"/>
  <c r="R213" i="3"/>
  <c r="R278" i="3"/>
  <c r="L198" i="3"/>
  <c r="L204" i="3"/>
  <c r="R284" i="3"/>
  <c r="L210" i="3"/>
  <c r="R211" i="3"/>
  <c r="BN367" i="3"/>
  <c r="BN446" i="3"/>
  <c r="BN524" i="3" s="1"/>
  <c r="CC350" i="4"/>
  <c r="BJ367" i="3"/>
  <c r="BJ446" i="3"/>
  <c r="BF367" i="3"/>
  <c r="BU350" i="4"/>
  <c r="BB446" i="3"/>
  <c r="BB367" i="3"/>
  <c r="BQ350" i="4"/>
  <c r="AT446" i="3"/>
  <c r="BI350" i="4"/>
  <c r="AT367" i="3"/>
  <c r="AP446" i="3"/>
  <c r="BE350" i="4"/>
  <c r="AP367" i="3"/>
  <c r="AL367" i="3"/>
  <c r="AL446" i="3"/>
  <c r="BA350" i="4"/>
  <c r="AW350" i="4"/>
  <c r="AH446" i="3"/>
  <c r="AS350" i="4"/>
  <c r="AD367" i="3"/>
  <c r="AD446" i="3"/>
  <c r="Z367" i="3"/>
  <c r="AO350" i="4"/>
  <c r="Z446" i="3"/>
  <c r="V290" i="3"/>
  <c r="L212" i="3"/>
  <c r="BE349" i="4"/>
  <c r="AP365" i="3"/>
  <c r="AP444" i="3"/>
  <c r="AV442" i="3"/>
  <c r="AV363" i="3"/>
  <c r="AV520" i="3" s="1"/>
  <c r="AH359" i="3"/>
  <c r="AH438" i="3"/>
  <c r="BD514" i="3"/>
  <c r="BN356" i="3"/>
  <c r="BN513" i="3" s="1"/>
  <c r="BN435" i="3"/>
  <c r="AL356" i="3"/>
  <c r="AL513" i="3" s="1"/>
  <c r="L279" i="3"/>
  <c r="BH434" i="3"/>
  <c r="BH355" i="3"/>
  <c r="BP353" i="3"/>
  <c r="BP432" i="3"/>
  <c r="CE347" i="4"/>
  <c r="BH510" i="3"/>
  <c r="AF432" i="3"/>
  <c r="AF353" i="3"/>
  <c r="AU347" i="4"/>
  <c r="AZ504" i="3"/>
  <c r="AP213" i="3"/>
  <c r="AL421" i="3"/>
  <c r="AL499" i="3" s="1"/>
  <c r="BA339" i="4"/>
  <c r="AL342" i="3"/>
  <c r="BF446" i="3"/>
  <c r="R342" i="3"/>
  <c r="BR348" i="4"/>
  <c r="Z514" i="3"/>
  <c r="BI349" i="3"/>
  <c r="AV504" i="3"/>
  <c r="AH367" i="3"/>
  <c r="AH524" i="3" s="1"/>
  <c r="R289" i="3"/>
  <c r="AG349" i="4" s="1"/>
  <c r="AR213" i="3"/>
  <c r="AV361" i="3"/>
  <c r="AV440" i="3"/>
  <c r="AV518" i="3" s="1"/>
  <c r="BP343" i="4"/>
  <c r="BW347" i="4"/>
  <c r="BA353" i="3"/>
  <c r="BF285" i="3"/>
  <c r="BU348" i="4" s="1"/>
  <c r="V345" i="3"/>
  <c r="AB363" i="3"/>
  <c r="AB520" i="3" s="1"/>
  <c r="BC442" i="3"/>
  <c r="BC520" i="3" s="1"/>
  <c r="AL213" i="3"/>
  <c r="AI351" i="3"/>
  <c r="AI430" i="3"/>
  <c r="BK351" i="3"/>
  <c r="BK430" i="3"/>
  <c r="BZ347" i="4"/>
  <c r="AC353" i="3"/>
  <c r="AC510" i="3" s="1"/>
  <c r="AR347" i="4"/>
  <c r="BL211" i="3"/>
  <c r="BL289" i="3"/>
  <c r="CA349" i="4" s="1"/>
  <c r="AZ211" i="3"/>
  <c r="AZ289" i="3"/>
  <c r="BO349" i="4" s="1"/>
  <c r="BF365" i="3"/>
  <c r="BU349" i="4"/>
  <c r="V288" i="3"/>
  <c r="L209" i="3"/>
  <c r="T286" i="3"/>
  <c r="AI348" i="4" s="1"/>
  <c r="L207" i="3"/>
  <c r="BJ206" i="3"/>
  <c r="BJ285" i="3"/>
  <c r="BY348" i="4" s="1"/>
  <c r="AH206" i="3"/>
  <c r="AH285" i="3"/>
  <c r="AD206" i="3"/>
  <c r="AD285" i="3"/>
  <c r="AS348" i="4" s="1"/>
  <c r="T361" i="3"/>
  <c r="BJ359" i="3"/>
  <c r="V282" i="3"/>
  <c r="L202" i="3"/>
  <c r="AV514" i="3"/>
  <c r="X514" i="3"/>
  <c r="AX508" i="3"/>
  <c r="L193" i="3"/>
  <c r="AJ428" i="3"/>
  <c r="AJ349" i="3"/>
  <c r="T272" i="3"/>
  <c r="L191" i="3"/>
  <c r="Z348" i="3"/>
  <c r="Z427" i="3"/>
  <c r="V269" i="3"/>
  <c r="L188" i="3"/>
  <c r="AR345" i="3"/>
  <c r="AR424" i="3"/>
  <c r="V267" i="3"/>
  <c r="L186" i="3"/>
  <c r="AZ266" i="3"/>
  <c r="AZ213" i="3"/>
  <c r="AF266" i="3"/>
  <c r="AF213" i="3"/>
  <c r="BN265" i="3"/>
  <c r="BN213" i="3"/>
  <c r="BJ265" i="3"/>
  <c r="BJ213" i="3"/>
  <c r="AX265" i="3"/>
  <c r="AX213" i="3"/>
  <c r="V499" i="3"/>
  <c r="AZ50" i="53"/>
  <c r="AZ52" i="53" s="1"/>
  <c r="AT50" i="53"/>
  <c r="AT52" i="53" s="1"/>
  <c r="AF514" i="3"/>
  <c r="BA349" i="4"/>
  <c r="AX365" i="3"/>
  <c r="AX522" i="3" s="1"/>
  <c r="BE348" i="4"/>
  <c r="BM349" i="4"/>
  <c r="AH365" i="3"/>
  <c r="AH522" i="3" s="1"/>
  <c r="AN434" i="3"/>
  <c r="AN512" i="3" s="1"/>
  <c r="AZ434" i="3"/>
  <c r="AZ512" i="3" s="1"/>
  <c r="AT430" i="3"/>
  <c r="AT508" i="3" s="1"/>
  <c r="AV349" i="3"/>
  <c r="AV506" i="3" s="1"/>
  <c r="AT365" i="3"/>
  <c r="AT522" i="3" s="1"/>
  <c r="BB351" i="3"/>
  <c r="BB508" i="3" s="1"/>
  <c r="BN365" i="3"/>
  <c r="BO346" i="4"/>
  <c r="AU342" i="4"/>
  <c r="AU331" i="4" s="1"/>
  <c r="AH430" i="3"/>
  <c r="AH508" i="3" s="1"/>
  <c r="BH343" i="3"/>
  <c r="AJ363" i="3"/>
  <c r="AJ520" i="3" s="1"/>
  <c r="AP344" i="3"/>
  <c r="AP501" i="3" s="1"/>
  <c r="BF342" i="3"/>
  <c r="BF499" i="3" s="1"/>
  <c r="AJ343" i="3"/>
  <c r="BN427" i="3"/>
  <c r="BN505" i="3" s="1"/>
  <c r="BH426" i="3"/>
  <c r="BH504" i="3" s="1"/>
  <c r="T347" i="3"/>
  <c r="T504" i="3" s="1"/>
  <c r="AB428" i="3"/>
  <c r="AB506" i="3" s="1"/>
  <c r="BB342" i="3"/>
  <c r="BD347" i="3"/>
  <c r="BD504" i="3" s="1"/>
  <c r="X343" i="3"/>
  <c r="AL359" i="3"/>
  <c r="AL516" i="3" s="1"/>
  <c r="BP422" i="3"/>
  <c r="BP500" i="3" s="1"/>
  <c r="BF344" i="3"/>
  <c r="BF501" i="3" s="1"/>
  <c r="AR349" i="3"/>
  <c r="BJ346" i="3"/>
  <c r="Z351" i="3"/>
  <c r="Z508" i="3" s="1"/>
  <c r="AT346" i="3"/>
  <c r="AT503" i="3" s="1"/>
  <c r="AB345" i="3"/>
  <c r="BP349" i="3"/>
  <c r="BA341" i="4"/>
  <c r="BI345" i="4"/>
  <c r="BH440" i="3"/>
  <c r="BB365" i="3"/>
  <c r="AO343" i="4"/>
  <c r="AO329" i="4" s="1"/>
  <c r="AY344" i="4"/>
  <c r="X428" i="3"/>
  <c r="X353" i="3"/>
  <c r="X510" i="3" s="1"/>
  <c r="BP345" i="3"/>
  <c r="BP502" i="3" s="1"/>
  <c r="AF349" i="3"/>
  <c r="AF506" i="3" s="1"/>
  <c r="X355" i="3"/>
  <c r="X512" i="3" s="1"/>
  <c r="AY342" i="4"/>
  <c r="AK345" i="4"/>
  <c r="AO345" i="4"/>
  <c r="BY341" i="4"/>
  <c r="BK344" i="4"/>
  <c r="BP361" i="3"/>
  <c r="BP518" i="3" s="1"/>
  <c r="BH345" i="3"/>
  <c r="BH502" i="3" s="1"/>
  <c r="BL440" i="3"/>
  <c r="BL518" i="3" s="1"/>
  <c r="BJ438" i="3"/>
  <c r="BP442" i="3"/>
  <c r="BP520" i="3" s="1"/>
  <c r="AF440" i="3"/>
  <c r="AF518" i="3" s="1"/>
  <c r="BL347" i="3"/>
  <c r="BL504" i="3" s="1"/>
  <c r="V213" i="3"/>
  <c r="AP265" i="3"/>
  <c r="BP213" i="3"/>
  <c r="AH213" i="3"/>
  <c r="BH213" i="3"/>
  <c r="BD289" i="3"/>
  <c r="BS349" i="4" s="1"/>
  <c r="BD213" i="3"/>
  <c r="BG342" i="4"/>
  <c r="BG331" i="4" s="1"/>
  <c r="BN444" i="3"/>
  <c r="V274" i="3"/>
  <c r="BM361" i="3"/>
  <c r="BM440" i="3"/>
  <c r="BP348" i="4"/>
  <c r="AJ440" i="3"/>
  <c r="AJ518" i="3" s="1"/>
  <c r="AH514" i="3"/>
  <c r="AP435" i="3"/>
  <c r="AP513" i="3" s="1"/>
  <c r="BF444" i="3"/>
  <c r="AN363" i="3"/>
  <c r="AN520" i="3" s="1"/>
  <c r="BJ444" i="3"/>
  <c r="BJ522" i="3" s="1"/>
  <c r="AD348" i="3"/>
  <c r="AD505" i="3" s="1"/>
  <c r="AB432" i="3"/>
  <c r="AB510" i="3" s="1"/>
  <c r="BS344" i="4"/>
  <c r="BM343" i="4"/>
  <c r="BM329" i="4" s="1"/>
  <c r="AB440" i="3"/>
  <c r="AB518" i="3" s="1"/>
  <c r="AZ440" i="3"/>
  <c r="AZ518" i="3" s="1"/>
  <c r="CE340" i="4"/>
  <c r="AR428" i="3"/>
  <c r="AL427" i="3"/>
  <c r="AD435" i="3"/>
  <c r="BJ356" i="3"/>
  <c r="BJ513" i="3" s="1"/>
  <c r="BH363" i="3"/>
  <c r="BH520" i="3" s="1"/>
  <c r="X442" i="3"/>
  <c r="X520" i="3" s="1"/>
  <c r="V356" i="3"/>
  <c r="AH348" i="3"/>
  <c r="AH505" i="3" s="1"/>
  <c r="AZ349" i="3"/>
  <c r="AZ506" i="3" s="1"/>
  <c r="BI348" i="4"/>
  <c r="Z425" i="3"/>
  <c r="Z503" i="3" s="1"/>
  <c r="AT348" i="3"/>
  <c r="AT505" i="3" s="1"/>
  <c r="AR363" i="3"/>
  <c r="AR520" i="3" s="1"/>
  <c r="AW345" i="4"/>
  <c r="BB356" i="3"/>
  <c r="BB513" i="3" s="1"/>
  <c r="T440" i="3"/>
  <c r="AL430" i="3"/>
  <c r="AL508" i="3" s="1"/>
  <c r="AJ345" i="3"/>
  <c r="AJ502" i="3" s="1"/>
  <c r="AD342" i="3"/>
  <c r="AD499" i="3" s="1"/>
  <c r="BE345" i="4"/>
  <c r="BN359" i="3"/>
  <c r="BN516" i="3" s="1"/>
  <c r="AP438" i="3"/>
  <c r="AP516" i="3" s="1"/>
  <c r="BS346" i="4"/>
  <c r="AD359" i="3"/>
  <c r="AD516" i="3" s="1"/>
  <c r="AD444" i="3"/>
  <c r="AD522" i="3" s="1"/>
  <c r="AJ289" i="3"/>
  <c r="AY349" i="4" s="1"/>
  <c r="AB213" i="3"/>
  <c r="AD213" i="3"/>
  <c r="Z213" i="3"/>
  <c r="BF213" i="3"/>
  <c r="BL213" i="3"/>
  <c r="L199" i="3"/>
  <c r="BH289" i="3"/>
  <c r="BW349" i="4" s="1"/>
  <c r="L200" i="3"/>
  <c r="AV213" i="3"/>
  <c r="L195" i="3"/>
  <c r="L205" i="3"/>
  <c r="X213" i="3"/>
  <c r="AN211" i="3"/>
  <c r="AB211" i="3"/>
  <c r="Z342" i="3"/>
  <c r="AS339" i="4"/>
  <c r="AS328" i="4" s="1"/>
  <c r="BB438" i="3"/>
  <c r="BB516" i="3" s="1"/>
  <c r="V285" i="3"/>
  <c r="AW506" i="3"/>
  <c r="BO348" i="4"/>
  <c r="AQ348" i="4"/>
  <c r="Z438" i="3"/>
  <c r="Z516" i="3" s="1"/>
  <c r="BK347" i="4"/>
  <c r="BL363" i="3"/>
  <c r="BL520" i="3" s="1"/>
  <c r="AL285" i="3"/>
  <c r="BA348" i="4" s="1"/>
  <c r="AM505" i="3"/>
  <c r="AV434" i="3"/>
  <c r="AV512" i="3" s="1"/>
  <c r="AR426" i="3"/>
  <c r="AH344" i="3"/>
  <c r="AH501" i="3" s="1"/>
  <c r="BH422" i="3"/>
  <c r="AN424" i="3"/>
  <c r="AD423" i="3"/>
  <c r="AD501" i="3" s="1"/>
  <c r="BD422" i="3"/>
  <c r="BD500" i="3" s="1"/>
  <c r="AX346" i="3"/>
  <c r="AX503" i="3" s="1"/>
  <c r="AQ340" i="4"/>
  <c r="BF427" i="3"/>
  <c r="BF505" i="3" s="1"/>
  <c r="AZ353" i="3"/>
  <c r="AZ510" i="3" s="1"/>
  <c r="BU345" i="4"/>
  <c r="AV353" i="3"/>
  <c r="AV510" i="3" s="1"/>
  <c r="AW343" i="4"/>
  <c r="AW329" i="4" s="1"/>
  <c r="AF442" i="3"/>
  <c r="AF520" i="3" s="1"/>
  <c r="AX438" i="3"/>
  <c r="AX516" i="3" s="1"/>
  <c r="Z444" i="3"/>
  <c r="AU346" i="4"/>
  <c r="BD440" i="3"/>
  <c r="BD518" i="3" s="1"/>
  <c r="X345" i="3"/>
  <c r="X502" i="3" s="1"/>
  <c r="BN351" i="3"/>
  <c r="Z356" i="3"/>
  <c r="Z513" i="3" s="1"/>
  <c r="AB422" i="3"/>
  <c r="AB500" i="3" s="1"/>
  <c r="AY346" i="4"/>
  <c r="AN349" i="3"/>
  <c r="AN506" i="3" s="1"/>
  <c r="BY349" i="4"/>
  <c r="AN213" i="3"/>
  <c r="AJ213" i="3"/>
  <c r="X289" i="3"/>
  <c r="AM349" i="4" s="1"/>
  <c r="AP348" i="3"/>
  <c r="AP505" i="3" s="1"/>
  <c r="T289" i="3"/>
  <c r="AI349" i="4" s="1"/>
  <c r="Z285" i="3"/>
  <c r="AO348" i="4" s="1"/>
  <c r="AJ349" i="4"/>
  <c r="AM348" i="4"/>
  <c r="BD349" i="4"/>
  <c r="BK512" i="3"/>
  <c r="AB516" i="3"/>
  <c r="AR516" i="3"/>
  <c r="AD520" i="3"/>
  <c r="AM524" i="3"/>
  <c r="AW348" i="4"/>
  <c r="AC513" i="3"/>
  <c r="AR524" i="3"/>
  <c r="BI522" i="3"/>
  <c r="AH510" i="3"/>
  <c r="AO512" i="3"/>
  <c r="AY508" i="3"/>
  <c r="AO510" i="3"/>
  <c r="BM510" i="3"/>
  <c r="AG508" i="3"/>
  <c r="AY516" i="3"/>
  <c r="AY50" i="53"/>
  <c r="AC506" i="3"/>
  <c r="AJ516" i="3"/>
  <c r="S508" i="3"/>
  <c r="AH503" i="3"/>
  <c r="BP426" i="3"/>
  <c r="BP347" i="3"/>
  <c r="CE344" i="4"/>
  <c r="W348" i="3"/>
  <c r="AL345" i="4"/>
  <c r="W427" i="3"/>
  <c r="R513" i="3"/>
  <c r="Y513" i="3"/>
  <c r="AE512" i="3"/>
  <c r="BC512" i="3"/>
  <c r="W512" i="3"/>
  <c r="BF349" i="4"/>
  <c r="AE508" i="3"/>
  <c r="BK501" i="3"/>
  <c r="AI513" i="3"/>
  <c r="AA508" i="3"/>
  <c r="AQ513" i="3"/>
  <c r="U365" i="3"/>
  <c r="U522" i="3" s="1"/>
  <c r="BL348" i="4"/>
  <c r="BG512" i="3"/>
  <c r="BN430" i="3"/>
  <c r="AL349" i="4"/>
  <c r="BC50" i="53"/>
  <c r="AU50" i="53"/>
  <c r="AU52" i="53" s="1"/>
  <c r="AQ50" i="53"/>
  <c r="AV50" i="53"/>
  <c r="AV52" i="53" s="1"/>
  <c r="AR50" i="53"/>
  <c r="AR52" i="53" s="1"/>
  <c r="BA50" i="53"/>
  <c r="BA52" i="53" s="1"/>
  <c r="AW50" i="53"/>
  <c r="AW52" i="53" s="1"/>
  <c r="AS50" i="53"/>
  <c r="AS52" i="53" s="1"/>
  <c r="BB50" i="53"/>
  <c r="BB52" i="53" s="1"/>
  <c r="AX50" i="53"/>
  <c r="BD50" i="53"/>
  <c r="BD52" i="53" s="1"/>
  <c r="AA64" i="53"/>
  <c r="AA25" i="53"/>
  <c r="AT64" i="53"/>
  <c r="AT25" i="53"/>
  <c r="AH25" i="53"/>
  <c r="AH64" i="53"/>
  <c r="AY64" i="53"/>
  <c r="AY25" i="53"/>
  <c r="AD25" i="53"/>
  <c r="AD64" i="53"/>
  <c r="BB64" i="53"/>
  <c r="BB25" i="53"/>
  <c r="J166" i="3"/>
  <c r="L166" i="3"/>
  <c r="R168" i="3"/>
  <c r="K25" i="53"/>
  <c r="K64" i="53"/>
  <c r="AQ64" i="53"/>
  <c r="Z168" i="3"/>
  <c r="AL25" i="53"/>
  <c r="AL64" i="53"/>
  <c r="AX25" i="53"/>
  <c r="AX64" i="53"/>
  <c r="AJ168" i="3"/>
  <c r="AI64" i="53"/>
  <c r="AI25" i="53"/>
  <c r="AU349" i="3"/>
  <c r="BJ346" i="4"/>
  <c r="BB348" i="3"/>
  <c r="BB505" i="3" s="1"/>
  <c r="BQ345" i="4"/>
  <c r="AW348" i="3"/>
  <c r="BE422" i="3"/>
  <c r="BE343" i="3"/>
  <c r="BT340" i="4"/>
  <c r="AY365" i="3"/>
  <c r="BN349" i="4"/>
  <c r="BG363" i="3"/>
  <c r="L286" i="3"/>
  <c r="BG442" i="3"/>
  <c r="AI63" i="53"/>
  <c r="AI512" i="3"/>
  <c r="Z432" i="3"/>
  <c r="AI312" i="3" l="1"/>
  <c r="AI468" i="3" s="1"/>
  <c r="AI390" i="3"/>
  <c r="W51" i="53" s="1"/>
  <c r="BB312" i="3"/>
  <c r="BB468" i="3" s="1"/>
  <c r="BB390" i="3"/>
  <c r="AP51" i="53" s="1"/>
  <c r="BO468" i="3"/>
  <c r="BK468" i="3"/>
  <c r="AU390" i="3"/>
  <c r="AI51" i="53" s="1"/>
  <c r="AU312" i="3"/>
  <c r="AH390" i="3"/>
  <c r="V51" i="53" s="1"/>
  <c r="AH312" i="3"/>
  <c r="AH468" i="3" s="1"/>
  <c r="BC312" i="3"/>
  <c r="BC390" i="3"/>
  <c r="AQ51" i="53" s="1"/>
  <c r="AQ52" i="53" s="1"/>
  <c r="BH468" i="3"/>
  <c r="U23" i="3"/>
  <c r="BC52" i="53"/>
  <c r="AE312" i="3"/>
  <c r="AE468" i="3" s="1"/>
  <c r="AE390" i="3"/>
  <c r="S51" i="53" s="1"/>
  <c r="AJ312" i="3"/>
  <c r="AJ390" i="3"/>
  <c r="X51" i="53" s="1"/>
  <c r="AF390" i="3"/>
  <c r="T51" i="53" s="1"/>
  <c r="AF312" i="3"/>
  <c r="AF468" i="3" s="1"/>
  <c r="AG312" i="3"/>
  <c r="AG390" i="3"/>
  <c r="U51" i="53" s="1"/>
  <c r="AP52" i="53"/>
  <c r="AO52" i="53"/>
  <c r="BM468" i="3"/>
  <c r="BE468" i="3"/>
  <c r="BJ390" i="3"/>
  <c r="AX51" i="53" s="1"/>
  <c r="BJ312" i="3"/>
  <c r="BJ468" i="3" s="1"/>
  <c r="K8" i="51"/>
  <c r="E8" i="51"/>
  <c r="C10" i="51"/>
  <c r="G8" i="51"/>
  <c r="F8" i="51"/>
  <c r="J8" i="51"/>
  <c r="C15" i="51"/>
  <c r="C18" i="51" s="1"/>
  <c r="I8" i="51"/>
  <c r="M7" i="51" s="1"/>
  <c r="H8" i="51"/>
  <c r="L7" i="51" s="1"/>
  <c r="C8" i="51"/>
  <c r="G7" i="51" s="1"/>
  <c r="M8" i="51"/>
  <c r="AX52" i="53"/>
  <c r="AY52" i="53"/>
  <c r="AC312" i="3"/>
  <c r="AC468" i="3" s="1"/>
  <c r="AC390" i="3"/>
  <c r="Q51" i="53" s="1"/>
  <c r="BA468" i="3"/>
  <c r="G8" i="53"/>
  <c r="T20" i="3"/>
  <c r="S297" i="3"/>
  <c r="F7" i="51"/>
  <c r="H7" i="51"/>
  <c r="F11" i="51"/>
  <c r="F13" i="51" s="1"/>
  <c r="AE490" i="3"/>
  <c r="AA524" i="3"/>
  <c r="Z499" i="3"/>
  <c r="AA477" i="3"/>
  <c r="AB502" i="3"/>
  <c r="L268" i="3"/>
  <c r="S502" i="3"/>
  <c r="P44" i="53"/>
  <c r="X45" i="53"/>
  <c r="W68" i="3"/>
  <c r="W227" i="3"/>
  <c r="AH8" i="4"/>
  <c r="AX477" i="3"/>
  <c r="U477" i="3"/>
  <c r="Y39" i="3"/>
  <c r="Y41" i="3" s="1"/>
  <c r="X49" i="53"/>
  <c r="S45" i="53"/>
  <c r="U514" i="3"/>
  <c r="T48" i="53"/>
  <c r="N44" i="53"/>
  <c r="Z48" i="53"/>
  <c r="AF48" i="53"/>
  <c r="AE45" i="53"/>
  <c r="W49" i="53"/>
  <c r="AE48" i="53"/>
  <c r="U516" i="3"/>
  <c r="X504" i="3"/>
  <c r="U45" i="53"/>
  <c r="G46" i="53"/>
  <c r="AC49" i="53"/>
  <c r="W522" i="3"/>
  <c r="U508" i="3"/>
  <c r="Y501" i="3"/>
  <c r="W504" i="3"/>
  <c r="X506" i="3"/>
  <c r="X500" i="3"/>
  <c r="AB45" i="53"/>
  <c r="AE44" i="53"/>
  <c r="I49" i="53"/>
  <c r="V44" i="53"/>
  <c r="AI45" i="53"/>
  <c r="W516" i="3"/>
  <c r="U518" i="3"/>
  <c r="Y510" i="3"/>
  <c r="Y499" i="3"/>
  <c r="O38" i="4"/>
  <c r="O47" i="4"/>
  <c r="Q44" i="53"/>
  <c r="J44" i="53"/>
  <c r="M45" i="53"/>
  <c r="S48" i="53"/>
  <c r="AH45" i="53"/>
  <c r="X46" i="53"/>
  <c r="V46" i="53"/>
  <c r="AB44" i="53"/>
  <c r="AA44" i="53"/>
  <c r="M48" i="53"/>
  <c r="K48" i="53"/>
  <c r="L48" i="53"/>
  <c r="N45" i="53"/>
  <c r="T49" i="53"/>
  <c r="O48" i="53"/>
  <c r="S49" i="53"/>
  <c r="AG44" i="53"/>
  <c r="H45" i="53"/>
  <c r="N49" i="53"/>
  <c r="AI47" i="53"/>
  <c r="AF44" i="53"/>
  <c r="R49" i="53"/>
  <c r="AH47" i="53"/>
  <c r="U47" i="53"/>
  <c r="S44" i="53"/>
  <c r="AI44" i="53"/>
  <c r="F46" i="53"/>
  <c r="O47" i="53"/>
  <c r="AD48" i="53"/>
  <c r="AB47" i="53"/>
  <c r="V47" i="53"/>
  <c r="AG47" i="53"/>
  <c r="L46" i="53"/>
  <c r="AC44" i="53"/>
  <c r="AI49" i="53"/>
  <c r="X48" i="53"/>
  <c r="W46" i="53"/>
  <c r="L45" i="53"/>
  <c r="I45" i="53"/>
  <c r="S46" i="53"/>
  <c r="Y47" i="53"/>
  <c r="I46" i="53"/>
  <c r="H44" i="53"/>
  <c r="AC45" i="53"/>
  <c r="N46" i="53"/>
  <c r="U48" i="53"/>
  <c r="I48" i="53"/>
  <c r="R45" i="53"/>
  <c r="G48" i="53"/>
  <c r="F44" i="53"/>
  <c r="L181" i="3"/>
  <c r="L33" i="3"/>
  <c r="AB477" i="3"/>
  <c r="AT477" i="3"/>
  <c r="W510" i="3"/>
  <c r="H46" i="53"/>
  <c r="AF49" i="53"/>
  <c r="AH44" i="53"/>
  <c r="Y46" i="53"/>
  <c r="AD44" i="53"/>
  <c r="AI48" i="53"/>
  <c r="R48" i="53"/>
  <c r="Z49" i="53"/>
  <c r="K49" i="53"/>
  <c r="K47" i="53"/>
  <c r="M44" i="53"/>
  <c r="X44" i="53"/>
  <c r="O49" i="53"/>
  <c r="U44" i="53"/>
  <c r="M47" i="53"/>
  <c r="F45" i="53"/>
  <c r="AI46" i="53"/>
  <c r="J46" i="53"/>
  <c r="AB46" i="53"/>
  <c r="P49" i="53"/>
  <c r="K45" i="53"/>
  <c r="Q49" i="53"/>
  <c r="AD49" i="53"/>
  <c r="U502" i="3"/>
  <c r="W304" i="3"/>
  <c r="K22" i="53" s="1"/>
  <c r="W382" i="3"/>
  <c r="W460" i="3" s="1"/>
  <c r="X480" i="3"/>
  <c r="L26" i="53"/>
  <c r="M26" i="53"/>
  <c r="Y480" i="3"/>
  <c r="V151" i="3"/>
  <c r="V248" i="3" s="1"/>
  <c r="V406" i="3" s="1"/>
  <c r="I44" i="53"/>
  <c r="H48" i="53"/>
  <c r="AC47" i="53"/>
  <c r="R44" i="53"/>
  <c r="L47" i="53"/>
  <c r="AE49" i="53"/>
  <c r="AD45" i="53"/>
  <c r="L44" i="53"/>
  <c r="Y44" i="53"/>
  <c r="AG49" i="53"/>
  <c r="J49" i="53"/>
  <c r="U46" i="53"/>
  <c r="N48" i="53"/>
  <c r="AB49" i="53"/>
  <c r="I47" i="53"/>
  <c r="K46" i="53"/>
  <c r="Q48" i="53"/>
  <c r="F49" i="53"/>
  <c r="P48" i="53"/>
  <c r="O46" i="53"/>
  <c r="M46" i="53"/>
  <c r="AF46" i="53"/>
  <c r="Z44" i="53"/>
  <c r="J47" i="53"/>
  <c r="AF45" i="53"/>
  <c r="L49" i="53"/>
  <c r="V48" i="53"/>
  <c r="T46" i="53"/>
  <c r="AH49" i="53"/>
  <c r="X47" i="53"/>
  <c r="V49" i="53"/>
  <c r="U49" i="53"/>
  <c r="AD46" i="53"/>
  <c r="G49" i="53"/>
  <c r="P47" i="53"/>
  <c r="W44" i="53"/>
  <c r="K44" i="53"/>
  <c r="AG45" i="53"/>
  <c r="R47" i="53"/>
  <c r="AG46" i="53"/>
  <c r="G45" i="53"/>
  <c r="AC48" i="53"/>
  <c r="AC46" i="53"/>
  <c r="W222" i="3"/>
  <c r="N47" i="53"/>
  <c r="W47" i="53"/>
  <c r="I26" i="53"/>
  <c r="U480" i="3"/>
  <c r="K26" i="53"/>
  <c r="W480" i="3"/>
  <c r="Z46" i="53"/>
  <c r="J45" i="53"/>
  <c r="Z47" i="53"/>
  <c r="W48" i="53"/>
  <c r="S47" i="53"/>
  <c r="F47" i="53"/>
  <c r="AF47" i="53"/>
  <c r="R46" i="53"/>
  <c r="T47" i="53"/>
  <c r="AD47" i="53"/>
  <c r="Q46" i="53"/>
  <c r="F48" i="53"/>
  <c r="AA47" i="53"/>
  <c r="AA49" i="53"/>
  <c r="Z45" i="53"/>
  <c r="V45" i="53"/>
  <c r="P46" i="53"/>
  <c r="T45" i="53"/>
  <c r="O44" i="53"/>
  <c r="J48" i="53"/>
  <c r="Q47" i="53"/>
  <c r="H47" i="53"/>
  <c r="G44" i="53"/>
  <c r="Y45" i="53"/>
  <c r="Y49" i="53"/>
  <c r="M49" i="53"/>
  <c r="AH46" i="53"/>
  <c r="AH48" i="53"/>
  <c r="AA45" i="53"/>
  <c r="AG48" i="53"/>
  <c r="W45" i="53"/>
  <c r="AB48" i="53"/>
  <c r="AE46" i="53"/>
  <c r="T44" i="53"/>
  <c r="G47" i="53"/>
  <c r="Q45" i="53"/>
  <c r="P45" i="53"/>
  <c r="H49" i="53"/>
  <c r="Y48" i="53"/>
  <c r="AA48" i="53"/>
  <c r="O45" i="53"/>
  <c r="AA46" i="53"/>
  <c r="AE47" i="53"/>
  <c r="Y255" i="3"/>
  <c r="Z255" i="3"/>
  <c r="V255" i="3"/>
  <c r="W255" i="3"/>
  <c r="I45" i="4"/>
  <c r="T324" i="3"/>
  <c r="T402" i="3"/>
  <c r="L244" i="3"/>
  <c r="T151" i="3"/>
  <c r="T248" i="3" s="1"/>
  <c r="T331" i="3"/>
  <c r="T409" i="3"/>
  <c r="AH351" i="4"/>
  <c r="E62" i="53"/>
  <c r="AX330" i="4"/>
  <c r="AH330" i="4"/>
  <c r="AH333" i="4" s="1"/>
  <c r="AP330" i="4"/>
  <c r="AB168" i="3"/>
  <c r="J167" i="3"/>
  <c r="AP504" i="3"/>
  <c r="R506" i="3"/>
  <c r="AM514" i="3"/>
  <c r="AO422" i="3"/>
  <c r="AO343" i="3"/>
  <c r="BD340" i="4"/>
  <c r="BD351" i="4" s="1"/>
  <c r="BK499" i="3"/>
  <c r="BA500" i="3"/>
  <c r="AA501" i="3"/>
  <c r="AI503" i="3"/>
  <c r="Y506" i="3"/>
  <c r="AW502" i="3"/>
  <c r="BV330" i="4"/>
  <c r="AF513" i="3"/>
  <c r="AB513" i="3"/>
  <c r="BM503" i="3"/>
  <c r="AZ503" i="3"/>
  <c r="AB499" i="3"/>
  <c r="AP500" i="3"/>
  <c r="BN500" i="3"/>
  <c r="X501" i="3"/>
  <c r="AV501" i="3"/>
  <c r="X503" i="3"/>
  <c r="Z504" i="3"/>
  <c r="T508" i="3"/>
  <c r="AP510" i="3"/>
  <c r="Z512" i="3"/>
  <c r="AT514" i="3"/>
  <c r="AR522" i="3"/>
  <c r="R510" i="3"/>
  <c r="AL506" i="3"/>
  <c r="AH520" i="3"/>
  <c r="AW510" i="3"/>
  <c r="S504" i="3"/>
  <c r="S501" i="3"/>
  <c r="AW504" i="3"/>
  <c r="U506" i="3"/>
  <c r="AM508" i="3"/>
  <c r="BC508" i="3"/>
  <c r="BM512" i="3"/>
  <c r="AE513" i="3"/>
  <c r="AU513" i="3"/>
  <c r="AK514" i="3"/>
  <c r="AS518" i="3"/>
  <c r="AS520" i="3"/>
  <c r="R505" i="3"/>
  <c r="AA499" i="3"/>
  <c r="AM522" i="3"/>
  <c r="BI502" i="3"/>
  <c r="AS512" i="3"/>
  <c r="AO514" i="3"/>
  <c r="BH501" i="3"/>
  <c r="AV505" i="3"/>
  <c r="BB502" i="3"/>
  <c r="AP506" i="3"/>
  <c r="AZ524" i="3"/>
  <c r="AP518" i="3"/>
  <c r="AX514" i="3"/>
  <c r="AW343" i="3"/>
  <c r="BL340" i="4"/>
  <c r="BL351" i="4" s="1"/>
  <c r="AW422" i="3"/>
  <c r="BG516" i="3"/>
  <c r="AU524" i="3"/>
  <c r="AQ506" i="3"/>
  <c r="W503" i="3"/>
  <c r="AN522" i="3"/>
  <c r="AX524" i="3"/>
  <c r="AM506" i="3"/>
  <c r="BI514" i="3"/>
  <c r="AK502" i="3"/>
  <c r="BE520" i="3"/>
  <c r="BE506" i="3"/>
  <c r="AV499" i="3"/>
  <c r="AR499" i="3"/>
  <c r="AH500" i="3"/>
  <c r="BN502" i="3"/>
  <c r="BF504" i="3"/>
  <c r="BD516" i="3"/>
  <c r="BO513" i="3"/>
  <c r="J20" i="57"/>
  <c r="J2" i="57"/>
  <c r="K9" i="57"/>
  <c r="BP506" i="3"/>
  <c r="AW516" i="3"/>
  <c r="BM506" i="3"/>
  <c r="T501" i="3"/>
  <c r="BM505" i="3"/>
  <c r="AS501" i="3"/>
  <c r="AW503" i="3"/>
  <c r="BI504" i="3"/>
  <c r="AS506" i="3"/>
  <c r="W524" i="3"/>
  <c r="Y524" i="3"/>
  <c r="AN349" i="4"/>
  <c r="AN330" i="4" s="1"/>
  <c r="AN333" i="4" s="1"/>
  <c r="AB503" i="3"/>
  <c r="AU424" i="3"/>
  <c r="AU345" i="3"/>
  <c r="AU502" i="3" s="1"/>
  <c r="BJ342" i="4"/>
  <c r="BJ331" i="4" s="1"/>
  <c r="AE505" i="3"/>
  <c r="T499" i="3"/>
  <c r="AZ513" i="3"/>
  <c r="AL518" i="3"/>
  <c r="AJ522" i="3"/>
  <c r="BP524" i="3"/>
  <c r="BI500" i="3"/>
  <c r="BD503" i="3"/>
  <c r="AJ503" i="3"/>
  <c r="V512" i="3"/>
  <c r="AT512" i="3"/>
  <c r="X513" i="3"/>
  <c r="BD513" i="3"/>
  <c r="BN514" i="3"/>
  <c r="BF512" i="3"/>
  <c r="AK508" i="3"/>
  <c r="S513" i="3"/>
  <c r="AQ524" i="3"/>
  <c r="X499" i="3"/>
  <c r="AZ499" i="3"/>
  <c r="BL499" i="3"/>
  <c r="AT504" i="3"/>
  <c r="AX504" i="3"/>
  <c r="BN504" i="3"/>
  <c r="AD510" i="3"/>
  <c r="BL513" i="3"/>
  <c r="V518" i="3"/>
  <c r="AB524" i="3"/>
  <c r="BL524" i="3"/>
  <c r="R508" i="3"/>
  <c r="AV516" i="3"/>
  <c r="BJ504" i="3"/>
  <c r="BN520" i="3"/>
  <c r="AF501" i="3"/>
  <c r="L435" i="3"/>
  <c r="BF522" i="3"/>
  <c r="BB522" i="3"/>
  <c r="BJ503" i="3"/>
  <c r="AJ500" i="3"/>
  <c r="BK508" i="3"/>
  <c r="BA510" i="3"/>
  <c r="BC502" i="3"/>
  <c r="BC524" i="3"/>
  <c r="Z522" i="3"/>
  <c r="AL505" i="3"/>
  <c r="BH518" i="3"/>
  <c r="AH499" i="3"/>
  <c r="AN500" i="3"/>
  <c r="BL500" i="3"/>
  <c r="BD502" i="3"/>
  <c r="BL502" i="3"/>
  <c r="AL503" i="3"/>
  <c r="BF503" i="3"/>
  <c r="T510" i="3"/>
  <c r="AR510" i="3"/>
  <c r="BL510" i="3"/>
  <c r="AJ514" i="3"/>
  <c r="AR514" i="3"/>
  <c r="BL514" i="3"/>
  <c r="AT516" i="3"/>
  <c r="X518" i="3"/>
  <c r="BD520" i="3"/>
  <c r="T524" i="3"/>
  <c r="U524" i="3"/>
  <c r="X524" i="3"/>
  <c r="R501" i="3"/>
  <c r="BE508" i="3"/>
  <c r="S499" i="3"/>
  <c r="BL503" i="3"/>
  <c r="V500" i="3"/>
  <c r="AL500" i="3"/>
  <c r="AZ501" i="3"/>
  <c r="AR503" i="3"/>
  <c r="Z506" i="3"/>
  <c r="X516" i="3"/>
  <c r="AT518" i="3"/>
  <c r="AJ524" i="3"/>
  <c r="BF500" i="3"/>
  <c r="AX502" i="3"/>
  <c r="AL504" i="3"/>
  <c r="AB505" i="3"/>
  <c r="BL505" i="3"/>
  <c r="Z520" i="3"/>
  <c r="BH505" i="3"/>
  <c r="BF506" i="3"/>
  <c r="AR504" i="3"/>
  <c r="S512" i="3"/>
  <c r="AZ502" i="3"/>
  <c r="AN510" i="3"/>
  <c r="AC524" i="3"/>
  <c r="AH512" i="3"/>
  <c r="AR513" i="3"/>
  <c r="R514" i="3"/>
  <c r="BP505" i="3"/>
  <c r="BH499" i="3"/>
  <c r="AT502" i="3"/>
  <c r="AE502" i="3"/>
  <c r="U499" i="3"/>
  <c r="BH503" i="3"/>
  <c r="BP503" i="3"/>
  <c r="BB504" i="3"/>
  <c r="X505" i="3"/>
  <c r="AF508" i="3"/>
  <c r="V510" i="3"/>
  <c r="AX510" i="3"/>
  <c r="V514" i="3"/>
  <c r="AN524" i="3"/>
  <c r="BF330" i="4"/>
  <c r="Z331" i="3"/>
  <c r="Z409" i="3"/>
  <c r="X409" i="3"/>
  <c r="X331" i="3"/>
  <c r="V331" i="3"/>
  <c r="V409" i="3"/>
  <c r="Y331" i="3"/>
  <c r="Y409" i="3"/>
  <c r="W409" i="3"/>
  <c r="W331" i="3"/>
  <c r="U331" i="3"/>
  <c r="U409" i="3"/>
  <c r="L251" i="3"/>
  <c r="BB477" i="3"/>
  <c r="BJ477" i="3"/>
  <c r="AG477" i="3"/>
  <c r="U255" i="3"/>
  <c r="T255" i="3"/>
  <c r="L254" i="3"/>
  <c r="U80" i="3"/>
  <c r="AM222" i="3"/>
  <c r="AM50" i="3"/>
  <c r="BO222" i="3"/>
  <c r="BO50" i="3"/>
  <c r="BO41" i="3"/>
  <c r="AL41" i="3"/>
  <c r="AL224" i="3" s="1"/>
  <c r="AL50" i="3"/>
  <c r="AL222" i="3"/>
  <c r="BB303" i="3"/>
  <c r="BB459" i="3" s="1"/>
  <c r="BB381" i="3"/>
  <c r="U93" i="3"/>
  <c r="AT459" i="3"/>
  <c r="AQ41" i="3"/>
  <c r="AQ224" i="3" s="1"/>
  <c r="AQ50" i="3"/>
  <c r="AQ222" i="3"/>
  <c r="AI41" i="3"/>
  <c r="AI224" i="3" s="1"/>
  <c r="AI50" i="3"/>
  <c r="AN41" i="3"/>
  <c r="AN224" i="3" s="1"/>
  <c r="AN50" i="3"/>
  <c r="AN222" i="3"/>
  <c r="AF303" i="3"/>
  <c r="AF381" i="3"/>
  <c r="BN381" i="3"/>
  <c r="BN303" i="3"/>
  <c r="AR304" i="3"/>
  <c r="AF22" i="53" s="1"/>
  <c r="AR382" i="3"/>
  <c r="AH41" i="3"/>
  <c r="AH50" i="3"/>
  <c r="AH222" i="3"/>
  <c r="U44" i="3"/>
  <c r="AZ460" i="3"/>
  <c r="L67" i="3"/>
  <c r="BJ222" i="3"/>
  <c r="BJ50" i="3"/>
  <c r="BJ41" i="3"/>
  <c r="BJ224" i="3" s="1"/>
  <c r="AR380" i="3"/>
  <c r="AR302" i="3"/>
  <c r="L45" i="3"/>
  <c r="U79" i="3"/>
  <c r="BC41" i="3"/>
  <c r="BC224" i="3" s="1"/>
  <c r="BC50" i="3"/>
  <c r="AZ302" i="3"/>
  <c r="AZ380" i="3"/>
  <c r="AB381" i="3"/>
  <c r="AB303" i="3"/>
  <c r="AL381" i="3"/>
  <c r="AL303" i="3"/>
  <c r="BJ381" i="3"/>
  <c r="BJ303" i="3"/>
  <c r="AW41" i="3"/>
  <c r="AW224" i="3" s="1"/>
  <c r="AW50" i="3"/>
  <c r="AW222" i="3"/>
  <c r="AN50" i="53"/>
  <c r="AN52" i="53" s="1"/>
  <c r="AP342" i="4"/>
  <c r="AA345" i="3"/>
  <c r="AA424" i="3"/>
  <c r="AI477" i="3"/>
  <c r="W124" i="3"/>
  <c r="U390" i="3"/>
  <c r="I51" i="53" s="1"/>
  <c r="U312" i="3"/>
  <c r="Z124" i="3"/>
  <c r="Y468" i="3"/>
  <c r="AA124" i="3"/>
  <c r="L74" i="3"/>
  <c r="T80" i="3"/>
  <c r="T124" i="3"/>
  <c r="X124" i="3"/>
  <c r="AB468" i="3"/>
  <c r="V124" i="3"/>
  <c r="AK50" i="53"/>
  <c r="AK52" i="53" s="1"/>
  <c r="AM50" i="53"/>
  <c r="AM52" i="53" s="1"/>
  <c r="AL50" i="53"/>
  <c r="AL52" i="53" s="1"/>
  <c r="BC351" i="4"/>
  <c r="BE477" i="3"/>
  <c r="BH477" i="3"/>
  <c r="T44" i="3"/>
  <c r="T39" i="3"/>
  <c r="AF31" i="53"/>
  <c r="AA302" i="3"/>
  <c r="AA458" i="3" s="1"/>
  <c r="AA380" i="3"/>
  <c r="AR351" i="4"/>
  <c r="BA477" i="3"/>
  <c r="X39" i="3"/>
  <c r="AJ50" i="53"/>
  <c r="AJ52" i="53" s="1"/>
  <c r="AW477" i="3"/>
  <c r="AY477" i="3"/>
  <c r="BC31" i="53"/>
  <c r="BO477" i="3"/>
  <c r="M31" i="4"/>
  <c r="M38" i="4" s="1"/>
  <c r="I36" i="4"/>
  <c r="BC330" i="4"/>
  <c r="BC333" i="4" s="1"/>
  <c r="BL477" i="3"/>
  <c r="CC330" i="4"/>
  <c r="BG330" i="4"/>
  <c r="BG333" i="4" s="1"/>
  <c r="W477" i="3"/>
  <c r="BC477" i="3"/>
  <c r="AE477" i="3"/>
  <c r="BW351" i="4"/>
  <c r="E59" i="53"/>
  <c r="E60" i="53"/>
  <c r="E63" i="53"/>
  <c r="E61" i="53"/>
  <c r="R248" i="3"/>
  <c r="AH483" i="3"/>
  <c r="AV247" i="3"/>
  <c r="AV151" i="3"/>
  <c r="AV248" i="3" s="1"/>
  <c r="AW151" i="3"/>
  <c r="AW248" i="3" s="1"/>
  <c r="AW247" i="3"/>
  <c r="AM151" i="3"/>
  <c r="AM248" i="3" s="1"/>
  <c r="AM247" i="3"/>
  <c r="AQ151" i="3"/>
  <c r="AQ248" i="3" s="1"/>
  <c r="AQ247" i="3"/>
  <c r="AK151" i="3"/>
  <c r="AK248" i="3" s="1"/>
  <c r="AK247" i="3"/>
  <c r="AX247" i="3"/>
  <c r="AX151" i="3"/>
  <c r="AX248" i="3" s="1"/>
  <c r="BG151" i="3"/>
  <c r="BG248" i="3" s="1"/>
  <c r="BG247" i="3"/>
  <c r="AR247" i="3"/>
  <c r="AR151" i="3"/>
  <c r="AR248" i="3" s="1"/>
  <c r="BL151" i="3"/>
  <c r="BL248" i="3" s="1"/>
  <c r="BL247" i="3"/>
  <c r="AY247" i="3"/>
  <c r="AY151" i="3"/>
  <c r="AY248" i="3" s="1"/>
  <c r="BK327" i="3"/>
  <c r="BK483" i="3" s="1"/>
  <c r="BK405" i="3"/>
  <c r="L148" i="3"/>
  <c r="BA247" i="3"/>
  <c r="BA151" i="3"/>
  <c r="BA248" i="3" s="1"/>
  <c r="AG247" i="3"/>
  <c r="AG151" i="3"/>
  <c r="AG248" i="3" s="1"/>
  <c r="AT151" i="3"/>
  <c r="AT248" i="3" s="1"/>
  <c r="AT247" i="3"/>
  <c r="AN247" i="3"/>
  <c r="AN151" i="3"/>
  <c r="AN248" i="3" s="1"/>
  <c r="Y247" i="3"/>
  <c r="Y151" i="3"/>
  <c r="Y248" i="3" s="1"/>
  <c r="V405" i="3"/>
  <c r="V327" i="3"/>
  <c r="V483" i="3" s="1"/>
  <c r="BI151" i="3"/>
  <c r="BI248" i="3" s="1"/>
  <c r="BI247" i="3"/>
  <c r="AD151" i="3"/>
  <c r="AD248" i="3" s="1"/>
  <c r="AD247" i="3"/>
  <c r="AF247" i="3"/>
  <c r="AF151" i="3"/>
  <c r="AF248" i="3" s="1"/>
  <c r="T405" i="3"/>
  <c r="T327" i="3"/>
  <c r="T483" i="3" s="1"/>
  <c r="BN405" i="3"/>
  <c r="BN327" i="3"/>
  <c r="BN483" i="3" s="1"/>
  <c r="AI327" i="3"/>
  <c r="AI405" i="3"/>
  <c r="BK406" i="3"/>
  <c r="BK328" i="3"/>
  <c r="BD484" i="3"/>
  <c r="AR28" i="53"/>
  <c r="X328" i="3"/>
  <c r="X406" i="3"/>
  <c r="BE151" i="3"/>
  <c r="BE248" i="3" s="1"/>
  <c r="BE247" i="3"/>
  <c r="BM247" i="3"/>
  <c r="BM151" i="3"/>
  <c r="BM248" i="3" s="1"/>
  <c r="Z151" i="3"/>
  <c r="Z248" i="3" s="1"/>
  <c r="Z247" i="3"/>
  <c r="AA247" i="3"/>
  <c r="AA151" i="3"/>
  <c r="AA248" i="3" s="1"/>
  <c r="AO247" i="3"/>
  <c r="AO151" i="3"/>
  <c r="AO248" i="3" s="1"/>
  <c r="X327" i="3"/>
  <c r="X405" i="3"/>
  <c r="W247" i="3"/>
  <c r="W151" i="3"/>
  <c r="W248" i="3" s="1"/>
  <c r="AP247" i="3"/>
  <c r="AP151" i="3"/>
  <c r="AP248" i="3" s="1"/>
  <c r="BH247" i="3"/>
  <c r="BH151" i="3"/>
  <c r="BH248" i="3" s="1"/>
  <c r="AC247" i="3"/>
  <c r="AC151" i="3"/>
  <c r="AC248" i="3" s="1"/>
  <c r="BN328" i="3"/>
  <c r="BN406" i="3"/>
  <c r="BJ406" i="3"/>
  <c r="BJ328" i="3"/>
  <c r="T406" i="3"/>
  <c r="T328" i="3"/>
  <c r="AJ247" i="3"/>
  <c r="AJ151" i="3"/>
  <c r="AJ248" i="3" s="1"/>
  <c r="BC405" i="3"/>
  <c r="BC327" i="3"/>
  <c r="BC483" i="3" s="1"/>
  <c r="BF151" i="3"/>
  <c r="BF248" i="3" s="1"/>
  <c r="BF247" i="3"/>
  <c r="AE247" i="3"/>
  <c r="AE151" i="3"/>
  <c r="AE248" i="3" s="1"/>
  <c r="AU151" i="3"/>
  <c r="AU248" i="3" s="1"/>
  <c r="AU247" i="3"/>
  <c r="BO247" i="3"/>
  <c r="BO151" i="3"/>
  <c r="BO248" i="3" s="1"/>
  <c r="R247" i="3"/>
  <c r="L150" i="3"/>
  <c r="U247" i="3"/>
  <c r="U151" i="3"/>
  <c r="U248" i="3" s="1"/>
  <c r="AL247" i="3"/>
  <c r="AL151" i="3"/>
  <c r="AL248" i="3" s="1"/>
  <c r="BC151" i="3"/>
  <c r="BC248" i="3" s="1"/>
  <c r="AI328" i="3"/>
  <c r="AI406" i="3"/>
  <c r="BJ327" i="3"/>
  <c r="BJ405" i="3"/>
  <c r="AW42" i="4"/>
  <c r="AW47" i="4" s="1"/>
  <c r="BE60" i="3"/>
  <c r="BE229" i="3" s="1"/>
  <c r="BE227" i="3"/>
  <c r="BE68" i="3"/>
  <c r="AG386" i="3"/>
  <c r="AG308" i="3"/>
  <c r="AG464" i="3" s="1"/>
  <c r="Y68" i="3"/>
  <c r="Y60" i="3"/>
  <c r="Y229" i="3" s="1"/>
  <c r="Y227" i="3"/>
  <c r="Q42" i="4"/>
  <c r="Q47" i="4" s="1"/>
  <c r="AY31" i="53"/>
  <c r="BK477" i="3"/>
  <c r="AE227" i="3"/>
  <c r="W42" i="4"/>
  <c r="AE68" i="3"/>
  <c r="AE60" i="3"/>
  <c r="AE229" i="3" s="1"/>
  <c r="AP386" i="3"/>
  <c r="AP308" i="3"/>
  <c r="AP464" i="3" s="1"/>
  <c r="AX386" i="3"/>
  <c r="AX308" i="3"/>
  <c r="AX464" i="3" s="1"/>
  <c r="Z477" i="3"/>
  <c r="T387" i="3"/>
  <c r="T309" i="3"/>
  <c r="AM351" i="4"/>
  <c r="BW330" i="4"/>
  <c r="BW333" i="4" s="1"/>
  <c r="S464" i="3"/>
  <c r="AH307" i="3"/>
  <c r="AH385" i="3"/>
  <c r="BL227" i="3"/>
  <c r="BL60" i="3"/>
  <c r="AB308" i="3"/>
  <c r="AB386" i="3"/>
  <c r="S98" i="3"/>
  <c r="S97" i="3" s="1"/>
  <c r="J42" i="4"/>
  <c r="J47" i="4" s="1"/>
  <c r="R227" i="3"/>
  <c r="R60" i="3"/>
  <c r="R68" i="3"/>
  <c r="T385" i="3"/>
  <c r="T463" i="3" s="1"/>
  <c r="T307" i="3"/>
  <c r="AL42" i="4"/>
  <c r="AL47" i="4" s="1"/>
  <c r="AT68" i="3"/>
  <c r="AT60" i="3"/>
  <c r="AT229" i="3" s="1"/>
  <c r="AT227" i="3"/>
  <c r="BG60" i="3"/>
  <c r="BG229" i="3" s="1"/>
  <c r="BG227" i="3"/>
  <c r="BG68" i="3"/>
  <c r="AY42" i="4"/>
  <c r="AY47" i="4" s="1"/>
  <c r="AA385" i="3"/>
  <c r="AA307" i="3"/>
  <c r="AA463" i="3" s="1"/>
  <c r="AJ464" i="3"/>
  <c r="X477" i="3"/>
  <c r="L64" i="3"/>
  <c r="BD60" i="3"/>
  <c r="AV42" i="4"/>
  <c r="AV47" i="4" s="1"/>
  <c r="BD227" i="3"/>
  <c r="BD68" i="3"/>
  <c r="AF386" i="3"/>
  <c r="AF308" i="3"/>
  <c r="AN386" i="3"/>
  <c r="AN308" i="3"/>
  <c r="AN464" i="3" s="1"/>
  <c r="AU477" i="3"/>
  <c r="AI227" i="3"/>
  <c r="AI68" i="3"/>
  <c r="AA42" i="4"/>
  <c r="AA47" i="4" s="1"/>
  <c r="AI60" i="3"/>
  <c r="AS386" i="3"/>
  <c r="AS308" i="3"/>
  <c r="AS464" i="3" s="1"/>
  <c r="AJ31" i="53"/>
  <c r="AV477" i="3"/>
  <c r="AB307" i="3"/>
  <c r="AB385" i="3"/>
  <c r="BH307" i="3"/>
  <c r="BH385" i="3"/>
  <c r="AT386" i="3"/>
  <c r="AT308" i="3"/>
  <c r="AT464" i="3" s="1"/>
  <c r="AI308" i="3"/>
  <c r="AI386" i="3"/>
  <c r="BC386" i="3"/>
  <c r="BC308" i="3"/>
  <c r="BC464" i="3" s="1"/>
  <c r="AB42" i="4"/>
  <c r="AB47" i="4" s="1"/>
  <c r="AJ60" i="3"/>
  <c r="AJ68" i="3"/>
  <c r="AJ227" i="3"/>
  <c r="AA229" i="3"/>
  <c r="AU31" i="53"/>
  <c r="BG477" i="3"/>
  <c r="S68" i="3"/>
  <c r="S227" i="3"/>
  <c r="AM68" i="3"/>
  <c r="AM227" i="3"/>
  <c r="AE42" i="4"/>
  <c r="AM60" i="3"/>
  <c r="AM229" i="3" s="1"/>
  <c r="AB31" i="53"/>
  <c r="AN477" i="3"/>
  <c r="BP339" i="4"/>
  <c r="BP328" i="4" s="1"/>
  <c r="BA342" i="3"/>
  <c r="BA499" i="3" s="1"/>
  <c r="BA421" i="3"/>
  <c r="BH340" i="4"/>
  <c r="AS343" i="3"/>
  <c r="AS500" i="3" s="1"/>
  <c r="AS422" i="3"/>
  <c r="AE344" i="3"/>
  <c r="AT341" i="4"/>
  <c r="AE423" i="3"/>
  <c r="AE501" i="3" s="1"/>
  <c r="BO428" i="3"/>
  <c r="CD346" i="4"/>
  <c r="BO349" i="3"/>
  <c r="BO506" i="3" s="1"/>
  <c r="BB421" i="3"/>
  <c r="BQ339" i="4"/>
  <c r="BQ328" i="4" s="1"/>
  <c r="BB501" i="3"/>
  <c r="AN504" i="3"/>
  <c r="U513" i="3"/>
  <c r="R502" i="3"/>
  <c r="AX342" i="4"/>
  <c r="AI345" i="3"/>
  <c r="AI424" i="3"/>
  <c r="AK504" i="3"/>
  <c r="AX501" i="3"/>
  <c r="T345" i="3"/>
  <c r="AI342" i="4"/>
  <c r="AI331" i="4" s="1"/>
  <c r="T424" i="3"/>
  <c r="AJ512" i="3"/>
  <c r="BD512" i="3"/>
  <c r="AT513" i="3"/>
  <c r="AR518" i="3"/>
  <c r="AR330" i="4"/>
  <c r="AR333" i="4" s="1"/>
  <c r="BJ516" i="3"/>
  <c r="AI508" i="3"/>
  <c r="BP510" i="3"/>
  <c r="AP524" i="3"/>
  <c r="BJ524" i="3"/>
  <c r="BH508" i="3"/>
  <c r="AD503" i="3"/>
  <c r="BI344" i="3"/>
  <c r="BX341" i="4"/>
  <c r="BX351" i="4" s="1"/>
  <c r="BI423" i="3"/>
  <c r="BI513" i="3"/>
  <c r="AC504" i="3"/>
  <c r="AQ499" i="3"/>
  <c r="BM344" i="3"/>
  <c r="CB341" i="4"/>
  <c r="BM423" i="3"/>
  <c r="AG343" i="3"/>
  <c r="AV340" i="4"/>
  <c r="AG422" i="3"/>
  <c r="U501" i="3"/>
  <c r="AN501" i="3"/>
  <c r="AQ502" i="3"/>
  <c r="AM503" i="3"/>
  <c r="U348" i="3"/>
  <c r="L348" i="3" s="1"/>
  <c r="AJ345" i="4"/>
  <c r="U427" i="3"/>
  <c r="W506" i="3"/>
  <c r="AT421" i="3"/>
  <c r="AT342" i="3"/>
  <c r="AT499" i="3" s="1"/>
  <c r="BI339" i="4"/>
  <c r="BI328" i="4" s="1"/>
  <c r="T343" i="3"/>
  <c r="T422" i="3"/>
  <c r="AI340" i="4"/>
  <c r="AR500" i="3"/>
  <c r="AL501" i="3"/>
  <c r="BB503" i="3"/>
  <c r="V505" i="3"/>
  <c r="BJ508" i="3"/>
  <c r="T514" i="3"/>
  <c r="L357" i="3"/>
  <c r="L514" i="3" s="1"/>
  <c r="V520" i="3"/>
  <c r="BB499" i="3"/>
  <c r="AR506" i="3"/>
  <c r="AR502" i="3"/>
  <c r="Z505" i="3"/>
  <c r="BI506" i="3"/>
  <c r="AP522" i="3"/>
  <c r="Z524" i="3"/>
  <c r="AD524" i="3"/>
  <c r="AH504" i="3"/>
  <c r="W342" i="3"/>
  <c r="W421" i="3"/>
  <c r="AL339" i="4"/>
  <c r="AL328" i="4" s="1"/>
  <c r="Y505" i="3"/>
  <c r="AA503" i="3"/>
  <c r="AV500" i="3"/>
  <c r="Z501" i="3"/>
  <c r="BJ501" i="3"/>
  <c r="AB504" i="3"/>
  <c r="AD508" i="3"/>
  <c r="BD510" i="3"/>
  <c r="AF512" i="3"/>
  <c r="AR512" i="3"/>
  <c r="BL512" i="3"/>
  <c r="AX513" i="3"/>
  <c r="AZ514" i="3"/>
  <c r="AN518" i="3"/>
  <c r="AZ520" i="3"/>
  <c r="T513" i="3"/>
  <c r="AK25" i="53"/>
  <c r="AK64" i="53"/>
  <c r="L165" i="3"/>
  <c r="S168" i="3"/>
  <c r="V64" i="53"/>
  <c r="S64" i="53"/>
  <c r="Y64" i="53"/>
  <c r="Y25" i="53"/>
  <c r="BA25" i="53"/>
  <c r="BA64" i="53"/>
  <c r="AG64" i="53"/>
  <c r="AG25" i="53"/>
  <c r="BD64" i="53"/>
  <c r="BD25" i="53"/>
  <c r="R25" i="53"/>
  <c r="R64" i="53"/>
  <c r="Q64" i="53"/>
  <c r="Q25" i="53"/>
  <c r="AP64" i="53"/>
  <c r="AP25" i="53"/>
  <c r="J165" i="3"/>
  <c r="AO25" i="53"/>
  <c r="AO64" i="53"/>
  <c r="Z64" i="53"/>
  <c r="Z25" i="53"/>
  <c r="AW25" i="53"/>
  <c r="AW64" i="53"/>
  <c r="BC64" i="53"/>
  <c r="BC25" i="53"/>
  <c r="U64" i="53"/>
  <c r="U25" i="53"/>
  <c r="T168" i="3"/>
  <c r="L164" i="3"/>
  <c r="J164" i="3"/>
  <c r="AF25" i="53"/>
  <c r="AF64" i="53"/>
  <c r="AL68" i="3"/>
  <c r="AL227" i="3"/>
  <c r="AD42" i="4"/>
  <c r="AL60" i="3"/>
  <c r="R31" i="53"/>
  <c r="AD477" i="3"/>
  <c r="I43" i="4"/>
  <c r="AU386" i="3"/>
  <c r="AU308" i="3"/>
  <c r="AU464" i="3" s="1"/>
  <c r="AQ60" i="3"/>
  <c r="AI42" i="4"/>
  <c r="AI47" i="4" s="1"/>
  <c r="AQ68" i="3"/>
  <c r="AQ227" i="3"/>
  <c r="BF60" i="3"/>
  <c r="BF229" i="3" s="1"/>
  <c r="BF227" i="3"/>
  <c r="AX42" i="4"/>
  <c r="AX47" i="4" s="1"/>
  <c r="BF68" i="3"/>
  <c r="AF68" i="3"/>
  <c r="X42" i="4"/>
  <c r="X47" i="4" s="1"/>
  <c r="AF60" i="3"/>
  <c r="AF229" i="3" s="1"/>
  <c r="AF227" i="3"/>
  <c r="AP385" i="3"/>
  <c r="AP307" i="3"/>
  <c r="AP463" i="3" s="1"/>
  <c r="AG307" i="3"/>
  <c r="AG385" i="3"/>
  <c r="W307" i="3"/>
  <c r="W385" i="3"/>
  <c r="AY227" i="3"/>
  <c r="AY68" i="3"/>
  <c r="AQ42" i="4"/>
  <c r="AY60" i="3"/>
  <c r="AY229" i="3" s="1"/>
  <c r="AC42" i="4"/>
  <c r="AC47" i="4" s="1"/>
  <c r="AK60" i="3"/>
  <c r="AK227" i="3"/>
  <c r="AK68" i="3"/>
  <c r="BJ227" i="3"/>
  <c r="BJ60" i="3"/>
  <c r="BJ68" i="3"/>
  <c r="BB42" i="4"/>
  <c r="BB47" i="4" s="1"/>
  <c r="AV464" i="3"/>
  <c r="AT31" i="53"/>
  <c r="BF477" i="3"/>
  <c r="S229" i="3"/>
  <c r="AZ60" i="3"/>
  <c r="AZ68" i="3"/>
  <c r="AZ227" i="3"/>
  <c r="AR42" i="4"/>
  <c r="AR47" i="4" s="1"/>
  <c r="AV227" i="3"/>
  <c r="AN42" i="4"/>
  <c r="AN47" i="4" s="1"/>
  <c r="AV68" i="3"/>
  <c r="AV60" i="3"/>
  <c r="AV229" i="3" s="1"/>
  <c r="AW464" i="3"/>
  <c r="BA68" i="3"/>
  <c r="BA227" i="3"/>
  <c r="BA60" i="3"/>
  <c r="BA229" i="3" s="1"/>
  <c r="AS42" i="4"/>
  <c r="AS47" i="4" s="1"/>
  <c r="V60" i="3"/>
  <c r="V229" i="3" s="1"/>
  <c r="V227" i="3"/>
  <c r="N42" i="4"/>
  <c r="N47" i="4" s="1"/>
  <c r="V68" i="3"/>
  <c r="BA464" i="3"/>
  <c r="BB60" i="3"/>
  <c r="BB229" i="3" s="1"/>
  <c r="BB227" i="3"/>
  <c r="BB68" i="3"/>
  <c r="AT42" i="4"/>
  <c r="AT47" i="4" s="1"/>
  <c r="P42" i="4"/>
  <c r="P47" i="4" s="1"/>
  <c r="X68" i="3"/>
  <c r="X227" i="3"/>
  <c r="X60" i="3"/>
  <c r="AN31" i="53"/>
  <c r="AZ477" i="3"/>
  <c r="R464" i="3"/>
  <c r="AU68" i="3"/>
  <c r="AM42" i="4"/>
  <c r="AU227" i="3"/>
  <c r="AU60" i="3"/>
  <c r="AU229" i="3" s="1"/>
  <c r="AS60" i="3"/>
  <c r="AS68" i="3"/>
  <c r="AS227" i="3"/>
  <c r="AK42" i="4"/>
  <c r="AK47" i="4" s="1"/>
  <c r="BI227" i="3"/>
  <c r="BI60" i="3"/>
  <c r="BI229" i="3" s="1"/>
  <c r="BI68" i="3"/>
  <c r="BA42" i="4"/>
  <c r="BA47" i="4" s="1"/>
  <c r="U42" i="4"/>
  <c r="U47" i="4" s="1"/>
  <c r="AC60" i="3"/>
  <c r="AC227" i="3"/>
  <c r="AC68" i="3"/>
  <c r="AG387" i="3"/>
  <c r="AG309" i="3"/>
  <c r="AB465" i="3"/>
  <c r="P23" i="53"/>
  <c r="W229" i="3"/>
  <c r="AJ42" i="4"/>
  <c r="AJ47" i="4" s="1"/>
  <c r="AR68" i="3"/>
  <c r="AR60" i="3"/>
  <c r="AR227" i="3"/>
  <c r="BC42" i="4"/>
  <c r="BC47" i="4" s="1"/>
  <c r="BK68" i="3"/>
  <c r="BK227" i="3"/>
  <c r="BK60" i="3"/>
  <c r="BK229" i="3" s="1"/>
  <c r="BC307" i="3"/>
  <c r="BC463" i="3" s="1"/>
  <c r="BC385" i="3"/>
  <c r="AL23" i="53"/>
  <c r="AX465" i="3"/>
  <c r="X386" i="3"/>
  <c r="L386" i="3" s="1"/>
  <c r="X308" i="3"/>
  <c r="AN60" i="3"/>
  <c r="AF42" i="4"/>
  <c r="AF47" i="4" s="1"/>
  <c r="AN227" i="3"/>
  <c r="AN68" i="3"/>
  <c r="AG42" i="4"/>
  <c r="AG47" i="4" s="1"/>
  <c r="AO68" i="3"/>
  <c r="AO60" i="3"/>
  <c r="AO227" i="3"/>
  <c r="U386" i="3"/>
  <c r="U308" i="3"/>
  <c r="U464" i="3" s="1"/>
  <c r="BP68" i="3"/>
  <c r="BH42" i="4"/>
  <c r="BH47" i="4" s="1"/>
  <c r="BP227" i="3"/>
  <c r="BP60" i="3"/>
  <c r="BP229" i="3" s="1"/>
  <c r="AW68" i="3"/>
  <c r="AW60" i="3"/>
  <c r="AW227" i="3"/>
  <c r="AO42" i="4"/>
  <c r="AO47" i="4" s="1"/>
  <c r="AW31" i="53"/>
  <c r="BI477" i="3"/>
  <c r="AP309" i="3"/>
  <c r="AP387" i="3"/>
  <c r="L228" i="3"/>
  <c r="M42" i="4"/>
  <c r="U227" i="3"/>
  <c r="U68" i="3"/>
  <c r="U60" i="3"/>
  <c r="U229" i="3" s="1"/>
  <c r="L58" i="3"/>
  <c r="BM68" i="3"/>
  <c r="BM227" i="3"/>
  <c r="BE42" i="4"/>
  <c r="BE47" i="4" s="1"/>
  <c r="BM60" i="3"/>
  <c r="BM229" i="3" s="1"/>
  <c r="BN68" i="3"/>
  <c r="BN227" i="3"/>
  <c r="BF42" i="4"/>
  <c r="BF47" i="4" s="1"/>
  <c r="BN60" i="3"/>
  <c r="BC229" i="3"/>
  <c r="AD381" i="3"/>
  <c r="L381" i="3" s="1"/>
  <c r="AD303" i="3"/>
  <c r="Y31" i="53"/>
  <c r="AK477" i="3"/>
  <c r="Z38" i="4"/>
  <c r="Z47" i="4"/>
  <c r="L47" i="4"/>
  <c r="L38" i="4"/>
  <c r="AN38" i="4"/>
  <c r="BP41" i="3"/>
  <c r="BP222" i="3"/>
  <c r="BP50" i="3"/>
  <c r="K38" i="4"/>
  <c r="K47" i="4"/>
  <c r="AM38" i="4"/>
  <c r="AM47" i="4"/>
  <c r="BM41" i="3"/>
  <c r="BM50" i="3"/>
  <c r="BM222" i="3"/>
  <c r="AM224" i="3"/>
  <c r="BE380" i="3"/>
  <c r="BE302" i="3"/>
  <c r="BE458" i="3" s="1"/>
  <c r="AY302" i="3"/>
  <c r="AY380" i="3"/>
  <c r="AY458" i="3" s="1"/>
  <c r="BB380" i="3"/>
  <c r="BB302" i="3"/>
  <c r="R41" i="3"/>
  <c r="S86" i="3"/>
  <c r="S85" i="3" s="1"/>
  <c r="R222" i="3"/>
  <c r="R50" i="3"/>
  <c r="BI330" i="4"/>
  <c r="L197" i="3"/>
  <c r="S354" i="3" s="1"/>
  <c r="AW351" i="4"/>
  <c r="AU381" i="3"/>
  <c r="AU303" i="3"/>
  <c r="BA41" i="3"/>
  <c r="BA222" i="3"/>
  <c r="BA50" i="3"/>
  <c r="AD41" i="3"/>
  <c r="AD222" i="3"/>
  <c r="AD50" i="3"/>
  <c r="AP222" i="3"/>
  <c r="AP41" i="3"/>
  <c r="AP50" i="3"/>
  <c r="AX222" i="3"/>
  <c r="AX41" i="3"/>
  <c r="AX50" i="3"/>
  <c r="T31" i="53"/>
  <c r="AF477" i="3"/>
  <c r="AD38" i="4"/>
  <c r="AD47" i="4"/>
  <c r="Q38" i="4"/>
  <c r="BG224" i="3"/>
  <c r="AQ38" i="4"/>
  <c r="AQ47" i="4"/>
  <c r="AV41" i="3"/>
  <c r="AV222" i="3"/>
  <c r="AV50" i="3"/>
  <c r="BE224" i="3"/>
  <c r="AU380" i="3"/>
  <c r="AU302" i="3"/>
  <c r="AE224" i="3"/>
  <c r="BI224" i="3"/>
  <c r="BG458" i="3"/>
  <c r="BD477" i="3"/>
  <c r="AR31" i="53"/>
  <c r="BA31" i="53"/>
  <c r="BM477" i="3"/>
  <c r="AI381" i="3"/>
  <c r="AI459" i="3" s="1"/>
  <c r="AI303" i="3"/>
  <c r="V41" i="3"/>
  <c r="V222" i="3"/>
  <c r="AH38" i="4"/>
  <c r="AH47" i="4"/>
  <c r="T38" i="4"/>
  <c r="T47" i="4"/>
  <c r="AF41" i="3"/>
  <c r="AF50" i="3"/>
  <c r="U222" i="3"/>
  <c r="U41" i="3"/>
  <c r="U50" i="3"/>
  <c r="AB222" i="3"/>
  <c r="AB41" i="3"/>
  <c r="W38" i="4"/>
  <c r="W47" i="4"/>
  <c r="AM381" i="3"/>
  <c r="AM303" i="3"/>
  <c r="BK41" i="3"/>
  <c r="BK222" i="3"/>
  <c r="BK50" i="3"/>
  <c r="AU224" i="3"/>
  <c r="AT302" i="3"/>
  <c r="AT380" i="3"/>
  <c r="AE302" i="3"/>
  <c r="AE380" i="3"/>
  <c r="BI302" i="3"/>
  <c r="BI458" i="3" s="1"/>
  <c r="BI380" i="3"/>
  <c r="U99" i="3"/>
  <c r="U94" i="3"/>
  <c r="V95" i="3" s="1"/>
  <c r="AI380" i="3"/>
  <c r="AI302" i="3"/>
  <c r="AG41" i="3"/>
  <c r="AG222" i="3"/>
  <c r="AG50" i="3"/>
  <c r="BF222" i="3"/>
  <c r="BF41" i="3"/>
  <c r="BF50" i="3"/>
  <c r="T381" i="3"/>
  <c r="T303" i="3"/>
  <c r="N38" i="4"/>
  <c r="AG38" i="4"/>
  <c r="AE38" i="4"/>
  <c r="AE47" i="4"/>
  <c r="BH41" i="3"/>
  <c r="BH222" i="3"/>
  <c r="BH50" i="3"/>
  <c r="S129" i="3"/>
  <c r="T98" i="3"/>
  <c r="T97" i="3" s="1"/>
  <c r="AT224" i="3"/>
  <c r="S222" i="3"/>
  <c r="S41" i="3"/>
  <c r="S50" i="3"/>
  <c r="AY224" i="3"/>
  <c r="BB224" i="3"/>
  <c r="T120" i="3"/>
  <c r="AM330" i="4"/>
  <c r="AM333" i="4" s="1"/>
  <c r="BC380" i="3"/>
  <c r="BC302" i="3"/>
  <c r="BC458" i="3" s="1"/>
  <c r="N67" i="7"/>
  <c r="N114" i="7"/>
  <c r="M68" i="7"/>
  <c r="N15" i="3"/>
  <c r="U91" i="3"/>
  <c r="AW330" i="4"/>
  <c r="AW333" i="4" s="1"/>
  <c r="BD303" i="3"/>
  <c r="BD381" i="3"/>
  <c r="V173" i="7"/>
  <c r="V127" i="7"/>
  <c r="W68" i="7"/>
  <c r="V143" i="7"/>
  <c r="V195" i="7"/>
  <c r="V15" i="3"/>
  <c r="V184" i="7"/>
  <c r="V4" i="7"/>
  <c r="V161" i="7"/>
  <c r="V216" i="7"/>
  <c r="V276" i="7"/>
  <c r="V67" i="7"/>
  <c r="AK459" i="3"/>
  <c r="BB22" i="53"/>
  <c r="BN460" i="3"/>
  <c r="AF302" i="3"/>
  <c r="AF380" i="3"/>
  <c r="L223" i="3"/>
  <c r="BN380" i="3"/>
  <c r="BN302" i="3"/>
  <c r="AG22" i="53"/>
  <c r="AS460" i="3"/>
  <c r="Z460" i="3"/>
  <c r="N22" i="53"/>
  <c r="AO330" i="4"/>
  <c r="AO333" i="4" s="1"/>
  <c r="AO351" i="4"/>
  <c r="W505" i="3"/>
  <c r="BU330" i="4"/>
  <c r="BU333" i="4" s="1"/>
  <c r="BU351" i="4"/>
  <c r="V351" i="3"/>
  <c r="L274" i="3"/>
  <c r="V430" i="3"/>
  <c r="AK347" i="4"/>
  <c r="AP421" i="3"/>
  <c r="AP342" i="3"/>
  <c r="L265" i="3"/>
  <c r="BE339" i="4"/>
  <c r="BA330" i="4"/>
  <c r="AX421" i="3"/>
  <c r="AX342" i="3"/>
  <c r="AX499" i="3" s="1"/>
  <c r="BM339" i="4"/>
  <c r="BN421" i="3"/>
  <c r="BN342" i="3"/>
  <c r="CC339" i="4"/>
  <c r="BO340" i="4"/>
  <c r="AZ343" i="3"/>
  <c r="AZ500" i="3" s="1"/>
  <c r="AZ422" i="3"/>
  <c r="AJ506" i="3"/>
  <c r="AK350" i="4"/>
  <c r="V367" i="3"/>
  <c r="L290" i="3"/>
  <c r="V446" i="3"/>
  <c r="L211" i="3"/>
  <c r="R343" i="3"/>
  <c r="R422" i="3"/>
  <c r="AG340" i="4"/>
  <c r="L266" i="3"/>
  <c r="AK432" i="3"/>
  <c r="AK353" i="3"/>
  <c r="AZ347" i="4"/>
  <c r="S433" i="3"/>
  <c r="R354" i="3"/>
  <c r="BE330" i="4"/>
  <c r="BM330" i="4"/>
  <c r="Y444" i="3"/>
  <c r="Y365" i="3"/>
  <c r="BC343" i="3"/>
  <c r="BR340" i="4"/>
  <c r="BC422" i="3"/>
  <c r="AQ346" i="3"/>
  <c r="AQ425" i="3"/>
  <c r="BF343" i="4"/>
  <c r="BF329" i="4" s="1"/>
  <c r="L285" i="3"/>
  <c r="BK351" i="4"/>
  <c r="BK330" i="4"/>
  <c r="BK333" i="4" s="1"/>
  <c r="AY331" i="4"/>
  <c r="AY351" i="4"/>
  <c r="BH500" i="3"/>
  <c r="BN522" i="3"/>
  <c r="AK348" i="4"/>
  <c r="L282" i="3"/>
  <c r="V438" i="3"/>
  <c r="V359" i="3"/>
  <c r="T518" i="3"/>
  <c r="T363" i="3"/>
  <c r="T442" i="3"/>
  <c r="V444" i="3"/>
  <c r="L288" i="3"/>
  <c r="V365" i="3"/>
  <c r="CA351" i="4"/>
  <c r="CA330" i="4"/>
  <c r="CA333" i="4" s="1"/>
  <c r="V502" i="3"/>
  <c r="AF510" i="3"/>
  <c r="R434" i="3"/>
  <c r="R355" i="3"/>
  <c r="L278" i="3"/>
  <c r="BP330" i="4"/>
  <c r="AG347" i="4"/>
  <c r="L277" i="3"/>
  <c r="BV343" i="4"/>
  <c r="BG425" i="3"/>
  <c r="BG346" i="3"/>
  <c r="BG351" i="4"/>
  <c r="BS330" i="4"/>
  <c r="BS333" i="4" s="1"/>
  <c r="BS351" i="4"/>
  <c r="BJ342" i="3"/>
  <c r="BY339" i="4"/>
  <c r="BJ421" i="3"/>
  <c r="AU340" i="4"/>
  <c r="AF343" i="3"/>
  <c r="AF422" i="3"/>
  <c r="BP329" i="4"/>
  <c r="R499" i="3"/>
  <c r="AN502" i="3"/>
  <c r="BF524" i="3"/>
  <c r="R361" i="3"/>
  <c r="R440" i="3"/>
  <c r="AG348" i="4"/>
  <c r="L284" i="3"/>
  <c r="L213" i="3"/>
  <c r="R347" i="3"/>
  <c r="R426" i="3"/>
  <c r="AG344" i="4"/>
  <c r="U432" i="3"/>
  <c r="L276" i="3"/>
  <c r="U353" i="3"/>
  <c r="AJ347" i="4"/>
  <c r="BY330" i="4"/>
  <c r="AM520" i="3"/>
  <c r="BB340" i="4"/>
  <c r="AM422" i="3"/>
  <c r="AM343" i="3"/>
  <c r="BZ340" i="4"/>
  <c r="BK343" i="3"/>
  <c r="BK422" i="3"/>
  <c r="L356" i="3"/>
  <c r="L513" i="3" s="1"/>
  <c r="AQ330" i="4"/>
  <c r="AQ333" i="4" s="1"/>
  <c r="AQ351" i="4"/>
  <c r="V513" i="3"/>
  <c r="AD513" i="3"/>
  <c r="L289" i="3"/>
  <c r="BM518" i="3"/>
  <c r="AY330" i="4"/>
  <c r="AK341" i="4"/>
  <c r="V423" i="3"/>
  <c r="V344" i="3"/>
  <c r="L267" i="3"/>
  <c r="V346" i="3"/>
  <c r="AK343" i="4"/>
  <c r="AK329" i="4" s="1"/>
  <c r="L269" i="3"/>
  <c r="V425" i="3"/>
  <c r="T428" i="3"/>
  <c r="L272" i="3"/>
  <c r="T349" i="3"/>
  <c r="AI346" i="4"/>
  <c r="L206" i="3"/>
  <c r="AK349" i="4"/>
  <c r="BA328" i="4"/>
  <c r="BA351" i="4"/>
  <c r="BH512" i="3"/>
  <c r="AH516" i="3"/>
  <c r="AL524" i="3"/>
  <c r="AT524" i="3"/>
  <c r="BB524" i="3"/>
  <c r="AB508" i="3"/>
  <c r="BF508" i="3"/>
  <c r="AS351" i="4"/>
  <c r="AS330" i="4"/>
  <c r="AS333" i="4" s="1"/>
  <c r="BP504" i="3"/>
  <c r="L427" i="3"/>
  <c r="BN508" i="3"/>
  <c r="L430" i="3"/>
  <c r="AL330" i="4"/>
  <c r="CE351" i="4"/>
  <c r="CE330" i="4"/>
  <c r="CE333" i="4" s="1"/>
  <c r="L347" i="3"/>
  <c r="BG520" i="3"/>
  <c r="L363" i="3"/>
  <c r="BE500" i="3"/>
  <c r="L343" i="3"/>
  <c r="BQ330" i="4"/>
  <c r="Z510" i="3"/>
  <c r="BN330" i="4"/>
  <c r="BN333" i="4" s="1"/>
  <c r="BN351" i="4"/>
  <c r="N25" i="53"/>
  <c r="N64" i="53"/>
  <c r="L442" i="3"/>
  <c r="AY522" i="3"/>
  <c r="L365" i="3"/>
  <c r="AW505" i="3"/>
  <c r="BJ330" i="4"/>
  <c r="F25" i="53"/>
  <c r="F64" i="53"/>
  <c r="L168" i="3"/>
  <c r="J168" i="3" s="1"/>
  <c r="C21" i="51" s="1"/>
  <c r="BT330" i="4"/>
  <c r="BT333" i="4" s="1"/>
  <c r="BT351" i="4"/>
  <c r="AU506" i="3"/>
  <c r="L349" i="3"/>
  <c r="X64" i="53"/>
  <c r="X25" i="53"/>
  <c r="M47" i="4" l="1"/>
  <c r="BC468" i="3"/>
  <c r="K7" i="51"/>
  <c r="C7" i="51"/>
  <c r="AG468" i="3"/>
  <c r="J7" i="51"/>
  <c r="D7" i="51"/>
  <c r="C13" i="51"/>
  <c r="G11" i="51"/>
  <c r="G13" i="51" s="1"/>
  <c r="D11" i="51"/>
  <c r="D13" i="51" s="1"/>
  <c r="E11" i="51"/>
  <c r="E13" i="51" s="1"/>
  <c r="I7" i="51"/>
  <c r="E7" i="51"/>
  <c r="AU468" i="3"/>
  <c r="AJ468" i="3"/>
  <c r="U375" i="3"/>
  <c r="V23" i="3"/>
  <c r="U20" i="3"/>
  <c r="T297" i="3"/>
  <c r="H8" i="53"/>
  <c r="H12" i="51"/>
  <c r="H17" i="51"/>
  <c r="Y222" i="3"/>
  <c r="Y302" i="3" s="1"/>
  <c r="BJ333" i="4"/>
  <c r="P50" i="53"/>
  <c r="P52" i="53" s="1"/>
  <c r="S50" i="53"/>
  <c r="S52" i="53" s="1"/>
  <c r="N50" i="53"/>
  <c r="V50" i="53"/>
  <c r="V52" i="53" s="1"/>
  <c r="R50" i="53"/>
  <c r="R52" i="53" s="1"/>
  <c r="E48" i="53"/>
  <c r="AF50" i="53"/>
  <c r="AF52" i="53" s="1"/>
  <c r="AA50" i="53"/>
  <c r="AA52" i="53" s="1"/>
  <c r="E49" i="53"/>
  <c r="U50" i="53"/>
  <c r="U52" i="53" s="1"/>
  <c r="J50" i="53"/>
  <c r="AB50" i="53"/>
  <c r="AB52" i="53" s="1"/>
  <c r="E46" i="53"/>
  <c r="AC50" i="53"/>
  <c r="AC52" i="53" s="1"/>
  <c r="AI50" i="53"/>
  <c r="AI52" i="53" s="1"/>
  <c r="X50" i="53"/>
  <c r="X52" i="53" s="1"/>
  <c r="Y50" i="53"/>
  <c r="Y52" i="53" s="1"/>
  <c r="T50" i="53"/>
  <c r="T52" i="53" s="1"/>
  <c r="F50" i="53"/>
  <c r="F52" i="53" s="1"/>
  <c r="I31" i="4"/>
  <c r="I38" i="4" s="1"/>
  <c r="V328" i="3"/>
  <c r="V484" i="3" s="1"/>
  <c r="BJ351" i="4"/>
  <c r="AE50" i="53"/>
  <c r="AE52" i="53" s="1"/>
  <c r="Z50" i="53"/>
  <c r="Z52" i="53" s="1"/>
  <c r="H50" i="53"/>
  <c r="AG50" i="53"/>
  <c r="AG52" i="53" s="1"/>
  <c r="E44" i="53"/>
  <c r="O50" i="53"/>
  <c r="U433" i="3"/>
  <c r="T354" i="3"/>
  <c r="E47" i="53"/>
  <c r="W50" i="53"/>
  <c r="W52" i="53" s="1"/>
  <c r="K50" i="53"/>
  <c r="AH50" i="53"/>
  <c r="AH52" i="53" s="1"/>
  <c r="Q50" i="53"/>
  <c r="Q52" i="53" s="1"/>
  <c r="AD50" i="53"/>
  <c r="AD52" i="53" s="1"/>
  <c r="M50" i="53"/>
  <c r="M52" i="53" s="1"/>
  <c r="L50" i="53"/>
  <c r="I50" i="53"/>
  <c r="I52" i="53" s="1"/>
  <c r="E45" i="53"/>
  <c r="G50" i="53"/>
  <c r="G52" i="53" s="1"/>
  <c r="L432" i="3"/>
  <c r="W302" i="3"/>
  <c r="W380" i="3"/>
  <c r="U468" i="3"/>
  <c r="AA334" i="3"/>
  <c r="AA412" i="3"/>
  <c r="Z412" i="3"/>
  <c r="Z334" i="3"/>
  <c r="AD412" i="3"/>
  <c r="AD334" i="3"/>
  <c r="AC412" i="3"/>
  <c r="AC334" i="3"/>
  <c r="AB412" i="3"/>
  <c r="AB334" i="3"/>
  <c r="L402" i="3"/>
  <c r="H26" i="53"/>
  <c r="E26" i="53" s="1"/>
  <c r="T480" i="3"/>
  <c r="L324" i="3"/>
  <c r="AN351" i="4"/>
  <c r="H24" i="53"/>
  <c r="T487" i="3"/>
  <c r="H65" i="53"/>
  <c r="BL330" i="4"/>
  <c r="BL333" i="4" s="1"/>
  <c r="BD330" i="4"/>
  <c r="BD333" i="4" s="1"/>
  <c r="BX330" i="4"/>
  <c r="BX333" i="4" s="1"/>
  <c r="AL333" i="4"/>
  <c r="BF333" i="4"/>
  <c r="P25" i="53"/>
  <c r="P64" i="53"/>
  <c r="R433" i="3"/>
  <c r="U354" i="3"/>
  <c r="AW500" i="3"/>
  <c r="L421" i="3"/>
  <c r="T433" i="3"/>
  <c r="AO500" i="3"/>
  <c r="L9" i="57"/>
  <c r="K20" i="57"/>
  <c r="K2" i="57"/>
  <c r="W499" i="3"/>
  <c r="U505" i="3"/>
  <c r="BI501" i="3"/>
  <c r="L422" i="3"/>
  <c r="AI502" i="3"/>
  <c r="AA502" i="3"/>
  <c r="BQ333" i="4"/>
  <c r="N24" i="53"/>
  <c r="N65" i="53"/>
  <c r="Z487" i="3"/>
  <c r="K24" i="53"/>
  <c r="W487" i="3"/>
  <c r="K65" i="53"/>
  <c r="J65" i="53"/>
  <c r="V487" i="3"/>
  <c r="J24" i="53"/>
  <c r="X487" i="3"/>
  <c r="L65" i="53"/>
  <c r="L24" i="53"/>
  <c r="M65" i="53"/>
  <c r="Y487" i="3"/>
  <c r="M24" i="53"/>
  <c r="L409" i="3"/>
  <c r="I65" i="53"/>
  <c r="I24" i="53"/>
  <c r="U487" i="3"/>
  <c r="L331" i="3"/>
  <c r="L39" i="3"/>
  <c r="BP351" i="4"/>
  <c r="L345" i="3"/>
  <c r="BD413" i="3"/>
  <c r="BD491" i="3" s="1"/>
  <c r="AK413" i="3"/>
  <c r="AK491" i="3" s="1"/>
  <c r="BO413" i="3"/>
  <c r="BO491" i="3" s="1"/>
  <c r="AR413" i="3"/>
  <c r="AR491" i="3" s="1"/>
  <c r="BJ413" i="3"/>
  <c r="BJ491" i="3" s="1"/>
  <c r="AH413" i="3"/>
  <c r="AH491" i="3" s="1"/>
  <c r="Y413" i="3"/>
  <c r="BM413" i="3"/>
  <c r="BM491" i="3" s="1"/>
  <c r="AX413" i="3"/>
  <c r="AX491" i="3" s="1"/>
  <c r="AO413" i="3"/>
  <c r="AO491" i="3" s="1"/>
  <c r="AC413" i="3"/>
  <c r="AC491" i="3" s="1"/>
  <c r="V334" i="3"/>
  <c r="X412" i="3"/>
  <c r="AU413" i="3"/>
  <c r="AU491" i="3" s="1"/>
  <c r="BL413" i="3"/>
  <c r="BL491" i="3" s="1"/>
  <c r="AN413" i="3"/>
  <c r="AN491" i="3" s="1"/>
  <c r="BE413" i="3"/>
  <c r="BE491" i="3" s="1"/>
  <c r="AD413" i="3"/>
  <c r="AD491" i="3" s="1"/>
  <c r="AG413" i="3"/>
  <c r="AG491" i="3" s="1"/>
  <c r="W412" i="3"/>
  <c r="U334" i="3"/>
  <c r="AB413" i="3"/>
  <c r="AB491" i="3" s="1"/>
  <c r="AI413" i="3"/>
  <c r="AI491" i="3" s="1"/>
  <c r="BH413" i="3"/>
  <c r="BH491" i="3" s="1"/>
  <c r="AF413" i="3"/>
  <c r="AF491" i="3" s="1"/>
  <c r="BK413" i="3"/>
  <c r="BK491" i="3" s="1"/>
  <c r="BA413" i="3"/>
  <c r="BA491" i="3" s="1"/>
  <c r="AE413" i="3"/>
  <c r="AE491" i="3" s="1"/>
  <c r="AM413" i="3"/>
  <c r="AM491" i="3" s="1"/>
  <c r="BI413" i="3"/>
  <c r="BI491" i="3" s="1"/>
  <c r="BN413" i="3"/>
  <c r="BN491" i="3" s="1"/>
  <c r="BP413" i="3"/>
  <c r="BP491" i="3" s="1"/>
  <c r="X334" i="3"/>
  <c r="AV413" i="3"/>
  <c r="AV491" i="3" s="1"/>
  <c r="AZ413" i="3"/>
  <c r="AZ491" i="3" s="1"/>
  <c r="AY413" i="3"/>
  <c r="AY491" i="3" s="1"/>
  <c r="AW413" i="3"/>
  <c r="AW491" i="3" s="1"/>
  <c r="T412" i="3"/>
  <c r="BC413" i="3"/>
  <c r="BC491" i="3" s="1"/>
  <c r="AS413" i="3"/>
  <c r="AS491" i="3" s="1"/>
  <c r="AQ413" i="3"/>
  <c r="AQ491" i="3" s="1"/>
  <c r="AJ413" i="3"/>
  <c r="AJ491" i="3" s="1"/>
  <c r="AP413" i="3"/>
  <c r="AP491" i="3" s="1"/>
  <c r="Z413" i="3"/>
  <c r="Z491" i="3" s="1"/>
  <c r="V412" i="3"/>
  <c r="W334" i="3"/>
  <c r="T334" i="3"/>
  <c r="AL413" i="3"/>
  <c r="AL491" i="3" s="1"/>
  <c r="AA413" i="3"/>
  <c r="AA491" i="3" s="1"/>
  <c r="BG413" i="3"/>
  <c r="BG491" i="3" s="1"/>
  <c r="BF413" i="3"/>
  <c r="BF491" i="3" s="1"/>
  <c r="BB413" i="3"/>
  <c r="BB491" i="3" s="1"/>
  <c r="AT413" i="3"/>
  <c r="AT491" i="3" s="1"/>
  <c r="U412" i="3"/>
  <c r="Y334" i="3"/>
  <c r="Y412" i="3"/>
  <c r="T459" i="3"/>
  <c r="AI458" i="3"/>
  <c r="BJ459" i="3"/>
  <c r="AB459" i="3"/>
  <c r="AH224" i="3"/>
  <c r="AQ302" i="3"/>
  <c r="AQ380" i="3"/>
  <c r="AQ458" i="3" s="1"/>
  <c r="BO302" i="3"/>
  <c r="BO380" i="3"/>
  <c r="BO458" i="3" s="1"/>
  <c r="V79" i="3"/>
  <c r="V44" i="3"/>
  <c r="V354" i="3"/>
  <c r="V511" i="3" s="1"/>
  <c r="AW380" i="3"/>
  <c r="AW302" i="3"/>
  <c r="BC304" i="3"/>
  <c r="BC382" i="3"/>
  <c r="AR458" i="3"/>
  <c r="BJ380" i="3"/>
  <c r="BJ302" i="3"/>
  <c r="BJ458" i="3" s="1"/>
  <c r="AR460" i="3"/>
  <c r="AF459" i="3"/>
  <c r="AN382" i="3"/>
  <c r="AN304" i="3"/>
  <c r="AL304" i="3"/>
  <c r="AL382" i="3"/>
  <c r="V433" i="3"/>
  <c r="AE458" i="3"/>
  <c r="AM459" i="3"/>
  <c r="V50" i="3"/>
  <c r="AU459" i="3"/>
  <c r="AD459" i="3"/>
  <c r="AL459" i="3"/>
  <c r="AZ458" i="3"/>
  <c r="AH302" i="3"/>
  <c r="AH380" i="3"/>
  <c r="AQ382" i="3"/>
  <c r="AQ304" i="3"/>
  <c r="BO224" i="3"/>
  <c r="AM380" i="3"/>
  <c r="AM302" i="3"/>
  <c r="AM458" i="3" s="1"/>
  <c r="V80" i="3"/>
  <c r="AW382" i="3"/>
  <c r="AW460" i="3" s="1"/>
  <c r="AW304" i="3"/>
  <c r="AK22" i="53" s="1"/>
  <c r="BJ382" i="3"/>
  <c r="BJ304" i="3"/>
  <c r="BN459" i="3"/>
  <c r="AN380" i="3"/>
  <c r="AN302" i="3"/>
  <c r="AI304" i="3"/>
  <c r="AI382" i="3"/>
  <c r="AL380" i="3"/>
  <c r="AL302" i="3"/>
  <c r="AL458" i="3" s="1"/>
  <c r="L424" i="3"/>
  <c r="AP331" i="4"/>
  <c r="AP333" i="4" s="1"/>
  <c r="AP351" i="4"/>
  <c r="AL351" i="4"/>
  <c r="BF351" i="4"/>
  <c r="BI351" i="4"/>
  <c r="BQ351" i="4"/>
  <c r="AA312" i="3"/>
  <c r="AA390" i="3"/>
  <c r="O51" i="53" s="1"/>
  <c r="V312" i="3"/>
  <c r="V390" i="3"/>
  <c r="J51" i="53" s="1"/>
  <c r="X390" i="3"/>
  <c r="L51" i="53" s="1"/>
  <c r="X312" i="3"/>
  <c r="Z312" i="3"/>
  <c r="Z390" i="3"/>
  <c r="N51" i="53" s="1"/>
  <c r="W390" i="3"/>
  <c r="K51" i="53" s="1"/>
  <c r="W312" i="3"/>
  <c r="T390" i="3"/>
  <c r="T312" i="3"/>
  <c r="L124" i="3"/>
  <c r="BI333" i="4"/>
  <c r="T222" i="3"/>
  <c r="T50" i="3"/>
  <c r="T41" i="3"/>
  <c r="X222" i="3"/>
  <c r="X41" i="3"/>
  <c r="X224" i="3" s="1"/>
  <c r="AI484" i="3"/>
  <c r="W28" i="53"/>
  <c r="U328" i="3"/>
  <c r="U406" i="3"/>
  <c r="BO328" i="3"/>
  <c r="BO406" i="3"/>
  <c r="AE406" i="3"/>
  <c r="AE328" i="3"/>
  <c r="T484" i="3"/>
  <c r="H28" i="53"/>
  <c r="BH328" i="3"/>
  <c r="BH406" i="3"/>
  <c r="W406" i="3"/>
  <c r="W328" i="3"/>
  <c r="AO406" i="3"/>
  <c r="AO328" i="3"/>
  <c r="Z405" i="3"/>
  <c r="Z327" i="3"/>
  <c r="Z483" i="3" s="1"/>
  <c r="BE405" i="3"/>
  <c r="BE327" i="3"/>
  <c r="BE483" i="3" s="1"/>
  <c r="AD327" i="3"/>
  <c r="AD405" i="3"/>
  <c r="AN328" i="3"/>
  <c r="AN406" i="3"/>
  <c r="AG328" i="3"/>
  <c r="AG406" i="3"/>
  <c r="BL406" i="3"/>
  <c r="BL328" i="3"/>
  <c r="BG328" i="3"/>
  <c r="BG406" i="3"/>
  <c r="AK328" i="3"/>
  <c r="AK406" i="3"/>
  <c r="AM328" i="3"/>
  <c r="AM406" i="3"/>
  <c r="AV405" i="3"/>
  <c r="AV327" i="3"/>
  <c r="AV483" i="3" s="1"/>
  <c r="BC328" i="3"/>
  <c r="BC406" i="3"/>
  <c r="U405" i="3"/>
  <c r="U327" i="3"/>
  <c r="U483" i="3" s="1"/>
  <c r="BO405" i="3"/>
  <c r="BO327" i="3"/>
  <c r="BO483" i="3" s="1"/>
  <c r="AE405" i="3"/>
  <c r="AE327" i="3"/>
  <c r="AE483" i="3" s="1"/>
  <c r="BB28" i="53"/>
  <c r="BN484" i="3"/>
  <c r="BH327" i="3"/>
  <c r="BH405" i="3"/>
  <c r="W405" i="3"/>
  <c r="W327" i="3"/>
  <c r="AO405" i="3"/>
  <c r="AO327" i="3"/>
  <c r="AO483" i="3" s="1"/>
  <c r="Z406" i="3"/>
  <c r="Z328" i="3"/>
  <c r="BE406" i="3"/>
  <c r="BE328" i="3"/>
  <c r="AI483" i="3"/>
  <c r="AD328" i="3"/>
  <c r="AD406" i="3"/>
  <c r="AN405" i="3"/>
  <c r="AN327" i="3"/>
  <c r="AG405" i="3"/>
  <c r="AG327" i="3"/>
  <c r="J28" i="53"/>
  <c r="AY328" i="3"/>
  <c r="AY406" i="3"/>
  <c r="AR406" i="3"/>
  <c r="AR328" i="3"/>
  <c r="AX406" i="3"/>
  <c r="AX328" i="3"/>
  <c r="AQ405" i="3"/>
  <c r="AQ327" i="3"/>
  <c r="AW327" i="3"/>
  <c r="AW405" i="3"/>
  <c r="BJ483" i="3"/>
  <c r="AL406" i="3"/>
  <c r="AL328" i="3"/>
  <c r="AU327" i="3"/>
  <c r="AU405" i="3"/>
  <c r="BF405" i="3"/>
  <c r="BF327" i="3"/>
  <c r="BF483" i="3" s="1"/>
  <c r="AJ328" i="3"/>
  <c r="AJ406" i="3"/>
  <c r="AX28" i="53"/>
  <c r="BJ484" i="3"/>
  <c r="AC328" i="3"/>
  <c r="AC406" i="3"/>
  <c r="AP406" i="3"/>
  <c r="AP328" i="3"/>
  <c r="AA328" i="3"/>
  <c r="AA406" i="3"/>
  <c r="BM406" i="3"/>
  <c r="BM328" i="3"/>
  <c r="AY28" i="53"/>
  <c r="BK484" i="3"/>
  <c r="AF406" i="3"/>
  <c r="AF328" i="3"/>
  <c r="BI327" i="3"/>
  <c r="BI405" i="3"/>
  <c r="Y328" i="3"/>
  <c r="Y406" i="3"/>
  <c r="AT405" i="3"/>
  <c r="AT327" i="3"/>
  <c r="AT483" i="3" s="1"/>
  <c r="BA328" i="3"/>
  <c r="BA406" i="3"/>
  <c r="AY405" i="3"/>
  <c r="AY327" i="3"/>
  <c r="AY483" i="3" s="1"/>
  <c r="AR405" i="3"/>
  <c r="AR327" i="3"/>
  <c r="AR483" i="3" s="1"/>
  <c r="AX327" i="3"/>
  <c r="AX405" i="3"/>
  <c r="AQ328" i="3"/>
  <c r="AQ406" i="3"/>
  <c r="AW406" i="3"/>
  <c r="AW328" i="3"/>
  <c r="L151" i="3"/>
  <c r="AL327" i="3"/>
  <c r="AL405" i="3"/>
  <c r="L247" i="3"/>
  <c r="R405" i="3"/>
  <c r="R327" i="3"/>
  <c r="AU328" i="3"/>
  <c r="AU406" i="3"/>
  <c r="BF328" i="3"/>
  <c r="BF406" i="3"/>
  <c r="AJ327" i="3"/>
  <c r="AJ405" i="3"/>
  <c r="AC405" i="3"/>
  <c r="AC327" i="3"/>
  <c r="AC483" i="3" s="1"/>
  <c r="AP405" i="3"/>
  <c r="AP327" i="3"/>
  <c r="AP483" i="3" s="1"/>
  <c r="X483" i="3"/>
  <c r="AA327" i="3"/>
  <c r="AA405" i="3"/>
  <c r="BM405" i="3"/>
  <c r="BM327" i="3"/>
  <c r="L28" i="53"/>
  <c r="X484" i="3"/>
  <c r="AF405" i="3"/>
  <c r="AF327" i="3"/>
  <c r="BI328" i="3"/>
  <c r="BI406" i="3"/>
  <c r="Y327" i="3"/>
  <c r="Y483" i="3" s="1"/>
  <c r="Y405" i="3"/>
  <c r="AT406" i="3"/>
  <c r="AT328" i="3"/>
  <c r="BA405" i="3"/>
  <c r="BA327" i="3"/>
  <c r="BL405" i="3"/>
  <c r="BL327" i="3"/>
  <c r="BL483" i="3" s="1"/>
  <c r="BG327" i="3"/>
  <c r="BG483" i="3" s="1"/>
  <c r="BG405" i="3"/>
  <c r="AK327" i="3"/>
  <c r="AK405" i="3"/>
  <c r="AM405" i="3"/>
  <c r="AM327" i="3"/>
  <c r="AV328" i="3"/>
  <c r="AV406" i="3"/>
  <c r="R406" i="3"/>
  <c r="R328" i="3"/>
  <c r="L248" i="3"/>
  <c r="AJ229" i="3"/>
  <c r="AI229" i="3"/>
  <c r="BD229" i="3"/>
  <c r="AT309" i="3"/>
  <c r="AH23" i="53" s="1"/>
  <c r="AT387" i="3"/>
  <c r="BL229" i="3"/>
  <c r="Y387" i="3"/>
  <c r="Y309" i="3"/>
  <c r="AG463" i="3"/>
  <c r="AM387" i="3"/>
  <c r="AM309" i="3"/>
  <c r="S385" i="3"/>
  <c r="S307" i="3"/>
  <c r="AA309" i="3"/>
  <c r="AA387" i="3"/>
  <c r="AI464" i="3"/>
  <c r="BH463" i="3"/>
  <c r="BG307" i="3"/>
  <c r="BG385" i="3"/>
  <c r="BL307" i="3"/>
  <c r="BL385" i="3"/>
  <c r="AE385" i="3"/>
  <c r="AE307" i="3"/>
  <c r="AE463" i="3" s="1"/>
  <c r="BE385" i="3"/>
  <c r="BE463" i="3" s="1"/>
  <c r="BE307" i="3"/>
  <c r="AJ307" i="3"/>
  <c r="AJ463" i="3" s="1"/>
  <c r="AJ385" i="3"/>
  <c r="BD307" i="3"/>
  <c r="BD385" i="3"/>
  <c r="BG309" i="3"/>
  <c r="BG387" i="3"/>
  <c r="R112" i="3"/>
  <c r="R229" i="3"/>
  <c r="AE309" i="3"/>
  <c r="S23" i="53" s="1"/>
  <c r="AE387" i="3"/>
  <c r="BE309" i="3"/>
  <c r="BE387" i="3"/>
  <c r="AM385" i="3"/>
  <c r="AM307" i="3"/>
  <c r="AB463" i="3"/>
  <c r="AI385" i="3"/>
  <c r="AI307" i="3"/>
  <c r="AI463" i="3" s="1"/>
  <c r="AF464" i="3"/>
  <c r="AT385" i="3"/>
  <c r="AT307" i="3"/>
  <c r="R307" i="3"/>
  <c r="R385" i="3"/>
  <c r="AB464" i="3"/>
  <c r="AH463" i="3"/>
  <c r="H23" i="53"/>
  <c r="T465" i="3"/>
  <c r="Y385" i="3"/>
  <c r="Y307" i="3"/>
  <c r="BK500" i="3"/>
  <c r="V522" i="3"/>
  <c r="T520" i="3"/>
  <c r="BC500" i="3"/>
  <c r="AK510" i="3"/>
  <c r="T500" i="3"/>
  <c r="CB351" i="4"/>
  <c r="CB330" i="4"/>
  <c r="CB333" i="4" s="1"/>
  <c r="AT351" i="4"/>
  <c r="AT330" i="4"/>
  <c r="AT333" i="4" s="1"/>
  <c r="BH351" i="4"/>
  <c r="BH330" i="4"/>
  <c r="BH333" i="4" s="1"/>
  <c r="BG503" i="3"/>
  <c r="AV351" i="4"/>
  <c r="AV330" i="4"/>
  <c r="AV333" i="4" s="1"/>
  <c r="BM501" i="3"/>
  <c r="AX331" i="4"/>
  <c r="AX333" i="4" s="1"/>
  <c r="AX351" i="4"/>
  <c r="CD330" i="4"/>
  <c r="CD333" i="4" s="1"/>
  <c r="CD351" i="4"/>
  <c r="AG500" i="3"/>
  <c r="T502" i="3"/>
  <c r="G25" i="53"/>
  <c r="G64" i="53"/>
  <c r="H64" i="53"/>
  <c r="H25" i="53"/>
  <c r="BA333" i="4"/>
  <c r="AK351" i="4"/>
  <c r="BC309" i="3"/>
  <c r="BC387" i="3"/>
  <c r="L68" i="3"/>
  <c r="AW229" i="3"/>
  <c r="AO385" i="3"/>
  <c r="AO307" i="3"/>
  <c r="AO463" i="3" s="1"/>
  <c r="X464" i="3"/>
  <c r="W309" i="3"/>
  <c r="W387" i="3"/>
  <c r="BI307" i="3"/>
  <c r="BI385" i="3"/>
  <c r="AS229" i="3"/>
  <c r="BB385" i="3"/>
  <c r="BB307" i="3"/>
  <c r="V307" i="3"/>
  <c r="V385" i="3"/>
  <c r="BA385" i="3"/>
  <c r="BA307" i="3"/>
  <c r="BA463" i="3" s="1"/>
  <c r="AV385" i="3"/>
  <c r="AV307" i="3"/>
  <c r="AV463" i="3" s="1"/>
  <c r="AZ229" i="3"/>
  <c r="BJ229" i="3"/>
  <c r="AK229" i="3"/>
  <c r="AF385" i="3"/>
  <c r="AF307" i="3"/>
  <c r="AQ385" i="3"/>
  <c r="AQ307" i="3"/>
  <c r="AL307" i="3"/>
  <c r="AL463" i="3" s="1"/>
  <c r="AL385" i="3"/>
  <c r="BN229" i="3"/>
  <c r="BM387" i="3"/>
  <c r="BM309" i="3"/>
  <c r="U385" i="3"/>
  <c r="L227" i="3"/>
  <c r="U307" i="3"/>
  <c r="AD23" i="53"/>
  <c r="AP465" i="3"/>
  <c r="AO229" i="3"/>
  <c r="AN307" i="3"/>
  <c r="AN385" i="3"/>
  <c r="AU387" i="3"/>
  <c r="AU309" i="3"/>
  <c r="BB387" i="3"/>
  <c r="BB309" i="3"/>
  <c r="V309" i="3"/>
  <c r="V387" i="3"/>
  <c r="AV387" i="3"/>
  <c r="AV309" i="3"/>
  <c r="L60" i="3"/>
  <c r="BJ385" i="3"/>
  <c r="BJ307" i="3"/>
  <c r="AY385" i="3"/>
  <c r="AY307" i="3"/>
  <c r="AF309" i="3"/>
  <c r="AF387" i="3"/>
  <c r="I47" i="4"/>
  <c r="BP387" i="3"/>
  <c r="BP309" i="3"/>
  <c r="BK309" i="3"/>
  <c r="BK387" i="3"/>
  <c r="AR307" i="3"/>
  <c r="AR385" i="3"/>
  <c r="AC307" i="3"/>
  <c r="AC385" i="3"/>
  <c r="AS385" i="3"/>
  <c r="AS307" i="3"/>
  <c r="AS463" i="3" s="1"/>
  <c r="AU385" i="3"/>
  <c r="AU307" i="3"/>
  <c r="AU463" i="3" s="1"/>
  <c r="L308" i="3"/>
  <c r="L464" i="3" s="1"/>
  <c r="X229" i="3"/>
  <c r="AZ385" i="3"/>
  <c r="AZ307" i="3"/>
  <c r="AZ463" i="3" s="1"/>
  <c r="S387" i="3"/>
  <c r="S309" i="3"/>
  <c r="AY387" i="3"/>
  <c r="AY309" i="3"/>
  <c r="BF385" i="3"/>
  <c r="BF307" i="3"/>
  <c r="BF463" i="3" s="1"/>
  <c r="AL229" i="3"/>
  <c r="BN385" i="3"/>
  <c r="BN307" i="3"/>
  <c r="BM385" i="3"/>
  <c r="BM307" i="3"/>
  <c r="U309" i="3"/>
  <c r="U387" i="3"/>
  <c r="AW385" i="3"/>
  <c r="AW307" i="3"/>
  <c r="BP307" i="3"/>
  <c r="BP463" i="3" s="1"/>
  <c r="BP385" i="3"/>
  <c r="AN229" i="3"/>
  <c r="BK385" i="3"/>
  <c r="BK307" i="3"/>
  <c r="BK463" i="3" s="1"/>
  <c r="AR229" i="3"/>
  <c r="AG465" i="3"/>
  <c r="U23" i="53"/>
  <c r="AC229" i="3"/>
  <c r="BI387" i="3"/>
  <c r="BI309" i="3"/>
  <c r="X385" i="3"/>
  <c r="X307" i="3"/>
  <c r="BA309" i="3"/>
  <c r="BA387" i="3"/>
  <c r="AK385" i="3"/>
  <c r="AK307" i="3"/>
  <c r="W463" i="3"/>
  <c r="BF387" i="3"/>
  <c r="BF309" i="3"/>
  <c r="AQ229" i="3"/>
  <c r="I42" i="4"/>
  <c r="BH302" i="3"/>
  <c r="BH380" i="3"/>
  <c r="BF380" i="3"/>
  <c r="BF302" i="3"/>
  <c r="U224" i="3"/>
  <c r="AV380" i="3"/>
  <c r="AV302" i="3"/>
  <c r="AD380" i="3"/>
  <c r="AD302" i="3"/>
  <c r="BA224" i="3"/>
  <c r="BM224" i="3"/>
  <c r="BP224" i="3"/>
  <c r="S224" i="3"/>
  <c r="AT382" i="3"/>
  <c r="AT304" i="3"/>
  <c r="T129" i="3"/>
  <c r="U98" i="3"/>
  <c r="U97" i="3" s="1"/>
  <c r="V98" i="3" s="1"/>
  <c r="BH224" i="3"/>
  <c r="AB224" i="3"/>
  <c r="U302" i="3"/>
  <c r="U380" i="3"/>
  <c r="V380" i="3"/>
  <c r="V302" i="3"/>
  <c r="AE382" i="3"/>
  <c r="AE304" i="3"/>
  <c r="AV224" i="3"/>
  <c r="AP224" i="3"/>
  <c r="AD224" i="3"/>
  <c r="AM304" i="3"/>
  <c r="AM382" i="3"/>
  <c r="S380" i="3"/>
  <c r="S302" i="3"/>
  <c r="AG302" i="3"/>
  <c r="AG380" i="3"/>
  <c r="AT458" i="3"/>
  <c r="AU304" i="3"/>
  <c r="AU382" i="3"/>
  <c r="BK302" i="3"/>
  <c r="BK380" i="3"/>
  <c r="AB380" i="3"/>
  <c r="AB302" i="3"/>
  <c r="V224" i="3"/>
  <c r="BI304" i="3"/>
  <c r="BI382" i="3"/>
  <c r="AU458" i="3"/>
  <c r="BE304" i="3"/>
  <c r="BE382" i="3"/>
  <c r="BG382" i="3"/>
  <c r="BG304" i="3"/>
  <c r="AU22" i="53" s="1"/>
  <c r="AX224" i="3"/>
  <c r="AP302" i="3"/>
  <c r="AP458" i="3" s="1"/>
  <c r="AP380" i="3"/>
  <c r="R302" i="3"/>
  <c r="R380" i="3"/>
  <c r="R224" i="3"/>
  <c r="R110" i="3"/>
  <c r="BM302" i="3"/>
  <c r="BM380" i="3"/>
  <c r="BP333" i="4"/>
  <c r="BB304" i="3"/>
  <c r="AP22" i="53" s="1"/>
  <c r="BB382" i="3"/>
  <c r="AY382" i="3"/>
  <c r="AY304" i="3"/>
  <c r="Y224" i="3"/>
  <c r="BF224" i="3"/>
  <c r="AG224" i="3"/>
  <c r="BK224" i="3"/>
  <c r="AF224" i="3"/>
  <c r="AX302" i="3"/>
  <c r="AX458" i="3" s="1"/>
  <c r="AX380" i="3"/>
  <c r="BA380" i="3"/>
  <c r="BA302" i="3"/>
  <c r="T86" i="3"/>
  <c r="T85" i="3" s="1"/>
  <c r="S127" i="3"/>
  <c r="S130" i="3" s="1"/>
  <c r="S238" i="3" s="1"/>
  <c r="BB458" i="3"/>
  <c r="BP302" i="3"/>
  <c r="BP380" i="3"/>
  <c r="W216" i="7"/>
  <c r="W184" i="7"/>
  <c r="W276" i="7"/>
  <c r="W143" i="7"/>
  <c r="W161" i="7"/>
  <c r="W173" i="7"/>
  <c r="W4" i="7"/>
  <c r="W67" i="7"/>
  <c r="W127" i="7"/>
  <c r="W195" i="7"/>
  <c r="W15" i="3"/>
  <c r="X68" i="7"/>
  <c r="BD459" i="3"/>
  <c r="L303" i="3"/>
  <c r="L459" i="3" s="1"/>
  <c r="U128" i="3"/>
  <c r="V92" i="3"/>
  <c r="V87" i="3"/>
  <c r="V93" i="3"/>
  <c r="V100" i="3"/>
  <c r="W101" i="3" s="1"/>
  <c r="V99" i="3"/>
  <c r="V88" i="3"/>
  <c r="W89" i="3" s="1"/>
  <c r="V94" i="3"/>
  <c r="W95" i="3" s="1"/>
  <c r="AY333" i="4"/>
  <c r="U111" i="3"/>
  <c r="AF458" i="3"/>
  <c r="U511" i="3"/>
  <c r="BN458" i="3"/>
  <c r="M114" i="7"/>
  <c r="M15" i="3"/>
  <c r="M67" i="7"/>
  <c r="L505" i="3"/>
  <c r="L426" i="3"/>
  <c r="L504" i="3" s="1"/>
  <c r="T506" i="3"/>
  <c r="L344" i="3"/>
  <c r="V501" i="3"/>
  <c r="AM500" i="3"/>
  <c r="R518" i="3"/>
  <c r="L361" i="3"/>
  <c r="AF500" i="3"/>
  <c r="BJ499" i="3"/>
  <c r="L444" i="3"/>
  <c r="L359" i="3"/>
  <c r="AQ503" i="3"/>
  <c r="Y522" i="3"/>
  <c r="R511" i="3"/>
  <c r="S511" i="3"/>
  <c r="T511" i="3"/>
  <c r="R500" i="3"/>
  <c r="V524" i="3"/>
  <c r="L367" i="3"/>
  <c r="BN499" i="3"/>
  <c r="AP499" i="3"/>
  <c r="L342" i="3"/>
  <c r="L499" i="3" s="1"/>
  <c r="L522" i="3"/>
  <c r="L423" i="3"/>
  <c r="AJ351" i="4"/>
  <c r="AJ330" i="4"/>
  <c r="AJ333" i="4" s="1"/>
  <c r="AU351" i="4"/>
  <c r="AU330" i="4"/>
  <c r="AU333" i="4" s="1"/>
  <c r="BV329" i="4"/>
  <c r="BV333" i="4" s="1"/>
  <c r="BV351" i="4"/>
  <c r="V516" i="3"/>
  <c r="L438" i="3"/>
  <c r="L516" i="3" s="1"/>
  <c r="S445" i="3"/>
  <c r="T366" i="3"/>
  <c r="U366" i="3"/>
  <c r="T445" i="3"/>
  <c r="R445" i="3"/>
  <c r="S366" i="3"/>
  <c r="V445" i="3"/>
  <c r="W366" i="3"/>
  <c r="W445" i="3"/>
  <c r="R366" i="3"/>
  <c r="U445" i="3"/>
  <c r="V366" i="3"/>
  <c r="V508" i="3"/>
  <c r="L351" i="3"/>
  <c r="L508" i="3" s="1"/>
  <c r="R362" i="3"/>
  <c r="U362" i="3"/>
  <c r="V441" i="3"/>
  <c r="U441" i="3"/>
  <c r="S362" i="3"/>
  <c r="V362" i="3"/>
  <c r="R441" i="3"/>
  <c r="W362" i="3"/>
  <c r="T441" i="3"/>
  <c r="T362" i="3"/>
  <c r="S441" i="3"/>
  <c r="W441" i="3"/>
  <c r="L428" i="3"/>
  <c r="L506" i="3" s="1"/>
  <c r="V503" i="3"/>
  <c r="L346" i="3"/>
  <c r="BB330" i="4"/>
  <c r="BB333" i="4" s="1"/>
  <c r="BB351" i="4"/>
  <c r="U510" i="3"/>
  <c r="L353" i="3"/>
  <c r="L510" i="3" s="1"/>
  <c r="R512" i="3"/>
  <c r="L355" i="3"/>
  <c r="BR330" i="4"/>
  <c r="BR333" i="4" s="1"/>
  <c r="BR351" i="4"/>
  <c r="AZ351" i="4"/>
  <c r="AZ330" i="4"/>
  <c r="AZ333" i="4" s="1"/>
  <c r="AG351" i="4"/>
  <c r="AG330" i="4"/>
  <c r="AG333" i="4" s="1"/>
  <c r="L446" i="3"/>
  <c r="BO351" i="4"/>
  <c r="BO330" i="4"/>
  <c r="BO333" i="4" s="1"/>
  <c r="BM328" i="4"/>
  <c r="BM333" i="4" s="1"/>
  <c r="BM351" i="4"/>
  <c r="BE328" i="4"/>
  <c r="BE333" i="4" s="1"/>
  <c r="BE351" i="4"/>
  <c r="AI330" i="4"/>
  <c r="AI333" i="4" s="1"/>
  <c r="AI351" i="4"/>
  <c r="L425" i="3"/>
  <c r="BZ351" i="4"/>
  <c r="BZ330" i="4"/>
  <c r="BZ333" i="4" s="1"/>
  <c r="R504" i="3"/>
  <c r="L440" i="3"/>
  <c r="BY328" i="4"/>
  <c r="BY333" i="4" s="1"/>
  <c r="BY351" i="4"/>
  <c r="L434" i="3"/>
  <c r="AK330" i="4"/>
  <c r="AK333" i="4" s="1"/>
  <c r="CC328" i="4"/>
  <c r="CC333" i="4" s="1"/>
  <c r="CC351" i="4"/>
  <c r="E64" i="53"/>
  <c r="D22" i="51"/>
  <c r="D24" i="51" s="1"/>
  <c r="D21" i="51"/>
  <c r="E21" i="51" s="1"/>
  <c r="F21" i="51" s="1"/>
  <c r="G21" i="51" s="1"/>
  <c r="H21" i="51" s="1"/>
  <c r="I21" i="51" s="1"/>
  <c r="J21" i="51" s="1"/>
  <c r="K21" i="51" s="1"/>
  <c r="L21" i="51" s="1"/>
  <c r="M21" i="51" s="1"/>
  <c r="C22" i="51"/>
  <c r="C24" i="51" s="1"/>
  <c r="C25" i="51" s="1"/>
  <c r="F22" i="51"/>
  <c r="F24" i="51" s="1"/>
  <c r="H22" i="51"/>
  <c r="I22" i="51"/>
  <c r="E22" i="51"/>
  <c r="E24" i="51" s="1"/>
  <c r="J22" i="51"/>
  <c r="M22" i="51"/>
  <c r="K22" i="51"/>
  <c r="G22" i="51"/>
  <c r="G24" i="51" s="1"/>
  <c r="L22" i="51"/>
  <c r="E25" i="53"/>
  <c r="L520" i="3"/>
  <c r="L500" i="3"/>
  <c r="X490" i="3" l="1"/>
  <c r="AA468" i="3"/>
  <c r="Y380" i="3"/>
  <c r="Y458" i="3" s="1"/>
  <c r="V375" i="3"/>
  <c r="W23" i="3"/>
  <c r="U297" i="3"/>
  <c r="V20" i="3"/>
  <c r="I8" i="53"/>
  <c r="C37" i="51"/>
  <c r="J177" i="3" s="1"/>
  <c r="T177" i="3" s="1"/>
  <c r="T261" i="3" s="1"/>
  <c r="H18" i="51"/>
  <c r="H13" i="51"/>
  <c r="C36" i="51"/>
  <c r="J176" i="3" s="1"/>
  <c r="X176" i="3" s="1"/>
  <c r="X260" i="3" s="1"/>
  <c r="Z468" i="3"/>
  <c r="O52" i="53"/>
  <c r="L52" i="53"/>
  <c r="L502" i="3"/>
  <c r="N52" i="53"/>
  <c r="J52" i="53"/>
  <c r="W483" i="3"/>
  <c r="E50" i="53"/>
  <c r="K52" i="53"/>
  <c r="L480" i="3"/>
  <c r="AC490" i="3"/>
  <c r="Z490" i="3"/>
  <c r="U129" i="3"/>
  <c r="AB490" i="3"/>
  <c r="W519" i="3"/>
  <c r="L503" i="3"/>
  <c r="L41" i="3"/>
  <c r="U458" i="3"/>
  <c r="V468" i="3"/>
  <c r="E24" i="53"/>
  <c r="W458" i="3"/>
  <c r="W468" i="3"/>
  <c r="X468" i="3"/>
  <c r="AA490" i="3"/>
  <c r="AD490" i="3"/>
  <c r="V490" i="3"/>
  <c r="L20" i="57"/>
  <c r="L2" i="57"/>
  <c r="M9" i="57"/>
  <c r="G25" i="51"/>
  <c r="H30" i="51" s="1"/>
  <c r="J172" i="3"/>
  <c r="E65" i="53"/>
  <c r="L487" i="3"/>
  <c r="Y490" i="3"/>
  <c r="L334" i="3"/>
  <c r="T490" i="3"/>
  <c r="L413" i="3"/>
  <c r="L491" i="3" s="1"/>
  <c r="Y491" i="3"/>
  <c r="W490" i="3"/>
  <c r="L412" i="3"/>
  <c r="U490" i="3"/>
  <c r="W44" i="3"/>
  <c r="W79" i="3"/>
  <c r="W50" i="3"/>
  <c r="W80" i="3"/>
  <c r="BP458" i="3"/>
  <c r="BF458" i="3"/>
  <c r="W22" i="53"/>
  <c r="AI460" i="3"/>
  <c r="BJ460" i="3"/>
  <c r="AX22" i="53"/>
  <c r="AL460" i="3"/>
  <c r="Z22" i="53"/>
  <c r="AN458" i="3"/>
  <c r="BO382" i="3"/>
  <c r="BO304" i="3"/>
  <c r="AH458" i="3"/>
  <c r="AN460" i="3"/>
  <c r="AB22" i="53"/>
  <c r="AQ22" i="53"/>
  <c r="BC460" i="3"/>
  <c r="AH304" i="3"/>
  <c r="V22" i="53" s="1"/>
  <c r="AH382" i="3"/>
  <c r="AH460" i="3" s="1"/>
  <c r="BA458" i="3"/>
  <c r="AE22" i="53"/>
  <c r="AQ460" i="3"/>
  <c r="AW458" i="3"/>
  <c r="W523" i="3"/>
  <c r="T468" i="3"/>
  <c r="L312" i="3"/>
  <c r="L390" i="3"/>
  <c r="H51" i="53"/>
  <c r="T176" i="3"/>
  <c r="T260" i="3" s="1"/>
  <c r="T224" i="3"/>
  <c r="T380" i="3"/>
  <c r="T302" i="3"/>
  <c r="X382" i="3"/>
  <c r="X304" i="3"/>
  <c r="X380" i="3"/>
  <c r="X302" i="3"/>
  <c r="L222" i="3"/>
  <c r="V458" i="3"/>
  <c r="AH28" i="53"/>
  <c r="AT484" i="3"/>
  <c r="AJ483" i="3"/>
  <c r="AI28" i="53"/>
  <c r="AU484" i="3"/>
  <c r="AX483" i="3"/>
  <c r="BI483" i="3"/>
  <c r="O28" i="53"/>
  <c r="AA484" i="3"/>
  <c r="Q28" i="53"/>
  <c r="AC484" i="3"/>
  <c r="X28" i="53"/>
  <c r="AJ484" i="3"/>
  <c r="AU483" i="3"/>
  <c r="AX484" i="3"/>
  <c r="AL28" i="53"/>
  <c r="AG483" i="3"/>
  <c r="BH483" i="3"/>
  <c r="Y28" i="53"/>
  <c r="AK484" i="3"/>
  <c r="AB28" i="53"/>
  <c r="AN484" i="3"/>
  <c r="AV28" i="53"/>
  <c r="BH484" i="3"/>
  <c r="I28" i="53"/>
  <c r="U484" i="3"/>
  <c r="AS28" i="53"/>
  <c r="BE484" i="3"/>
  <c r="AZ28" i="53"/>
  <c r="BL484" i="3"/>
  <c r="AO484" i="3"/>
  <c r="AC28" i="53"/>
  <c r="AE484" i="3"/>
  <c r="S28" i="53"/>
  <c r="AV484" i="3"/>
  <c r="AJ28" i="53"/>
  <c r="AK483" i="3"/>
  <c r="AW28" i="53"/>
  <c r="BI484" i="3"/>
  <c r="AA483" i="3"/>
  <c r="R483" i="3"/>
  <c r="L327" i="3"/>
  <c r="AL483" i="3"/>
  <c r="AF484" i="3"/>
  <c r="T28" i="53"/>
  <c r="BM484" i="3"/>
  <c r="BA28" i="53"/>
  <c r="AP484" i="3"/>
  <c r="AD28" i="53"/>
  <c r="Z28" i="53"/>
  <c r="AL484" i="3"/>
  <c r="AW483" i="3"/>
  <c r="AM28" i="53"/>
  <c r="AY484" i="3"/>
  <c r="AD484" i="3"/>
  <c r="R28" i="53"/>
  <c r="N28" i="53"/>
  <c r="Z484" i="3"/>
  <c r="W484" i="3"/>
  <c r="K28" i="53"/>
  <c r="L406" i="3"/>
  <c r="AW484" i="3"/>
  <c r="AK28" i="53"/>
  <c r="F28" i="53"/>
  <c r="R484" i="3"/>
  <c r="L328" i="3"/>
  <c r="AM483" i="3"/>
  <c r="BA483" i="3"/>
  <c r="AF483" i="3"/>
  <c r="BM483" i="3"/>
  <c r="BF484" i="3"/>
  <c r="AT28" i="53"/>
  <c r="L405" i="3"/>
  <c r="AE28" i="53"/>
  <c r="AQ484" i="3"/>
  <c r="AO28" i="53"/>
  <c r="BA484" i="3"/>
  <c r="M28" i="53"/>
  <c r="Y484" i="3"/>
  <c r="AQ483" i="3"/>
  <c r="AF28" i="53"/>
  <c r="AR484" i="3"/>
  <c r="AN483" i="3"/>
  <c r="BC484" i="3"/>
  <c r="AQ28" i="53"/>
  <c r="AA28" i="53"/>
  <c r="AM484" i="3"/>
  <c r="AU28" i="53"/>
  <c r="BG484" i="3"/>
  <c r="AG484" i="3"/>
  <c r="U28" i="53"/>
  <c r="AD483" i="3"/>
  <c r="BC28" i="53"/>
  <c r="BO484" i="3"/>
  <c r="AU23" i="53"/>
  <c r="BG465" i="3"/>
  <c r="BN463" i="3"/>
  <c r="AC463" i="3"/>
  <c r="R463" i="3"/>
  <c r="R387" i="3"/>
  <c r="R309" i="3"/>
  <c r="AM465" i="3"/>
  <c r="AA23" i="53"/>
  <c r="BL387" i="3"/>
  <c r="BL309" i="3"/>
  <c r="AJ387" i="3"/>
  <c r="AJ465" i="3" s="1"/>
  <c r="AJ309" i="3"/>
  <c r="X23" i="53" s="1"/>
  <c r="Y463" i="3"/>
  <c r="AT463" i="3"/>
  <c r="AM463" i="3"/>
  <c r="BE465" i="3"/>
  <c r="AS23" i="53"/>
  <c r="R121" i="3"/>
  <c r="S112" i="3"/>
  <c r="BD463" i="3"/>
  <c r="BG463" i="3"/>
  <c r="O23" i="53"/>
  <c r="AA465" i="3"/>
  <c r="M23" i="53"/>
  <c r="Y465" i="3"/>
  <c r="AI309" i="3"/>
  <c r="W23" i="53" s="1"/>
  <c r="AI387" i="3"/>
  <c r="AI465" i="3" s="1"/>
  <c r="AW463" i="3"/>
  <c r="BM463" i="3"/>
  <c r="AY463" i="3"/>
  <c r="AE465" i="3"/>
  <c r="BL463" i="3"/>
  <c r="S463" i="3"/>
  <c r="AT465" i="3"/>
  <c r="BD309" i="3"/>
  <c r="BD387" i="3"/>
  <c r="F25" i="51"/>
  <c r="H29" i="51" s="1"/>
  <c r="E25" i="51"/>
  <c r="H28" i="51" s="1"/>
  <c r="BF465" i="3"/>
  <c r="AT23" i="53"/>
  <c r="AN387" i="3"/>
  <c r="AN309" i="3"/>
  <c r="AL387" i="3"/>
  <c r="AL309" i="3"/>
  <c r="X309" i="3"/>
  <c r="X387" i="3"/>
  <c r="T23" i="53"/>
  <c r="AF465" i="3"/>
  <c r="AN463" i="3"/>
  <c r="L385" i="3"/>
  <c r="BB463" i="3"/>
  <c r="AS387" i="3"/>
  <c r="AS309" i="3"/>
  <c r="K23" i="53"/>
  <c r="W465" i="3"/>
  <c r="AW23" i="53"/>
  <c r="BI465" i="3"/>
  <c r="AC387" i="3"/>
  <c r="AC309" i="3"/>
  <c r="L229" i="3"/>
  <c r="AY23" i="53"/>
  <c r="BK465" i="3"/>
  <c r="J23" i="53"/>
  <c r="V465" i="3"/>
  <c r="AU465" i="3"/>
  <c r="AI23" i="53"/>
  <c r="AO387" i="3"/>
  <c r="AO309" i="3"/>
  <c r="BM465" i="3"/>
  <c r="BA23" i="53"/>
  <c r="BN387" i="3"/>
  <c r="BN309" i="3"/>
  <c r="AQ463" i="3"/>
  <c r="AZ309" i="3"/>
  <c r="AZ387" i="3"/>
  <c r="AQ23" i="53"/>
  <c r="BC465" i="3"/>
  <c r="AO23" i="53"/>
  <c r="BA465" i="3"/>
  <c r="G23" i="53"/>
  <c r="S465" i="3"/>
  <c r="BD23" i="53"/>
  <c r="BP465" i="3"/>
  <c r="AV465" i="3"/>
  <c r="AJ23" i="53"/>
  <c r="BB465" i="3"/>
  <c r="AP23" i="53"/>
  <c r="U463" i="3"/>
  <c r="L307" i="3"/>
  <c r="BJ309" i="3"/>
  <c r="BJ387" i="3"/>
  <c r="BI463" i="3"/>
  <c r="AW309" i="3"/>
  <c r="AW387" i="3"/>
  <c r="AQ387" i="3"/>
  <c r="AQ309" i="3"/>
  <c r="AK463" i="3"/>
  <c r="X463" i="3"/>
  <c r="AR309" i="3"/>
  <c r="AR387" i="3"/>
  <c r="U465" i="3"/>
  <c r="I23" i="53"/>
  <c r="AY465" i="3"/>
  <c r="AM23" i="53"/>
  <c r="AR463" i="3"/>
  <c r="BJ463" i="3"/>
  <c r="AF463" i="3"/>
  <c r="AK309" i="3"/>
  <c r="AK387" i="3"/>
  <c r="V463" i="3"/>
  <c r="AF382" i="3"/>
  <c r="AF304" i="3"/>
  <c r="AY460" i="3"/>
  <c r="AM22" i="53"/>
  <c r="S110" i="3"/>
  <c r="R113" i="3"/>
  <c r="R119" i="3"/>
  <c r="R122" i="3" s="1"/>
  <c r="R235" i="3" s="1"/>
  <c r="BH382" i="3"/>
  <c r="BH304" i="3"/>
  <c r="V97" i="3"/>
  <c r="W98" i="3" s="1"/>
  <c r="Y304" i="3"/>
  <c r="Y382" i="3"/>
  <c r="BG460" i="3"/>
  <c r="V304" i="3"/>
  <c r="V382" i="3"/>
  <c r="BK458" i="3"/>
  <c r="AP304" i="3"/>
  <c r="AP382" i="3"/>
  <c r="AE460" i="3"/>
  <c r="S22" i="53"/>
  <c r="AH22" i="53"/>
  <c r="AT460" i="3"/>
  <c r="S304" i="3"/>
  <c r="S382" i="3"/>
  <c r="BM382" i="3"/>
  <c r="BM304" i="3"/>
  <c r="BA304" i="3"/>
  <c r="AO22" i="53" s="1"/>
  <c r="BA382" i="3"/>
  <c r="BA460" i="3" s="1"/>
  <c r="U304" i="3"/>
  <c r="U382" i="3"/>
  <c r="S396" i="3"/>
  <c r="S318" i="3"/>
  <c r="BF304" i="3"/>
  <c r="BF382" i="3"/>
  <c r="BB460" i="3"/>
  <c r="BM458" i="3"/>
  <c r="R382" i="3"/>
  <c r="R304" i="3"/>
  <c r="L224" i="3"/>
  <c r="R458" i="3"/>
  <c r="BI460" i="3"/>
  <c r="AW22" i="53"/>
  <c r="AB458" i="3"/>
  <c r="AG458" i="3"/>
  <c r="AA22" i="53"/>
  <c r="AM460" i="3"/>
  <c r="AD382" i="3"/>
  <c r="AD304" i="3"/>
  <c r="AV304" i="3"/>
  <c r="AV382" i="3"/>
  <c r="BP304" i="3"/>
  <c r="BP382" i="3"/>
  <c r="V523" i="3"/>
  <c r="T127" i="3"/>
  <c r="T130" i="3" s="1"/>
  <c r="T238" i="3" s="1"/>
  <c r="T318" i="3" s="1"/>
  <c r="U86" i="3"/>
  <c r="U85" i="3" s="1"/>
  <c r="BK382" i="3"/>
  <c r="BK304" i="3"/>
  <c r="AG382" i="3"/>
  <c r="AG304" i="3"/>
  <c r="AX382" i="3"/>
  <c r="AX304" i="3"/>
  <c r="BE460" i="3"/>
  <c r="AS22" i="53"/>
  <c r="AI22" i="53"/>
  <c r="AU460" i="3"/>
  <c r="S458" i="3"/>
  <c r="AB382" i="3"/>
  <c r="AB304" i="3"/>
  <c r="AD458" i="3"/>
  <c r="AV458" i="3"/>
  <c r="BH458" i="3"/>
  <c r="U120" i="3"/>
  <c r="W87" i="3"/>
  <c r="W88" i="3"/>
  <c r="X89" i="3" s="1"/>
  <c r="W100" i="3"/>
  <c r="X101" i="3" s="1"/>
  <c r="W99" i="3"/>
  <c r="W93" i="3"/>
  <c r="W94" i="3"/>
  <c r="X95" i="3" s="1"/>
  <c r="W433" i="3"/>
  <c r="W354" i="3"/>
  <c r="AB352" i="4"/>
  <c r="U523" i="3"/>
  <c r="V91" i="3"/>
  <c r="V111" i="3" s="1"/>
  <c r="X173" i="7"/>
  <c r="X276" i="7"/>
  <c r="Y68" i="7"/>
  <c r="X216" i="7"/>
  <c r="X127" i="7"/>
  <c r="X4" i="7"/>
  <c r="X15" i="3"/>
  <c r="X161" i="7"/>
  <c r="X143" i="7"/>
  <c r="X184" i="7"/>
  <c r="X67" i="7"/>
  <c r="X195" i="7"/>
  <c r="S523" i="3"/>
  <c r="L518" i="3"/>
  <c r="V519" i="3"/>
  <c r="L512" i="3"/>
  <c r="T519" i="3"/>
  <c r="U519" i="3"/>
  <c r="R523" i="3"/>
  <c r="L524" i="3"/>
  <c r="S519" i="3"/>
  <c r="R519" i="3"/>
  <c r="T523" i="3"/>
  <c r="L501" i="3"/>
  <c r="J30" i="51"/>
  <c r="D25" i="51"/>
  <c r="H172" i="3"/>
  <c r="G26" i="51"/>
  <c r="C31" i="51"/>
  <c r="H26" i="51"/>
  <c r="E26" i="51"/>
  <c r="D26" i="51"/>
  <c r="F26" i="51"/>
  <c r="C32" i="51"/>
  <c r="R340" i="3" s="1"/>
  <c r="W375" i="3" l="1"/>
  <c r="X23" i="3"/>
  <c r="W20" i="3"/>
  <c r="V297" i="3"/>
  <c r="J8" i="53"/>
  <c r="X416" i="3"/>
  <c r="X494" i="3" s="1"/>
  <c r="X337" i="3"/>
  <c r="Z176" i="3"/>
  <c r="Z260" i="3" s="1"/>
  <c r="W176" i="3"/>
  <c r="W260" i="3" s="1"/>
  <c r="AM176" i="3"/>
  <c r="AM260" i="3" s="1"/>
  <c r="BB176" i="3"/>
  <c r="BB260" i="3" s="1"/>
  <c r="BE176" i="3"/>
  <c r="BE260" i="3" s="1"/>
  <c r="AE176" i="3"/>
  <c r="AE260" i="3" s="1"/>
  <c r="AT176" i="3"/>
  <c r="AT260" i="3" s="1"/>
  <c r="AA176" i="3"/>
  <c r="AA260" i="3" s="1"/>
  <c r="BC176" i="3"/>
  <c r="BC260" i="3" s="1"/>
  <c r="AY176" i="3"/>
  <c r="AY260" i="3" s="1"/>
  <c r="BG176" i="3"/>
  <c r="BG260" i="3" s="1"/>
  <c r="AH176" i="3"/>
  <c r="AH260" i="3" s="1"/>
  <c r="AL176" i="3"/>
  <c r="AL260" i="3" s="1"/>
  <c r="U176" i="3"/>
  <c r="U260" i="3" s="1"/>
  <c r="BA176" i="3"/>
  <c r="BA260" i="3" s="1"/>
  <c r="Y176" i="3"/>
  <c r="Y260" i="3" s="1"/>
  <c r="AF176" i="3"/>
  <c r="AF260" i="3" s="1"/>
  <c r="AI176" i="3"/>
  <c r="AI260" i="3" s="1"/>
  <c r="BI176" i="3"/>
  <c r="BI260" i="3" s="1"/>
  <c r="AK176" i="3"/>
  <c r="AK260" i="3" s="1"/>
  <c r="AB176" i="3"/>
  <c r="AB260" i="3" s="1"/>
  <c r="AV176" i="3"/>
  <c r="AV260" i="3" s="1"/>
  <c r="AX176" i="3"/>
  <c r="AX260" i="3" s="1"/>
  <c r="BF176" i="3"/>
  <c r="BF260" i="3" s="1"/>
  <c r="AJ176" i="3"/>
  <c r="AJ260" i="3" s="1"/>
  <c r="AW176" i="3"/>
  <c r="AW260" i="3" s="1"/>
  <c r="AZ176" i="3"/>
  <c r="AZ260" i="3" s="1"/>
  <c r="BJ176" i="3"/>
  <c r="BJ260" i="3" s="1"/>
  <c r="AR176" i="3"/>
  <c r="AR260" i="3" s="1"/>
  <c r="BH176" i="3"/>
  <c r="BH260" i="3" s="1"/>
  <c r="AP176" i="3"/>
  <c r="AP260" i="3" s="1"/>
  <c r="V176" i="3"/>
  <c r="V260" i="3" s="1"/>
  <c r="BK176" i="3"/>
  <c r="BK260" i="3" s="1"/>
  <c r="AD176" i="3"/>
  <c r="AD260" i="3" s="1"/>
  <c r="R176" i="3"/>
  <c r="R260" i="3" s="1"/>
  <c r="R416" i="3" s="1"/>
  <c r="AG176" i="3"/>
  <c r="AG260" i="3" s="1"/>
  <c r="BO176" i="3"/>
  <c r="BO260" i="3" s="1"/>
  <c r="BD176" i="3"/>
  <c r="BD260" i="3" s="1"/>
  <c r="BL176" i="3"/>
  <c r="BL260" i="3" s="1"/>
  <c r="AU176" i="3"/>
  <c r="AU260" i="3" s="1"/>
  <c r="AS176" i="3"/>
  <c r="AS260" i="3" s="1"/>
  <c r="BN176" i="3"/>
  <c r="BN260" i="3" s="1"/>
  <c r="AO176" i="3"/>
  <c r="AO260" i="3" s="1"/>
  <c r="AN176" i="3"/>
  <c r="AN260" i="3" s="1"/>
  <c r="AQ176" i="3"/>
  <c r="AQ260" i="3" s="1"/>
  <c r="BM176" i="3"/>
  <c r="BM260" i="3" s="1"/>
  <c r="BP176" i="3"/>
  <c r="BP260" i="3" s="1"/>
  <c r="S176" i="3"/>
  <c r="S260" i="3" s="1"/>
  <c r="AC176" i="3"/>
  <c r="AC260" i="3" s="1"/>
  <c r="Z177" i="3"/>
  <c r="Z261" i="3" s="1"/>
  <c r="AA177" i="3"/>
  <c r="AA261" i="3" s="1"/>
  <c r="AE177" i="3"/>
  <c r="AE261" i="3" s="1"/>
  <c r="AY177" i="3"/>
  <c r="AY261" i="3" s="1"/>
  <c r="AT177" i="3"/>
  <c r="AT261" i="3" s="1"/>
  <c r="W177" i="3"/>
  <c r="W261" i="3" s="1"/>
  <c r="AM177" i="3"/>
  <c r="AM261" i="3" s="1"/>
  <c r="BC177" i="3"/>
  <c r="BC261" i="3" s="1"/>
  <c r="BG177" i="3"/>
  <c r="BG261" i="3" s="1"/>
  <c r="BE177" i="3"/>
  <c r="BE261" i="3" s="1"/>
  <c r="BB177" i="3"/>
  <c r="BB261" i="3" s="1"/>
  <c r="AJ177" i="3"/>
  <c r="AJ261" i="3" s="1"/>
  <c r="AI177" i="3"/>
  <c r="AI261" i="3" s="1"/>
  <c r="BL177" i="3"/>
  <c r="BL261" i="3" s="1"/>
  <c r="AW177" i="3"/>
  <c r="AW261" i="3" s="1"/>
  <c r="BJ177" i="3"/>
  <c r="BJ261" i="3" s="1"/>
  <c r="AK177" i="3"/>
  <c r="AK261" i="3" s="1"/>
  <c r="AN177" i="3"/>
  <c r="AN261" i="3" s="1"/>
  <c r="AC177" i="3"/>
  <c r="AC261" i="3" s="1"/>
  <c r="AV177" i="3"/>
  <c r="AV261" i="3" s="1"/>
  <c r="AP177" i="3"/>
  <c r="AP261" i="3" s="1"/>
  <c r="AD177" i="3"/>
  <c r="AD261" i="3" s="1"/>
  <c r="AX177" i="3"/>
  <c r="AX261" i="3" s="1"/>
  <c r="BF177" i="3"/>
  <c r="BF261" i="3" s="1"/>
  <c r="AU177" i="3"/>
  <c r="AU261" i="3" s="1"/>
  <c r="BI177" i="3"/>
  <c r="BI261" i="3" s="1"/>
  <c r="AO177" i="3"/>
  <c r="AO261" i="3" s="1"/>
  <c r="BM177" i="3"/>
  <c r="BM261" i="3" s="1"/>
  <c r="S177" i="3"/>
  <c r="S261" i="3" s="1"/>
  <c r="BN177" i="3"/>
  <c r="BN261" i="3" s="1"/>
  <c r="AL177" i="3"/>
  <c r="AL261" i="3" s="1"/>
  <c r="AQ177" i="3"/>
  <c r="AQ261" i="3" s="1"/>
  <c r="BP177" i="3"/>
  <c r="BP261" i="3" s="1"/>
  <c r="R177" i="3"/>
  <c r="R261" i="3" s="1"/>
  <c r="R417" i="3" s="1"/>
  <c r="Y177" i="3"/>
  <c r="Y261" i="3" s="1"/>
  <c r="AF177" i="3"/>
  <c r="AF261" i="3" s="1"/>
  <c r="BD177" i="3"/>
  <c r="BD261" i="3" s="1"/>
  <c r="AR177" i="3"/>
  <c r="AR261" i="3" s="1"/>
  <c r="U177" i="3"/>
  <c r="U261" i="3" s="1"/>
  <c r="AZ177" i="3"/>
  <c r="AZ261" i="3" s="1"/>
  <c r="X177" i="3"/>
  <c r="X261" i="3" s="1"/>
  <c r="BA177" i="3"/>
  <c r="BA261" i="3" s="1"/>
  <c r="BH177" i="3"/>
  <c r="BH261" i="3" s="1"/>
  <c r="AB177" i="3"/>
  <c r="AB261" i="3" s="1"/>
  <c r="V177" i="3"/>
  <c r="V261" i="3" s="1"/>
  <c r="AG177" i="3"/>
  <c r="AG261" i="3" s="1"/>
  <c r="BK177" i="3"/>
  <c r="BK261" i="3" s="1"/>
  <c r="AH177" i="3"/>
  <c r="AH261" i="3" s="1"/>
  <c r="BO177" i="3"/>
  <c r="BO261" i="3" s="1"/>
  <c r="AS177" i="3"/>
  <c r="AS261" i="3" s="1"/>
  <c r="E28" i="53"/>
  <c r="L484" i="3"/>
  <c r="K29" i="51"/>
  <c r="G28" i="51"/>
  <c r="K30" i="51"/>
  <c r="K32" i="51" s="1"/>
  <c r="Z340" i="3" s="1"/>
  <c r="J33" i="51"/>
  <c r="J28" i="51"/>
  <c r="I28" i="51"/>
  <c r="L30" i="51"/>
  <c r="L31" i="51" s="1"/>
  <c r="M33" i="51"/>
  <c r="F28" i="51"/>
  <c r="I30" i="51"/>
  <c r="N9" i="57"/>
  <c r="M2" i="57"/>
  <c r="M20" i="57"/>
  <c r="I33" i="51"/>
  <c r="J29" i="51"/>
  <c r="I29" i="51"/>
  <c r="G29" i="51"/>
  <c r="K33" i="51"/>
  <c r="L33" i="51"/>
  <c r="M31" i="51"/>
  <c r="L463" i="3"/>
  <c r="L380" i="3"/>
  <c r="T458" i="3"/>
  <c r="L490" i="3"/>
  <c r="L468" i="3"/>
  <c r="X79" i="3"/>
  <c r="X44" i="3"/>
  <c r="X80" i="3"/>
  <c r="X50" i="3"/>
  <c r="BC22" i="53"/>
  <c r="BO460" i="3"/>
  <c r="L302" i="3"/>
  <c r="E51" i="53"/>
  <c r="H52" i="53"/>
  <c r="E52" i="53" s="1"/>
  <c r="T304" i="3"/>
  <c r="T382" i="3"/>
  <c r="T338" i="3"/>
  <c r="T417" i="3"/>
  <c r="T416" i="3"/>
  <c r="T337" i="3"/>
  <c r="L22" i="53"/>
  <c r="X460" i="3"/>
  <c r="X458" i="3"/>
  <c r="L483" i="3"/>
  <c r="T112" i="3"/>
  <c r="S121" i="3"/>
  <c r="L387" i="3"/>
  <c r="AZ23" i="53"/>
  <c r="BL465" i="3"/>
  <c r="R465" i="3"/>
  <c r="F23" i="53"/>
  <c r="V129" i="3"/>
  <c r="BD465" i="3"/>
  <c r="AR23" i="53"/>
  <c r="E23" i="53"/>
  <c r="AK465" i="3"/>
  <c r="Y23" i="53"/>
  <c r="AW465" i="3"/>
  <c r="AK23" i="53"/>
  <c r="AF23" i="53"/>
  <c r="AR465" i="3"/>
  <c r="AX23" i="53"/>
  <c r="BJ465" i="3"/>
  <c r="BB23" i="53"/>
  <c r="BN465" i="3"/>
  <c r="AO465" i="3"/>
  <c r="AC23" i="53"/>
  <c r="AC465" i="3"/>
  <c r="Q23" i="53"/>
  <c r="AB23" i="53"/>
  <c r="AN465" i="3"/>
  <c r="T396" i="3"/>
  <c r="T474" i="3" s="1"/>
  <c r="AQ465" i="3"/>
  <c r="AE23" i="53"/>
  <c r="L23" i="53"/>
  <c r="X465" i="3"/>
  <c r="W97" i="3"/>
  <c r="X98" i="3" s="1"/>
  <c r="L309" i="3"/>
  <c r="AN23" i="53"/>
  <c r="AZ465" i="3"/>
  <c r="AG23" i="53"/>
  <c r="AS465" i="3"/>
  <c r="Z23" i="53"/>
  <c r="AL465" i="3"/>
  <c r="R338" i="3"/>
  <c r="BD22" i="53"/>
  <c r="BP460" i="3"/>
  <c r="R22" i="53"/>
  <c r="AD460" i="3"/>
  <c r="L304" i="3"/>
  <c r="R460" i="3"/>
  <c r="F22" i="53"/>
  <c r="G30" i="53"/>
  <c r="S474" i="3"/>
  <c r="BM460" i="3"/>
  <c r="BA22" i="53"/>
  <c r="AD22" i="53"/>
  <c r="AP460" i="3"/>
  <c r="M22" i="53"/>
  <c r="Y460" i="3"/>
  <c r="AL22" i="53"/>
  <c r="AX460" i="3"/>
  <c r="AY22" i="53"/>
  <c r="BK460" i="3"/>
  <c r="U127" i="3"/>
  <c r="U130" i="3" s="1"/>
  <c r="U238" i="3" s="1"/>
  <c r="V86" i="3"/>
  <c r="V85" i="3" s="1"/>
  <c r="L382" i="3"/>
  <c r="AT22" i="53"/>
  <c r="BF460" i="3"/>
  <c r="U460" i="3"/>
  <c r="I22" i="53"/>
  <c r="G22" i="53"/>
  <c r="S460" i="3"/>
  <c r="J22" i="53"/>
  <c r="V460" i="3"/>
  <c r="P22" i="53"/>
  <c r="AB460" i="3"/>
  <c r="T22" i="53"/>
  <c r="AF460" i="3"/>
  <c r="U22" i="53"/>
  <c r="AG460" i="3"/>
  <c r="AJ22" i="53"/>
  <c r="AV460" i="3"/>
  <c r="AV22" i="53"/>
  <c r="BH460" i="3"/>
  <c r="T110" i="3"/>
  <c r="S113" i="3"/>
  <c r="S119" i="3"/>
  <c r="V120" i="3"/>
  <c r="V128" i="3"/>
  <c r="W92" i="3"/>
  <c r="W91" i="3" s="1"/>
  <c r="X99" i="3"/>
  <c r="X93" i="3"/>
  <c r="X100" i="3"/>
  <c r="Y101" i="3" s="1"/>
  <c r="X94" i="3"/>
  <c r="Y95" i="3" s="1"/>
  <c r="X87" i="3"/>
  <c r="X88" i="3"/>
  <c r="Y89" i="3" s="1"/>
  <c r="X354" i="3"/>
  <c r="X433" i="3"/>
  <c r="X445" i="3"/>
  <c r="X441" i="3"/>
  <c r="X362" i="3"/>
  <c r="X366" i="3"/>
  <c r="Y276" i="7"/>
  <c r="Y173" i="7"/>
  <c r="Y184" i="7"/>
  <c r="Y216" i="7"/>
  <c r="Z68" i="7"/>
  <c r="Y143" i="7"/>
  <c r="Y4" i="7"/>
  <c r="Y15" i="3"/>
  <c r="Y195" i="7"/>
  <c r="Y161" i="7"/>
  <c r="Y127" i="7"/>
  <c r="Y67" i="7"/>
  <c r="R315" i="3"/>
  <c r="R393" i="3"/>
  <c r="W511" i="3"/>
  <c r="H30" i="53"/>
  <c r="H27" i="51"/>
  <c r="H31" i="51" s="1"/>
  <c r="F27" i="51"/>
  <c r="E27" i="51"/>
  <c r="E32" i="51" s="1"/>
  <c r="D31" i="51"/>
  <c r="G27" i="51"/>
  <c r="G32" i="51" s="1"/>
  <c r="I27" i="51"/>
  <c r="D32" i="51"/>
  <c r="S340" i="3" s="1"/>
  <c r="L32" i="51"/>
  <c r="AA340" i="3" s="1"/>
  <c r="R174" i="3"/>
  <c r="V174" i="3"/>
  <c r="V258" i="3" s="1"/>
  <c r="V414" i="3" s="1"/>
  <c r="T174" i="3"/>
  <c r="T258" i="3" s="1"/>
  <c r="T414" i="3" s="1"/>
  <c r="U174" i="3"/>
  <c r="U258" i="3" s="1"/>
  <c r="U414" i="3" s="1"/>
  <c r="W174" i="3"/>
  <c r="W258" i="3" s="1"/>
  <c r="W414" i="3" s="1"/>
  <c r="X174" i="3"/>
  <c r="X258" i="3" s="1"/>
  <c r="X414" i="3" s="1"/>
  <c r="S174" i="3"/>
  <c r="S258" i="3" s="1"/>
  <c r="S414" i="3" s="1"/>
  <c r="X173" i="3"/>
  <c r="Y173" i="3"/>
  <c r="R173" i="3"/>
  <c r="R337" i="3" l="1"/>
  <c r="R494" i="3" s="1"/>
  <c r="X375" i="3"/>
  <c r="Y23" i="3"/>
  <c r="S122" i="3"/>
  <c r="S235" i="3" s="1"/>
  <c r="W297" i="3"/>
  <c r="X20" i="3"/>
  <c r="K8" i="53"/>
  <c r="X417" i="3"/>
  <c r="X338" i="3"/>
  <c r="BD417" i="3"/>
  <c r="BD338" i="3"/>
  <c r="S417" i="3"/>
  <c r="S338" i="3"/>
  <c r="S495" i="3" s="1"/>
  <c r="AU417" i="3"/>
  <c r="AU338" i="3"/>
  <c r="AI338" i="3"/>
  <c r="AI417" i="3"/>
  <c r="BG338" i="3"/>
  <c r="BG417" i="3"/>
  <c r="AT338" i="3"/>
  <c r="AT417" i="3"/>
  <c r="Z338" i="3"/>
  <c r="Z417" i="3"/>
  <c r="BM416" i="3"/>
  <c r="BM337" i="3"/>
  <c r="BM494" i="3" s="1"/>
  <c r="BN337" i="3"/>
  <c r="BN416" i="3"/>
  <c r="BD416" i="3"/>
  <c r="BD337" i="3"/>
  <c r="AD337" i="3"/>
  <c r="AD416" i="3"/>
  <c r="BH416" i="3"/>
  <c r="BH337" i="3"/>
  <c r="AW416" i="3"/>
  <c r="AW337" i="3"/>
  <c r="AV337" i="3"/>
  <c r="AV416" i="3"/>
  <c r="AI337" i="3"/>
  <c r="AI416" i="3"/>
  <c r="U416" i="3"/>
  <c r="U337" i="3"/>
  <c r="AY416" i="3"/>
  <c r="AY337" i="3"/>
  <c r="AE337" i="3"/>
  <c r="AE416" i="3"/>
  <c r="W337" i="3"/>
  <c r="W416" i="3"/>
  <c r="L260" i="3"/>
  <c r="L176" i="3"/>
  <c r="AH338" i="3"/>
  <c r="AH417" i="3"/>
  <c r="AB338" i="3"/>
  <c r="AB417" i="3"/>
  <c r="AZ417" i="3"/>
  <c r="AZ338" i="3"/>
  <c r="AF338" i="3"/>
  <c r="AF417" i="3"/>
  <c r="AQ338" i="3"/>
  <c r="AQ417" i="3"/>
  <c r="BM417" i="3"/>
  <c r="BM338" i="3"/>
  <c r="BM495" i="3" s="1"/>
  <c r="BF417" i="3"/>
  <c r="BF338" i="3"/>
  <c r="AV417" i="3"/>
  <c r="AV338" i="3"/>
  <c r="BJ338" i="3"/>
  <c r="BJ417" i="3"/>
  <c r="AJ338" i="3"/>
  <c r="AJ417" i="3"/>
  <c r="BC417" i="3"/>
  <c r="BC338" i="3"/>
  <c r="AY417" i="3"/>
  <c r="AY338" i="3"/>
  <c r="AY495" i="3" s="1"/>
  <c r="AC337" i="3"/>
  <c r="AC416" i="3"/>
  <c r="AQ416" i="3"/>
  <c r="AQ337" i="3"/>
  <c r="AS416" i="3"/>
  <c r="AS337" i="3"/>
  <c r="BO337" i="3"/>
  <c r="BO416" i="3"/>
  <c r="BK337" i="3"/>
  <c r="BK416" i="3"/>
  <c r="AR416" i="3"/>
  <c r="AR337" i="3"/>
  <c r="AR494" i="3" s="1"/>
  <c r="AJ337" i="3"/>
  <c r="AJ416" i="3"/>
  <c r="AB337" i="3"/>
  <c r="AB416" i="3"/>
  <c r="AF337" i="3"/>
  <c r="AF416" i="3"/>
  <c r="AL337" i="3"/>
  <c r="AL416" i="3"/>
  <c r="BC337" i="3"/>
  <c r="BC416" i="3"/>
  <c r="BE416" i="3"/>
  <c r="BE337" i="3"/>
  <c r="BE494" i="3" s="1"/>
  <c r="Z337" i="3"/>
  <c r="Z416" i="3"/>
  <c r="BO338" i="3"/>
  <c r="BO417" i="3"/>
  <c r="V338" i="3"/>
  <c r="V417" i="3"/>
  <c r="BP338" i="3"/>
  <c r="BP417" i="3"/>
  <c r="AK417" i="3"/>
  <c r="AK338" i="3"/>
  <c r="BK338" i="3"/>
  <c r="BK417" i="3"/>
  <c r="BH417" i="3"/>
  <c r="BH338" i="3"/>
  <c r="U338" i="3"/>
  <c r="U417" i="3"/>
  <c r="Y338" i="3"/>
  <c r="Y417" i="3"/>
  <c r="AL338" i="3"/>
  <c r="AL417" i="3"/>
  <c r="AO417" i="3"/>
  <c r="AO338" i="3"/>
  <c r="AX417" i="3"/>
  <c r="AX338" i="3"/>
  <c r="AC338" i="3"/>
  <c r="AC417" i="3"/>
  <c r="AW417" i="3"/>
  <c r="AW338" i="3"/>
  <c r="BB417" i="3"/>
  <c r="BB338" i="3"/>
  <c r="AM338" i="3"/>
  <c r="AM417" i="3"/>
  <c r="AE338" i="3"/>
  <c r="AE417" i="3"/>
  <c r="S416" i="3"/>
  <c r="S337" i="3"/>
  <c r="AN416" i="3"/>
  <c r="AN337" i="3"/>
  <c r="AU416" i="3"/>
  <c r="AU337" i="3"/>
  <c r="AG416" i="3"/>
  <c r="AG337" i="3"/>
  <c r="V337" i="3"/>
  <c r="V416" i="3"/>
  <c r="BJ337" i="3"/>
  <c r="BJ416" i="3"/>
  <c r="BF416" i="3"/>
  <c r="BF337" i="3"/>
  <c r="AK416" i="3"/>
  <c r="AK337" i="3"/>
  <c r="Y416" i="3"/>
  <c r="Y337" i="3"/>
  <c r="AH337" i="3"/>
  <c r="AH416" i="3"/>
  <c r="AA416" i="3"/>
  <c r="AA337" i="3"/>
  <c r="BB416" i="3"/>
  <c r="BB337" i="3"/>
  <c r="AP417" i="3"/>
  <c r="AP338" i="3"/>
  <c r="AP495" i="3" s="1"/>
  <c r="L261" i="3"/>
  <c r="L177" i="3"/>
  <c r="AS417" i="3"/>
  <c r="AS338" i="3"/>
  <c r="AG338" i="3"/>
  <c r="AG417" i="3"/>
  <c r="BA417" i="3"/>
  <c r="BA338" i="3"/>
  <c r="AR338" i="3"/>
  <c r="AR417" i="3"/>
  <c r="BN338" i="3"/>
  <c r="BN417" i="3"/>
  <c r="BI417" i="3"/>
  <c r="BI338" i="3"/>
  <c r="AD338" i="3"/>
  <c r="AD417" i="3"/>
  <c r="AN338" i="3"/>
  <c r="AN417" i="3"/>
  <c r="BL417" i="3"/>
  <c r="BL338" i="3"/>
  <c r="BE338" i="3"/>
  <c r="BE417" i="3"/>
  <c r="W417" i="3"/>
  <c r="W338" i="3"/>
  <c r="W495" i="3" s="1"/>
  <c r="AA338" i="3"/>
  <c r="AA417" i="3"/>
  <c r="BP337" i="3"/>
  <c r="BP416" i="3"/>
  <c r="AO416" i="3"/>
  <c r="AO337" i="3"/>
  <c r="BL337" i="3"/>
  <c r="BL416" i="3"/>
  <c r="AP337" i="3"/>
  <c r="AP416" i="3"/>
  <c r="AZ337" i="3"/>
  <c r="AZ416" i="3"/>
  <c r="AX416" i="3"/>
  <c r="AX337" i="3"/>
  <c r="BI416" i="3"/>
  <c r="BI337" i="3"/>
  <c r="BA416" i="3"/>
  <c r="BA337" i="3"/>
  <c r="BG416" i="3"/>
  <c r="BG337" i="3"/>
  <c r="AT337" i="3"/>
  <c r="AT416" i="3"/>
  <c r="AM416" i="3"/>
  <c r="AM337" i="3"/>
  <c r="AM494" i="3" s="1"/>
  <c r="W129" i="3"/>
  <c r="K31" i="51"/>
  <c r="F32" i="51"/>
  <c r="F31" i="51"/>
  <c r="J32" i="51"/>
  <c r="Y340" i="3" s="1"/>
  <c r="J31" i="51"/>
  <c r="H32" i="51"/>
  <c r="W340" i="3" s="1"/>
  <c r="N20" i="57"/>
  <c r="N2" i="57"/>
  <c r="O9" i="57"/>
  <c r="L465" i="3"/>
  <c r="T494" i="3"/>
  <c r="L458" i="3"/>
  <c r="Y80" i="3"/>
  <c r="Y79" i="3"/>
  <c r="Y44" i="3"/>
  <c r="Y50" i="3"/>
  <c r="Y174" i="3"/>
  <c r="Y258" i="3" s="1"/>
  <c r="Y414" i="3" s="1"/>
  <c r="T495" i="3"/>
  <c r="H22" i="53"/>
  <c r="T460" i="3"/>
  <c r="T121" i="3"/>
  <c r="U112" i="3"/>
  <c r="W173" i="3"/>
  <c r="W257" i="3" s="1"/>
  <c r="S173" i="3"/>
  <c r="S257" i="3" s="1"/>
  <c r="G31" i="51"/>
  <c r="R495" i="3"/>
  <c r="S393" i="3"/>
  <c r="S315" i="3"/>
  <c r="V127" i="3"/>
  <c r="V130" i="3" s="1"/>
  <c r="V238" i="3" s="1"/>
  <c r="W86" i="3"/>
  <c r="W85" i="3" s="1"/>
  <c r="X511" i="3"/>
  <c r="L460" i="3"/>
  <c r="T119" i="3"/>
  <c r="U110" i="3"/>
  <c r="T113" i="3"/>
  <c r="E22" i="53"/>
  <c r="F29" i="53"/>
  <c r="R471" i="3"/>
  <c r="W128" i="3"/>
  <c r="X92" i="3"/>
  <c r="X91" i="3" s="1"/>
  <c r="U396" i="3"/>
  <c r="U318" i="3"/>
  <c r="W111" i="3"/>
  <c r="X97" i="3"/>
  <c r="Z4" i="7"/>
  <c r="Z143" i="7"/>
  <c r="Z127" i="7"/>
  <c r="Z276" i="7"/>
  <c r="Z173" i="7"/>
  <c r="AA68" i="7"/>
  <c r="Z67" i="7"/>
  <c r="Z161" i="7"/>
  <c r="Z15" i="3"/>
  <c r="Z216" i="7"/>
  <c r="Z184" i="7"/>
  <c r="Z195" i="7"/>
  <c r="X519" i="3"/>
  <c r="Y87" i="3"/>
  <c r="Y100" i="3"/>
  <c r="Z101" i="3" s="1"/>
  <c r="Y88" i="3"/>
  <c r="Z89" i="3" s="1"/>
  <c r="Y93" i="3"/>
  <c r="Y94" i="3"/>
  <c r="Z95" i="3" s="1"/>
  <c r="Y99" i="3"/>
  <c r="Y433" i="3"/>
  <c r="Y354" i="3"/>
  <c r="Y441" i="3"/>
  <c r="Y445" i="3"/>
  <c r="Y362" i="3"/>
  <c r="Y366" i="3"/>
  <c r="X523" i="3"/>
  <c r="T340" i="3"/>
  <c r="T173" i="3"/>
  <c r="U340" i="3"/>
  <c r="U173" i="3"/>
  <c r="V340" i="3"/>
  <c r="V173" i="3"/>
  <c r="X257" i="3"/>
  <c r="R258" i="3"/>
  <c r="R257" i="3"/>
  <c r="Y257" i="3"/>
  <c r="I32" i="51"/>
  <c r="X340" i="3" s="1"/>
  <c r="I31" i="51"/>
  <c r="E31" i="51"/>
  <c r="BG494" i="3" l="1"/>
  <c r="BL495" i="3"/>
  <c r="BA495" i="3"/>
  <c r="AA494" i="3"/>
  <c r="BH494" i="3"/>
  <c r="BA494" i="3"/>
  <c r="AO494" i="3"/>
  <c r="AG494" i="3"/>
  <c r="BB495" i="3"/>
  <c r="AS494" i="3"/>
  <c r="AZ495" i="3"/>
  <c r="AY494" i="3"/>
  <c r="BI494" i="3"/>
  <c r="AS495" i="3"/>
  <c r="AQ494" i="3"/>
  <c r="AV495" i="3"/>
  <c r="BD494" i="3"/>
  <c r="AX494" i="3"/>
  <c r="BI495" i="3"/>
  <c r="AK494" i="3"/>
  <c r="AN494" i="3"/>
  <c r="BH495" i="3"/>
  <c r="BF495" i="3"/>
  <c r="AU495" i="3"/>
  <c r="X495" i="3"/>
  <c r="U494" i="3"/>
  <c r="Y494" i="3"/>
  <c r="BB494" i="3"/>
  <c r="AO495" i="3"/>
  <c r="AK495" i="3"/>
  <c r="BC495" i="3"/>
  <c r="AW494" i="3"/>
  <c r="BD495" i="3"/>
  <c r="Y375" i="3"/>
  <c r="Z23" i="3"/>
  <c r="X297" i="3"/>
  <c r="Y20" i="3"/>
  <c r="L8" i="53"/>
  <c r="L416" i="3"/>
  <c r="L417" i="3"/>
  <c r="V494" i="3"/>
  <c r="AM495" i="3"/>
  <c r="AL495" i="3"/>
  <c r="U495" i="3"/>
  <c r="BK495" i="3"/>
  <c r="BP495" i="3"/>
  <c r="BO495" i="3"/>
  <c r="AF495" i="3"/>
  <c r="AT494" i="3"/>
  <c r="AP494" i="3"/>
  <c r="AA495" i="3"/>
  <c r="BE495" i="3"/>
  <c r="AN495" i="3"/>
  <c r="AR495" i="3"/>
  <c r="AG495" i="3"/>
  <c r="AH494" i="3"/>
  <c r="BJ494" i="3"/>
  <c r="AE495" i="3"/>
  <c r="AC495" i="3"/>
  <c r="Y495" i="3"/>
  <c r="V495" i="3"/>
  <c r="Z494" i="3"/>
  <c r="BC494" i="3"/>
  <c r="AF494" i="3"/>
  <c r="AJ494" i="3"/>
  <c r="BK494" i="3"/>
  <c r="AC494" i="3"/>
  <c r="BJ495" i="3"/>
  <c r="AQ495" i="3"/>
  <c r="AH495" i="3"/>
  <c r="W494" i="3"/>
  <c r="AI494" i="3"/>
  <c r="AD494" i="3"/>
  <c r="BN494" i="3"/>
  <c r="Z495" i="3"/>
  <c r="BG495" i="3"/>
  <c r="BF494" i="3"/>
  <c r="AU494" i="3"/>
  <c r="S494" i="3"/>
  <c r="AW495" i="3"/>
  <c r="AX495" i="3"/>
  <c r="L337" i="3"/>
  <c r="L338" i="3"/>
  <c r="AZ494" i="3"/>
  <c r="BL494" i="3"/>
  <c r="BP494" i="3"/>
  <c r="AD495" i="3"/>
  <c r="BN495" i="3"/>
  <c r="AL494" i="3"/>
  <c r="AB494" i="3"/>
  <c r="BO494" i="3"/>
  <c r="AJ495" i="3"/>
  <c r="AB495" i="3"/>
  <c r="AE494" i="3"/>
  <c r="AV494" i="3"/>
  <c r="AT495" i="3"/>
  <c r="AI495" i="3"/>
  <c r="P9" i="57"/>
  <c r="O20" i="57"/>
  <c r="O2" i="57"/>
  <c r="T122" i="3"/>
  <c r="T235" i="3" s="1"/>
  <c r="T315" i="3" s="1"/>
  <c r="Z44" i="3"/>
  <c r="Z50" i="3"/>
  <c r="Z79" i="3"/>
  <c r="Z80" i="3"/>
  <c r="Y523" i="3"/>
  <c r="U121" i="3"/>
  <c r="V112" i="3"/>
  <c r="C38" i="51"/>
  <c r="C39" i="51" s="1"/>
  <c r="U119" i="3"/>
  <c r="U122" i="3" s="1"/>
  <c r="U235" i="3" s="1"/>
  <c r="V110" i="3"/>
  <c r="U113" i="3"/>
  <c r="W127" i="3"/>
  <c r="W130" i="3" s="1"/>
  <c r="W238" i="3" s="1"/>
  <c r="W396" i="3" s="1"/>
  <c r="X86" i="3"/>
  <c r="X85" i="3" s="1"/>
  <c r="Y519" i="3"/>
  <c r="S471" i="3"/>
  <c r="G29" i="53"/>
  <c r="AA216" i="7"/>
  <c r="AA4" i="7"/>
  <c r="AA143" i="7"/>
  <c r="AA161" i="7"/>
  <c r="AA184" i="7"/>
  <c r="AA173" i="7"/>
  <c r="AA127" i="7"/>
  <c r="AA276" i="7"/>
  <c r="AA15" i="3"/>
  <c r="AA67" i="7"/>
  <c r="AA195" i="7"/>
  <c r="AB68" i="7"/>
  <c r="X128" i="3"/>
  <c r="Y92" i="3"/>
  <c r="Y91" i="3" s="1"/>
  <c r="Z88" i="3"/>
  <c r="AA89" i="3" s="1"/>
  <c r="Z87" i="3"/>
  <c r="Z93" i="3"/>
  <c r="Z99" i="3"/>
  <c r="Z100" i="3"/>
  <c r="AA101" i="3" s="1"/>
  <c r="Z94" i="3"/>
  <c r="AA95" i="3" s="1"/>
  <c r="Z433" i="3"/>
  <c r="Z354" i="3"/>
  <c r="Z362" i="3"/>
  <c r="Z366" i="3"/>
  <c r="Z445" i="3"/>
  <c r="Z441" i="3"/>
  <c r="Z174" i="3"/>
  <c r="Z173" i="3"/>
  <c r="X129" i="3"/>
  <c r="Y98" i="3"/>
  <c r="Y97" i="3" s="1"/>
  <c r="W120" i="3"/>
  <c r="X111" i="3"/>
  <c r="V318" i="3"/>
  <c r="V396" i="3"/>
  <c r="Y511" i="3"/>
  <c r="I30" i="53"/>
  <c r="U474" i="3"/>
  <c r="R335" i="3"/>
  <c r="X335" i="3"/>
  <c r="U257" i="3"/>
  <c r="W335" i="3"/>
  <c r="S335" i="3"/>
  <c r="R414" i="3"/>
  <c r="Y335" i="3"/>
  <c r="V257" i="3"/>
  <c r="T257" i="3"/>
  <c r="L495" i="3" l="1"/>
  <c r="L494" i="3"/>
  <c r="Z375" i="3"/>
  <c r="AA23" i="3"/>
  <c r="T393" i="3"/>
  <c r="Y297" i="3"/>
  <c r="Z20" i="3"/>
  <c r="M8" i="53"/>
  <c r="W318" i="3"/>
  <c r="W474" i="3" s="1"/>
  <c r="P20" i="57"/>
  <c r="P2" i="57"/>
  <c r="Q9" i="57"/>
  <c r="AA44" i="3"/>
  <c r="AA79" i="3"/>
  <c r="AA50" i="3"/>
  <c r="AA80" i="3"/>
  <c r="V121" i="3"/>
  <c r="W112" i="3"/>
  <c r="Y86" i="3"/>
  <c r="Y85" i="3" s="1"/>
  <c r="Y127" i="3" s="1"/>
  <c r="X127" i="3"/>
  <c r="X130" i="3" s="1"/>
  <c r="X238" i="3" s="1"/>
  <c r="X318" i="3" s="1"/>
  <c r="V119" i="3"/>
  <c r="V113" i="3"/>
  <c r="W110" i="3"/>
  <c r="U393" i="3"/>
  <c r="U315" i="3"/>
  <c r="Z258" i="3"/>
  <c r="Z511" i="3"/>
  <c r="V474" i="3"/>
  <c r="J30" i="53"/>
  <c r="E30" i="53" s="1"/>
  <c r="Y129" i="3"/>
  <c r="Z98" i="3"/>
  <c r="Z97" i="3" s="1"/>
  <c r="AA94" i="3"/>
  <c r="AB95" i="3" s="1"/>
  <c r="AA99" i="3"/>
  <c r="AA88" i="3"/>
  <c r="AB89" i="3" s="1"/>
  <c r="AA100" i="3"/>
  <c r="AB101" i="3" s="1"/>
  <c r="AA87" i="3"/>
  <c r="AA93" i="3"/>
  <c r="AA433" i="3"/>
  <c r="AA354" i="3"/>
  <c r="AA441" i="3"/>
  <c r="AA445" i="3"/>
  <c r="AA362" i="3"/>
  <c r="AA366" i="3"/>
  <c r="AA173" i="3"/>
  <c r="AA174" i="3"/>
  <c r="AA258" i="3" s="1"/>
  <c r="AA414" i="3" s="1"/>
  <c r="Z92" i="3"/>
  <c r="Z91" i="3" s="1"/>
  <c r="Y128" i="3"/>
  <c r="Y111" i="3"/>
  <c r="X120" i="3"/>
  <c r="Z523" i="3"/>
  <c r="AB161" i="7"/>
  <c r="AB184" i="7"/>
  <c r="AB67" i="7"/>
  <c r="AB173" i="7"/>
  <c r="AB276" i="7"/>
  <c r="AB127" i="7"/>
  <c r="AB4" i="7"/>
  <c r="AB15" i="3"/>
  <c r="AB216" i="7"/>
  <c r="AC68" i="7"/>
  <c r="AB143" i="7"/>
  <c r="AB195" i="7"/>
  <c r="H29" i="53"/>
  <c r="T471" i="3"/>
  <c r="Z257" i="3"/>
  <c r="Z335" i="3" s="1"/>
  <c r="Z519" i="3"/>
  <c r="T335" i="3"/>
  <c r="Y492" i="3"/>
  <c r="W492" i="3"/>
  <c r="U335" i="3"/>
  <c r="V335" i="3"/>
  <c r="S492" i="3"/>
  <c r="X492" i="3"/>
  <c r="R492" i="3"/>
  <c r="K30" i="53" l="1"/>
  <c r="V122" i="3"/>
  <c r="V235" i="3" s="1"/>
  <c r="V393" i="3" s="1"/>
  <c r="AA375" i="3"/>
  <c r="AB23" i="3"/>
  <c r="Z297" i="3"/>
  <c r="AA20" i="3"/>
  <c r="N8" i="53"/>
  <c r="AA519" i="3"/>
  <c r="R9" i="57"/>
  <c r="Q2" i="57"/>
  <c r="Q20" i="57"/>
  <c r="AB79" i="3"/>
  <c r="L79" i="3" s="1"/>
  <c r="AB44" i="3"/>
  <c r="L44" i="3" s="1"/>
  <c r="AB80" i="3"/>
  <c r="L80" i="3" s="1"/>
  <c r="AB50" i="3"/>
  <c r="L50" i="3" s="1"/>
  <c r="AB178" i="3" s="1"/>
  <c r="AB262" i="3" s="1"/>
  <c r="Z86" i="3"/>
  <c r="Z85" i="3" s="1"/>
  <c r="AA86" i="3" s="1"/>
  <c r="AA85" i="3" s="1"/>
  <c r="X396" i="3"/>
  <c r="X474" i="3" s="1"/>
  <c r="W121" i="3"/>
  <c r="X112" i="3"/>
  <c r="W119" i="3"/>
  <c r="W113" i="3"/>
  <c r="X110" i="3"/>
  <c r="I29" i="53"/>
  <c r="U471" i="3"/>
  <c r="AC195" i="7"/>
  <c r="AC173" i="7"/>
  <c r="AC127" i="7"/>
  <c r="AC216" i="7"/>
  <c r="AC184" i="7"/>
  <c r="AC4" i="7"/>
  <c r="AC143" i="7"/>
  <c r="AC67" i="7"/>
  <c r="AD68" i="7"/>
  <c r="AC276" i="7"/>
  <c r="AC15" i="3"/>
  <c r="AC161" i="7"/>
  <c r="AA523" i="3"/>
  <c r="AA98" i="3"/>
  <c r="AA97" i="3" s="1"/>
  <c r="Z129" i="3"/>
  <c r="Z111" i="3"/>
  <c r="Y120" i="3"/>
  <c r="AA92" i="3"/>
  <c r="AA91" i="3" s="1"/>
  <c r="Z128" i="3"/>
  <c r="AA511" i="3"/>
  <c r="Z414" i="3"/>
  <c r="AB100" i="3"/>
  <c r="AC101" i="3" s="1"/>
  <c r="AB94" i="3"/>
  <c r="AC95" i="3" s="1"/>
  <c r="AB88" i="3"/>
  <c r="AC89" i="3" s="1"/>
  <c r="AB87" i="3"/>
  <c r="AB93" i="3"/>
  <c r="AB99" i="3"/>
  <c r="AB433" i="3"/>
  <c r="AB354" i="3"/>
  <c r="AB445" i="3"/>
  <c r="AB441" i="3"/>
  <c r="AB366" i="3"/>
  <c r="AB362" i="3"/>
  <c r="AB173" i="3"/>
  <c r="AB174" i="3"/>
  <c r="AB258" i="3" s="1"/>
  <c r="AB414" i="3" s="1"/>
  <c r="AA257" i="3"/>
  <c r="Y130" i="3"/>
  <c r="Y238" i="3" s="1"/>
  <c r="L30" i="53"/>
  <c r="V492" i="3"/>
  <c r="T492" i="3"/>
  <c r="U492" i="3"/>
  <c r="V315" i="3" l="1"/>
  <c r="V471" i="3" s="1"/>
  <c r="AB375" i="3"/>
  <c r="AC23" i="3"/>
  <c r="AA297" i="3"/>
  <c r="AB20" i="3"/>
  <c r="O8" i="53"/>
  <c r="R20" i="57"/>
  <c r="R2" i="57"/>
  <c r="S9" i="57"/>
  <c r="V178" i="3"/>
  <c r="U178" i="3"/>
  <c r="S178" i="3"/>
  <c r="R178" i="3"/>
  <c r="T178" i="3"/>
  <c r="W178" i="3"/>
  <c r="X178" i="3"/>
  <c r="Y178" i="3"/>
  <c r="Z178" i="3"/>
  <c r="AA178" i="3"/>
  <c r="Z127" i="3"/>
  <c r="Z130" i="3" s="1"/>
  <c r="Z238" i="3" s="1"/>
  <c r="Z318" i="3" s="1"/>
  <c r="X121" i="3"/>
  <c r="Y112" i="3"/>
  <c r="W122" i="3"/>
  <c r="W235" i="3" s="1"/>
  <c r="AB511" i="3"/>
  <c r="X119" i="3"/>
  <c r="Y110" i="3"/>
  <c r="X113" i="3"/>
  <c r="Y318" i="3"/>
  <c r="Y396" i="3"/>
  <c r="AB179" i="3"/>
  <c r="AB257" i="3"/>
  <c r="AB335" i="3" s="1"/>
  <c r="AB92" i="3"/>
  <c r="AB91" i="3" s="1"/>
  <c r="AA128" i="3"/>
  <c r="AB98" i="3"/>
  <c r="AB97" i="3" s="1"/>
  <c r="AA129" i="3"/>
  <c r="AD195" i="7"/>
  <c r="AD67" i="7"/>
  <c r="AD161" i="7"/>
  <c r="AD143" i="7"/>
  <c r="AE68" i="7"/>
  <c r="AD4" i="7"/>
  <c r="AD173" i="7"/>
  <c r="AD15" i="3"/>
  <c r="AD184" i="7"/>
  <c r="AD276" i="7"/>
  <c r="AD216" i="7"/>
  <c r="AD127" i="7"/>
  <c r="AA335" i="3"/>
  <c r="AA127" i="3"/>
  <c r="AB86" i="3"/>
  <c r="AB85" i="3" s="1"/>
  <c r="AB523" i="3"/>
  <c r="AB519" i="3"/>
  <c r="AB339" i="3"/>
  <c r="AB418" i="3"/>
  <c r="Z492" i="3"/>
  <c r="AA111" i="3"/>
  <c r="Z120" i="3"/>
  <c r="AC93" i="3"/>
  <c r="AC94" i="3"/>
  <c r="AD95" i="3" s="1"/>
  <c r="AC99" i="3"/>
  <c r="AC100" i="3"/>
  <c r="AD101" i="3" s="1"/>
  <c r="AC178" i="3"/>
  <c r="AC88" i="3"/>
  <c r="AD89" i="3" s="1"/>
  <c r="AC87" i="3"/>
  <c r="AC433" i="3"/>
  <c r="AC354" i="3"/>
  <c r="AC366" i="3"/>
  <c r="AC441" i="3"/>
  <c r="AC445" i="3"/>
  <c r="AC362" i="3"/>
  <c r="AC174" i="3"/>
  <c r="AC258" i="3" s="1"/>
  <c r="AC414" i="3" s="1"/>
  <c r="AC173" i="3"/>
  <c r="J29" i="53" l="1"/>
  <c r="E29" i="53" s="1"/>
  <c r="AC375" i="3"/>
  <c r="AD23" i="3"/>
  <c r="AC20" i="3"/>
  <c r="AB297" i="3"/>
  <c r="P8" i="53"/>
  <c r="Z396" i="3"/>
  <c r="Z474" i="3" s="1"/>
  <c r="AC511" i="3"/>
  <c r="T9" i="57"/>
  <c r="S20" i="57"/>
  <c r="S2" i="57"/>
  <c r="X122" i="3"/>
  <c r="X235" i="3" s="1"/>
  <c r="X393" i="3" s="1"/>
  <c r="Y262" i="3"/>
  <c r="Y179" i="3"/>
  <c r="R262" i="3"/>
  <c r="R179" i="3"/>
  <c r="X179" i="3"/>
  <c r="X262" i="3"/>
  <c r="S262" i="3"/>
  <c r="S179" i="3"/>
  <c r="AA179" i="3"/>
  <c r="AA262" i="3"/>
  <c r="W262" i="3"/>
  <c r="W292" i="3" s="1"/>
  <c r="W179" i="3"/>
  <c r="U262" i="3"/>
  <c r="U179" i="3"/>
  <c r="Z262" i="3"/>
  <c r="Z179" i="3"/>
  <c r="T262" i="3"/>
  <c r="T179" i="3"/>
  <c r="V262" i="3"/>
  <c r="V179" i="3"/>
  <c r="W315" i="3"/>
  <c r="W393" i="3"/>
  <c r="AA130" i="3"/>
  <c r="AA238" i="3" s="1"/>
  <c r="AA396" i="3" s="1"/>
  <c r="Y121" i="3"/>
  <c r="Z112" i="3"/>
  <c r="Y113" i="3"/>
  <c r="Z110" i="3"/>
  <c r="Y119" i="3"/>
  <c r="AC262" i="3"/>
  <c r="AC86" i="3"/>
  <c r="AC85" i="3" s="1"/>
  <c r="AB127" i="3"/>
  <c r="AC98" i="3"/>
  <c r="AC97" i="3" s="1"/>
  <c r="AB129" i="3"/>
  <c r="AB492" i="3"/>
  <c r="P66" i="53"/>
  <c r="P67" i="53" s="1"/>
  <c r="P27" i="53"/>
  <c r="AC179" i="3"/>
  <c r="AC257" i="3"/>
  <c r="AC335" i="3" s="1"/>
  <c r="AC519" i="3"/>
  <c r="AB111" i="3"/>
  <c r="AA120" i="3"/>
  <c r="AE184" i="7"/>
  <c r="AE4" i="7"/>
  <c r="AE15" i="3"/>
  <c r="AE276" i="7"/>
  <c r="AE161" i="7"/>
  <c r="AE173" i="7"/>
  <c r="AE216" i="7"/>
  <c r="AE195" i="7"/>
  <c r="AE67" i="7"/>
  <c r="AE127" i="7"/>
  <c r="AF68" i="7"/>
  <c r="AE143" i="7"/>
  <c r="AC523" i="3"/>
  <c r="AB496" i="3"/>
  <c r="AA492" i="3"/>
  <c r="AD87" i="3"/>
  <c r="AD88" i="3"/>
  <c r="AE89" i="3" s="1"/>
  <c r="AD93" i="3"/>
  <c r="AD99" i="3"/>
  <c r="AD100" i="3"/>
  <c r="AE101" i="3" s="1"/>
  <c r="AD94" i="3"/>
  <c r="AE95" i="3" s="1"/>
  <c r="AD178" i="3"/>
  <c r="AD262" i="3" s="1"/>
  <c r="AD433" i="3"/>
  <c r="AD354" i="3"/>
  <c r="AD445" i="3"/>
  <c r="AD366" i="3"/>
  <c r="AD362" i="3"/>
  <c r="AD441" i="3"/>
  <c r="AD173" i="3"/>
  <c r="AD174" i="3"/>
  <c r="AD258" i="3" s="1"/>
  <c r="AD414" i="3" s="1"/>
  <c r="N30" i="53"/>
  <c r="AC92" i="3"/>
  <c r="AC91" i="3" s="1"/>
  <c r="AB128" i="3"/>
  <c r="M30" i="53"/>
  <c r="Y474" i="3"/>
  <c r="Y122" i="3" l="1"/>
  <c r="Y235" i="3" s="1"/>
  <c r="Y315" i="3" s="1"/>
  <c r="M29" i="53" s="1"/>
  <c r="AD375" i="3"/>
  <c r="AE23" i="3"/>
  <c r="AC297" i="3"/>
  <c r="AD20" i="3"/>
  <c r="Q8" i="53"/>
  <c r="X315" i="3"/>
  <c r="X471" i="3" s="1"/>
  <c r="X292" i="3"/>
  <c r="T20" i="57"/>
  <c r="T2" i="57"/>
  <c r="U9" i="57"/>
  <c r="AD511" i="3"/>
  <c r="V418" i="3"/>
  <c r="V448" i="3" s="1"/>
  <c r="V339" i="3"/>
  <c r="V292" i="3"/>
  <c r="Z339" i="3"/>
  <c r="Z418" i="3"/>
  <c r="W339" i="3"/>
  <c r="W369" i="3" s="1"/>
  <c r="W418" i="3"/>
  <c r="W448" i="3" s="1"/>
  <c r="S339" i="3"/>
  <c r="S418" i="3"/>
  <c r="S448" i="3" s="1"/>
  <c r="S292" i="3"/>
  <c r="R339" i="3"/>
  <c r="R418" i="3"/>
  <c r="R448" i="3" s="1"/>
  <c r="R292" i="3"/>
  <c r="AA418" i="3"/>
  <c r="AA339" i="3"/>
  <c r="X339" i="3"/>
  <c r="X418" i="3"/>
  <c r="X448" i="3" s="1"/>
  <c r="T339" i="3"/>
  <c r="T418" i="3"/>
  <c r="T448" i="3" s="1"/>
  <c r="T292" i="3"/>
  <c r="U418" i="3"/>
  <c r="U448" i="3" s="1"/>
  <c r="U339" i="3"/>
  <c r="U292" i="3"/>
  <c r="Y418" i="3"/>
  <c r="Y339" i="3"/>
  <c r="AA318" i="3"/>
  <c r="AA474" i="3" s="1"/>
  <c r="Z121" i="3"/>
  <c r="AA112" i="3"/>
  <c r="K29" i="53"/>
  <c r="W471" i="3"/>
  <c r="AA110" i="3"/>
  <c r="Z119" i="3"/>
  <c r="Z113" i="3"/>
  <c r="AD519" i="3"/>
  <c r="AB130" i="3"/>
  <c r="AB238" i="3" s="1"/>
  <c r="AD523" i="3"/>
  <c r="AD418" i="3"/>
  <c r="AD339" i="3"/>
  <c r="AC111" i="3"/>
  <c r="AB120" i="3"/>
  <c r="AC127" i="3"/>
  <c r="AD86" i="3"/>
  <c r="AD85" i="3" s="1"/>
  <c r="AD257" i="3"/>
  <c r="AD335" i="3" s="1"/>
  <c r="AD179" i="3"/>
  <c r="AF161" i="7"/>
  <c r="AF127" i="7"/>
  <c r="AF67" i="7"/>
  <c r="AF184" i="7"/>
  <c r="AF216" i="7"/>
  <c r="AF173" i="7"/>
  <c r="AF143" i="7"/>
  <c r="AF15" i="3"/>
  <c r="AF276" i="7"/>
  <c r="AG68" i="7"/>
  <c r="AF195" i="7"/>
  <c r="AF4" i="7"/>
  <c r="AE94" i="3"/>
  <c r="AF95" i="3" s="1"/>
  <c r="AE100" i="3"/>
  <c r="AF101" i="3" s="1"/>
  <c r="AE87" i="3"/>
  <c r="AE88" i="3"/>
  <c r="AF89" i="3" s="1"/>
  <c r="AE93" i="3"/>
  <c r="AE99" i="3"/>
  <c r="AE178" i="3"/>
  <c r="AE262" i="3" s="1"/>
  <c r="AE433" i="3"/>
  <c r="AE354" i="3"/>
  <c r="AE366" i="3"/>
  <c r="AE445" i="3"/>
  <c r="AE441" i="3"/>
  <c r="AE362" i="3"/>
  <c r="AE173" i="3"/>
  <c r="AE174" i="3"/>
  <c r="AE258" i="3" s="1"/>
  <c r="AE414" i="3" s="1"/>
  <c r="AC339" i="3"/>
  <c r="Q27" i="53" s="1"/>
  <c r="AC418" i="3"/>
  <c r="AC128" i="3"/>
  <c r="AD92" i="3"/>
  <c r="AD91" i="3" s="1"/>
  <c r="AC492" i="3"/>
  <c r="AC129" i="3"/>
  <c r="AD98" i="3"/>
  <c r="AD97" i="3" s="1"/>
  <c r="L29" i="53" l="1"/>
  <c r="Y369" i="3"/>
  <c r="Y292" i="3"/>
  <c r="Y393" i="3"/>
  <c r="Y448" i="3" s="1"/>
  <c r="X369" i="3"/>
  <c r="X526" i="3" s="1"/>
  <c r="AE375" i="3"/>
  <c r="AF23" i="3"/>
  <c r="AD297" i="3"/>
  <c r="AE20" i="3"/>
  <c r="O30" i="53"/>
  <c r="V9" i="57"/>
  <c r="U2" i="57"/>
  <c r="U20" i="57"/>
  <c r="W526" i="3"/>
  <c r="O27" i="53"/>
  <c r="AA496" i="3"/>
  <c r="O66" i="53"/>
  <c r="O67" i="53" s="1"/>
  <c r="S496" i="3"/>
  <c r="S369" i="3"/>
  <c r="S526" i="3" s="1"/>
  <c r="G66" i="53"/>
  <c r="G67" i="53" s="1"/>
  <c r="G27" i="53"/>
  <c r="G32" i="53" s="1"/>
  <c r="N66" i="53"/>
  <c r="N67" i="53" s="1"/>
  <c r="N27" i="53"/>
  <c r="Z496" i="3"/>
  <c r="U496" i="3"/>
  <c r="I27" i="53"/>
  <c r="I32" i="53" s="1"/>
  <c r="I66" i="53"/>
  <c r="I67" i="53" s="1"/>
  <c r="U369" i="3"/>
  <c r="U526" i="3" s="1"/>
  <c r="T496" i="3"/>
  <c r="H27" i="53"/>
  <c r="H32" i="53" s="1"/>
  <c r="T369" i="3"/>
  <c r="T526" i="3" s="1"/>
  <c r="H66" i="53"/>
  <c r="H67" i="53" s="1"/>
  <c r="R496" i="3"/>
  <c r="R369" i="3"/>
  <c r="R526" i="3" s="1"/>
  <c r="F66" i="53"/>
  <c r="F27" i="53"/>
  <c r="Z122" i="3"/>
  <c r="Z235" i="3" s="1"/>
  <c r="Z315" i="3" s="1"/>
  <c r="Z369" i="3" s="1"/>
  <c r="M27" i="53"/>
  <c r="M32" i="53" s="1"/>
  <c r="Y496" i="3"/>
  <c r="M66" i="53"/>
  <c r="M67" i="53" s="1"/>
  <c r="W496" i="3"/>
  <c r="K66" i="53"/>
  <c r="K67" i="53" s="1"/>
  <c r="K27" i="53"/>
  <c r="K32" i="53" s="1"/>
  <c r="V496" i="3"/>
  <c r="J66" i="53"/>
  <c r="J67" i="53" s="1"/>
  <c r="J27" i="53"/>
  <c r="J32" i="53" s="1"/>
  <c r="V369" i="3"/>
  <c r="V526" i="3" s="1"/>
  <c r="X496" i="3"/>
  <c r="L66" i="53"/>
  <c r="L67" i="53" s="1"/>
  <c r="L27" i="53"/>
  <c r="Q66" i="53"/>
  <c r="Q67" i="53" s="1"/>
  <c r="AB112" i="3"/>
  <c r="AA121" i="3"/>
  <c r="AB110" i="3"/>
  <c r="AA119" i="3"/>
  <c r="AA113" i="3"/>
  <c r="AE523" i="3"/>
  <c r="AE519" i="3"/>
  <c r="AE511" i="3"/>
  <c r="AF88" i="3"/>
  <c r="AG89" i="3" s="1"/>
  <c r="AF87" i="3"/>
  <c r="AF99" i="3"/>
  <c r="AF93" i="3"/>
  <c r="AF100" i="3"/>
  <c r="AG101" i="3" s="1"/>
  <c r="AF94" i="3"/>
  <c r="AG95" i="3" s="1"/>
  <c r="AF178" i="3"/>
  <c r="AF262" i="3" s="1"/>
  <c r="AF433" i="3"/>
  <c r="AF354" i="3"/>
  <c r="AF366" i="3"/>
  <c r="AF441" i="3"/>
  <c r="AF445" i="3"/>
  <c r="AF362" i="3"/>
  <c r="AF174" i="3"/>
  <c r="AF258" i="3" s="1"/>
  <c r="AF173" i="3"/>
  <c r="AC130" i="3"/>
  <c r="AC238" i="3" s="1"/>
  <c r="AC120" i="3"/>
  <c r="AD111" i="3"/>
  <c r="AD128" i="3"/>
  <c r="AE92" i="3"/>
  <c r="AE91" i="3" s="1"/>
  <c r="AC496" i="3"/>
  <c r="AE418" i="3"/>
  <c r="AE339" i="3"/>
  <c r="R66" i="53"/>
  <c r="R67" i="53" s="1"/>
  <c r="AD492" i="3"/>
  <c r="R27" i="53"/>
  <c r="AB396" i="3"/>
  <c r="AB318" i="3"/>
  <c r="AE257" i="3"/>
  <c r="AE335" i="3" s="1"/>
  <c r="AE179" i="3"/>
  <c r="AG173" i="7"/>
  <c r="AG184" i="7"/>
  <c r="AG15" i="3"/>
  <c r="AG195" i="7"/>
  <c r="AG67" i="7"/>
  <c r="AG161" i="7"/>
  <c r="AH68" i="7"/>
  <c r="AG127" i="7"/>
  <c r="AG143" i="7"/>
  <c r="AG4" i="7"/>
  <c r="AG276" i="7"/>
  <c r="AG216" i="7"/>
  <c r="AD496" i="3"/>
  <c r="AD129" i="3"/>
  <c r="AE98" i="3"/>
  <c r="AE97" i="3" s="1"/>
  <c r="AD127" i="3"/>
  <c r="AE86" i="3"/>
  <c r="AE85" i="3" s="1"/>
  <c r="L32" i="53" l="1"/>
  <c r="Y526" i="3"/>
  <c r="Y471" i="3"/>
  <c r="N29" i="53"/>
  <c r="N32" i="53" s="1"/>
  <c r="AG23" i="3"/>
  <c r="AF375" i="3"/>
  <c r="AE297" i="3"/>
  <c r="AF20" i="3"/>
  <c r="V20" i="57"/>
  <c r="V2" i="57"/>
  <c r="W9" i="57"/>
  <c r="AA122" i="3"/>
  <c r="AA235" i="3" s="1"/>
  <c r="AA292" i="3" s="1"/>
  <c r="Z393" i="3"/>
  <c r="Z448" i="3" s="1"/>
  <c r="Z526" i="3" s="1"/>
  <c r="F67" i="53"/>
  <c r="E67" i="53" s="1"/>
  <c r="E66" i="53"/>
  <c r="Z292" i="3"/>
  <c r="F32" i="53"/>
  <c r="E32" i="53" s="1"/>
  <c r="E27" i="53"/>
  <c r="AE496" i="3"/>
  <c r="AB121" i="3"/>
  <c r="AC112" i="3"/>
  <c r="AF511" i="3"/>
  <c r="AF523" i="3"/>
  <c r="AB113" i="3"/>
  <c r="AC110" i="3"/>
  <c r="AB119" i="3"/>
  <c r="AD130" i="3"/>
  <c r="AD238" i="3" s="1"/>
  <c r="AE111" i="3"/>
  <c r="AD120" i="3"/>
  <c r="AF414" i="3"/>
  <c r="AH216" i="7"/>
  <c r="AH161" i="7"/>
  <c r="AI68" i="7"/>
  <c r="AH173" i="7"/>
  <c r="AH276" i="7"/>
  <c r="AH4" i="7"/>
  <c r="AH127" i="7"/>
  <c r="AH143" i="7"/>
  <c r="AH184" i="7"/>
  <c r="AH67" i="7"/>
  <c r="AH15" i="3"/>
  <c r="AH195" i="7"/>
  <c r="AG88" i="3"/>
  <c r="AH89" i="3" s="1"/>
  <c r="AG100" i="3"/>
  <c r="AH101" i="3" s="1"/>
  <c r="AG93" i="3"/>
  <c r="AG99" i="3"/>
  <c r="AG87" i="3"/>
  <c r="AG94" i="3"/>
  <c r="AH95" i="3" s="1"/>
  <c r="AG178" i="3"/>
  <c r="AG262" i="3" s="1"/>
  <c r="AG354" i="3"/>
  <c r="AG433" i="3"/>
  <c r="AG362" i="3"/>
  <c r="AG366" i="3"/>
  <c r="AG445" i="3"/>
  <c r="AG441" i="3"/>
  <c r="AG174" i="3"/>
  <c r="AG258" i="3" s="1"/>
  <c r="AG414" i="3" s="1"/>
  <c r="AG173" i="3"/>
  <c r="S27" i="53"/>
  <c r="AE492" i="3"/>
  <c r="S66" i="53"/>
  <c r="S67" i="53" s="1"/>
  <c r="AC318" i="3"/>
  <c r="AC396" i="3"/>
  <c r="AE127" i="3"/>
  <c r="AF86" i="3"/>
  <c r="AF85" i="3" s="1"/>
  <c r="AE129" i="3"/>
  <c r="AF98" i="3"/>
  <c r="AF97" i="3" s="1"/>
  <c r="P30" i="53"/>
  <c r="AB474" i="3"/>
  <c r="AF92" i="3"/>
  <c r="AF91" i="3" s="1"/>
  <c r="AE128" i="3"/>
  <c r="AF179" i="3"/>
  <c r="AF257" i="3"/>
  <c r="AF335" i="3" s="1"/>
  <c r="AF519" i="3"/>
  <c r="AF418" i="3"/>
  <c r="AF339" i="3"/>
  <c r="AA315" i="3" l="1"/>
  <c r="O29" i="53" s="1"/>
  <c r="O32" i="53" s="1"/>
  <c r="AA393" i="3"/>
  <c r="AA448" i="3" s="1"/>
  <c r="AG375" i="3"/>
  <c r="AH23" i="3"/>
  <c r="AF297" i="3"/>
  <c r="AG20" i="3"/>
  <c r="X9" i="57"/>
  <c r="W20" i="57"/>
  <c r="W2" i="57"/>
  <c r="Z471" i="3"/>
  <c r="AB122" i="3"/>
  <c r="AB235" i="3" s="1"/>
  <c r="AB292" i="3" s="1"/>
  <c r="AD112" i="3"/>
  <c r="AC121" i="3"/>
  <c r="AC119" i="3"/>
  <c r="AC122" i="3" s="1"/>
  <c r="AC235" i="3" s="1"/>
  <c r="AD110" i="3"/>
  <c r="AC113" i="3"/>
  <c r="AF127" i="3"/>
  <c r="AG86" i="3"/>
  <c r="AG85" i="3" s="1"/>
  <c r="AG511" i="3"/>
  <c r="AD318" i="3"/>
  <c r="AD396" i="3"/>
  <c r="AE130" i="3"/>
  <c r="AE238" i="3" s="1"/>
  <c r="AG257" i="3"/>
  <c r="AG335" i="3" s="1"/>
  <c r="AG179" i="3"/>
  <c r="AG523" i="3"/>
  <c r="AG339" i="3"/>
  <c r="AG418" i="3"/>
  <c r="AH94" i="3"/>
  <c r="AI95" i="3" s="1"/>
  <c r="AH88" i="3"/>
  <c r="AI89" i="3" s="1"/>
  <c r="AH99" i="3"/>
  <c r="AH100" i="3"/>
  <c r="AI101" i="3" s="1"/>
  <c r="AH93" i="3"/>
  <c r="AH87" i="3"/>
  <c r="AH178" i="3"/>
  <c r="AH262" i="3" s="1"/>
  <c r="AH354" i="3"/>
  <c r="AH433" i="3"/>
  <c r="AH445" i="3"/>
  <c r="AH366" i="3"/>
  <c r="AH362" i="3"/>
  <c r="AH441" i="3"/>
  <c r="AH173" i="3"/>
  <c r="AH174" i="3"/>
  <c r="AH258" i="3" s="1"/>
  <c r="AH414" i="3" s="1"/>
  <c r="AI276" i="7"/>
  <c r="AI127" i="7"/>
  <c r="AI216" i="7"/>
  <c r="AI173" i="7"/>
  <c r="AI4" i="7"/>
  <c r="AI143" i="7"/>
  <c r="AI161" i="7"/>
  <c r="AI15" i="3"/>
  <c r="AI184" i="7"/>
  <c r="AI195" i="7"/>
  <c r="AJ68" i="7"/>
  <c r="AI67" i="7"/>
  <c r="AF496" i="3"/>
  <c r="AF129" i="3"/>
  <c r="AG98" i="3"/>
  <c r="AG97" i="3" s="1"/>
  <c r="Q30" i="53"/>
  <c r="AC474" i="3"/>
  <c r="AG519" i="3"/>
  <c r="T27" i="53"/>
  <c r="AF492" i="3"/>
  <c r="T66" i="53"/>
  <c r="T67" i="53" s="1"/>
  <c r="AG92" i="3"/>
  <c r="AG91" i="3" s="1"/>
  <c r="AF128" i="3"/>
  <c r="AF111" i="3"/>
  <c r="AE120" i="3"/>
  <c r="AA369" i="3" l="1"/>
  <c r="AA526" i="3" s="1"/>
  <c r="AA471" i="3"/>
  <c r="AI23" i="3"/>
  <c r="AH375" i="3"/>
  <c r="AG297" i="3"/>
  <c r="AH20" i="3"/>
  <c r="X20" i="57"/>
  <c r="X2" i="57"/>
  <c r="Y9" i="57"/>
  <c r="AB315" i="3"/>
  <c r="P29" i="53" s="1"/>
  <c r="P32" i="53" s="1"/>
  <c r="AB393" i="3"/>
  <c r="AB448" i="3" s="1"/>
  <c r="AE112" i="3"/>
  <c r="AD121" i="3"/>
  <c r="AC292" i="3"/>
  <c r="AC315" i="3"/>
  <c r="AC393" i="3"/>
  <c r="AC448" i="3" s="1"/>
  <c r="AE110" i="3"/>
  <c r="AD119" i="3"/>
  <c r="AD113" i="3"/>
  <c r="AH523" i="3"/>
  <c r="AI94" i="3"/>
  <c r="AJ95" i="3" s="1"/>
  <c r="AI99" i="3"/>
  <c r="AI88" i="3"/>
  <c r="AJ89" i="3" s="1"/>
  <c r="AI87" i="3"/>
  <c r="AI100" i="3"/>
  <c r="AJ101" i="3" s="1"/>
  <c r="AI93" i="3"/>
  <c r="AI178" i="3"/>
  <c r="AI262" i="3" s="1"/>
  <c r="AI354" i="3"/>
  <c r="AI433" i="3"/>
  <c r="AI362" i="3"/>
  <c r="AI445" i="3"/>
  <c r="AI366" i="3"/>
  <c r="AI441" i="3"/>
  <c r="AI173" i="3"/>
  <c r="AI174" i="3"/>
  <c r="AI258" i="3" s="1"/>
  <c r="AI414" i="3" s="1"/>
  <c r="AH339" i="3"/>
  <c r="AH418" i="3"/>
  <c r="AG496" i="3"/>
  <c r="AD474" i="3"/>
  <c r="R30" i="53"/>
  <c r="AF130" i="3"/>
  <c r="AF238" i="3" s="1"/>
  <c r="AG128" i="3"/>
  <c r="AH92" i="3"/>
  <c r="AH91" i="3" s="1"/>
  <c r="AJ216" i="7"/>
  <c r="AJ195" i="7"/>
  <c r="AJ4" i="7"/>
  <c r="AK68" i="7"/>
  <c r="AJ161" i="7"/>
  <c r="AJ127" i="7"/>
  <c r="AJ67" i="7"/>
  <c r="AJ15" i="3"/>
  <c r="AJ173" i="7"/>
  <c r="AJ143" i="7"/>
  <c r="AJ184" i="7"/>
  <c r="AJ276" i="7"/>
  <c r="AH257" i="3"/>
  <c r="AH335" i="3" s="1"/>
  <c r="AH179" i="3"/>
  <c r="AE396" i="3"/>
  <c r="AE318" i="3"/>
  <c r="AH98" i="3"/>
  <c r="AH97" i="3" s="1"/>
  <c r="AG129" i="3"/>
  <c r="AG111" i="3"/>
  <c r="AF120" i="3"/>
  <c r="AH519" i="3"/>
  <c r="AH511" i="3"/>
  <c r="AG492" i="3"/>
  <c r="U66" i="53"/>
  <c r="U67" i="53" s="1"/>
  <c r="U27" i="53"/>
  <c r="AG127" i="3"/>
  <c r="AH86" i="3"/>
  <c r="AH85" i="3" s="1"/>
  <c r="AI375" i="3" l="1"/>
  <c r="AJ23" i="3"/>
  <c r="AI20" i="3"/>
  <c r="AH297" i="3"/>
  <c r="AB369" i="3"/>
  <c r="AB526" i="3" s="1"/>
  <c r="AB471" i="3"/>
  <c r="Z9" i="57"/>
  <c r="Y2" i="57"/>
  <c r="Y20" i="57"/>
  <c r="AD122" i="3"/>
  <c r="AD235" i="3" s="1"/>
  <c r="AD292" i="3" s="1"/>
  <c r="AI523" i="3"/>
  <c r="AF112" i="3"/>
  <c r="AE121" i="3"/>
  <c r="AE113" i="3"/>
  <c r="AE119" i="3"/>
  <c r="AF110" i="3"/>
  <c r="Q29" i="53"/>
  <c r="Q32" i="53" s="1"/>
  <c r="AC369" i="3"/>
  <c r="AC526" i="3" s="1"/>
  <c r="AC471" i="3"/>
  <c r="AG130" i="3"/>
  <c r="AG238" i="3" s="1"/>
  <c r="AG318" i="3" s="1"/>
  <c r="AH129" i="3"/>
  <c r="AI98" i="3"/>
  <c r="AI97" i="3" s="1"/>
  <c r="AE474" i="3"/>
  <c r="S30" i="53"/>
  <c r="AF396" i="3"/>
  <c r="AF318" i="3"/>
  <c r="AI418" i="3"/>
  <c r="AI339" i="3"/>
  <c r="AH127" i="3"/>
  <c r="AI86" i="3"/>
  <c r="AI85" i="3" s="1"/>
  <c r="AI257" i="3"/>
  <c r="AI335" i="3" s="1"/>
  <c r="AI179" i="3"/>
  <c r="AI519" i="3"/>
  <c r="AG120" i="3"/>
  <c r="AH111" i="3"/>
  <c r="V66" i="53"/>
  <c r="V67" i="53" s="1"/>
  <c r="V27" i="53"/>
  <c r="AH492" i="3"/>
  <c r="AI92" i="3"/>
  <c r="AI91" i="3" s="1"/>
  <c r="AH128" i="3"/>
  <c r="AH496" i="3"/>
  <c r="AJ93" i="3"/>
  <c r="AJ94" i="3"/>
  <c r="AK95" i="3" s="1"/>
  <c r="AJ88" i="3"/>
  <c r="AK89" i="3" s="1"/>
  <c r="AJ100" i="3"/>
  <c r="AK101" i="3" s="1"/>
  <c r="AJ99" i="3"/>
  <c r="AJ87" i="3"/>
  <c r="AJ178" i="3"/>
  <c r="AJ262" i="3" s="1"/>
  <c r="AJ433" i="3"/>
  <c r="AJ354" i="3"/>
  <c r="AJ445" i="3"/>
  <c r="AJ441" i="3"/>
  <c r="AJ366" i="3"/>
  <c r="AJ362" i="3"/>
  <c r="AJ174" i="3"/>
  <c r="AJ258" i="3" s="1"/>
  <c r="AJ414" i="3" s="1"/>
  <c r="AJ173" i="3"/>
  <c r="AK276" i="7"/>
  <c r="AK127" i="7"/>
  <c r="AK15" i="3"/>
  <c r="AK195" i="7"/>
  <c r="AK184" i="7"/>
  <c r="AK173" i="7"/>
  <c r="AK161" i="7"/>
  <c r="AL68" i="7"/>
  <c r="AK4" i="7"/>
  <c r="AK67" i="7"/>
  <c r="AK143" i="7"/>
  <c r="AK216" i="7"/>
  <c r="AI511" i="3"/>
  <c r="AJ375" i="3" l="1"/>
  <c r="AK23" i="3"/>
  <c r="AI297" i="3"/>
  <c r="AJ20" i="3"/>
  <c r="Z20" i="57"/>
  <c r="Z2" i="57"/>
  <c r="AA9" i="57"/>
  <c r="AE122" i="3"/>
  <c r="AE235" i="3" s="1"/>
  <c r="AE393" i="3" s="1"/>
  <c r="AE448" i="3" s="1"/>
  <c r="AG396" i="3"/>
  <c r="AG474" i="3" s="1"/>
  <c r="AD315" i="3"/>
  <c r="AD393" i="3"/>
  <c r="AD448" i="3" s="1"/>
  <c r="AJ523" i="3"/>
  <c r="AI496" i="3"/>
  <c r="AF121" i="3"/>
  <c r="AG112" i="3"/>
  <c r="AJ511" i="3"/>
  <c r="AF119" i="3"/>
  <c r="AG110" i="3"/>
  <c r="AF113" i="3"/>
  <c r="AJ519" i="3"/>
  <c r="AI128" i="3"/>
  <c r="AJ92" i="3"/>
  <c r="AJ91" i="3" s="1"/>
  <c r="AL143" i="7"/>
  <c r="AL195" i="7"/>
  <c r="AM68" i="7"/>
  <c r="AL184" i="7"/>
  <c r="AL4" i="7"/>
  <c r="AL276" i="7"/>
  <c r="AL173" i="7"/>
  <c r="AL161" i="7"/>
  <c r="AL15" i="3"/>
  <c r="AL216" i="7"/>
  <c r="AL67" i="7"/>
  <c r="AL127" i="7"/>
  <c r="AJ257" i="3"/>
  <c r="AJ335" i="3" s="1"/>
  <c r="AJ179" i="3"/>
  <c r="AJ339" i="3"/>
  <c r="AJ418" i="3"/>
  <c r="W27" i="53"/>
  <c r="AI492" i="3"/>
  <c r="W66" i="53"/>
  <c r="W67" i="53" s="1"/>
  <c r="AI127" i="3"/>
  <c r="AJ86" i="3"/>
  <c r="AJ85" i="3" s="1"/>
  <c r="AH120" i="3"/>
  <c r="AI111" i="3"/>
  <c r="AK94" i="3"/>
  <c r="AL95" i="3" s="1"/>
  <c r="AK88" i="3"/>
  <c r="AL89" i="3" s="1"/>
  <c r="AK87" i="3"/>
  <c r="AK99" i="3"/>
  <c r="AK100" i="3"/>
  <c r="AL101" i="3" s="1"/>
  <c r="AK93" i="3"/>
  <c r="AK178" i="3"/>
  <c r="AK262" i="3" s="1"/>
  <c r="AK354" i="3"/>
  <c r="AK433" i="3"/>
  <c r="AK445" i="3"/>
  <c r="AK441" i="3"/>
  <c r="AK362" i="3"/>
  <c r="AK366" i="3"/>
  <c r="AK174" i="3"/>
  <c r="AK258" i="3" s="1"/>
  <c r="AK414" i="3" s="1"/>
  <c r="AK173" i="3"/>
  <c r="U30" i="53"/>
  <c r="AH130" i="3"/>
  <c r="AH238" i="3" s="1"/>
  <c r="T30" i="53"/>
  <c r="AF474" i="3"/>
  <c r="AI129" i="3"/>
  <c r="AJ98" i="3"/>
  <c r="AJ97" i="3" s="1"/>
  <c r="AL23" i="3" l="1"/>
  <c r="AK375" i="3"/>
  <c r="AJ297" i="3"/>
  <c r="AK20" i="3"/>
  <c r="AF122" i="3"/>
  <c r="AF235" i="3" s="1"/>
  <c r="AF315" i="3" s="1"/>
  <c r="AF369" i="3" s="1"/>
  <c r="AE315" i="3"/>
  <c r="AE369" i="3" s="1"/>
  <c r="AE526" i="3" s="1"/>
  <c r="AE292" i="3"/>
  <c r="AB9" i="57"/>
  <c r="AA20" i="57"/>
  <c r="AA2" i="57"/>
  <c r="AD471" i="3"/>
  <c r="R29" i="53"/>
  <c r="R32" i="53" s="1"/>
  <c r="AD369" i="3"/>
  <c r="AD526" i="3" s="1"/>
  <c r="AH112" i="3"/>
  <c r="AG121" i="3"/>
  <c r="AK511" i="3"/>
  <c r="AH110" i="3"/>
  <c r="AG113" i="3"/>
  <c r="AG119" i="3"/>
  <c r="AK519" i="3"/>
  <c r="AJ496" i="3"/>
  <c r="AK98" i="3"/>
  <c r="AK97" i="3" s="1"/>
  <c r="AJ129" i="3"/>
  <c r="AH396" i="3"/>
  <c r="AH318" i="3"/>
  <c r="AK523" i="3"/>
  <c r="AJ492" i="3"/>
  <c r="X27" i="53"/>
  <c r="X66" i="53"/>
  <c r="X67" i="53" s="1"/>
  <c r="AL87" i="3"/>
  <c r="AL93" i="3"/>
  <c r="AL88" i="3"/>
  <c r="AM89" i="3" s="1"/>
  <c r="AL99" i="3"/>
  <c r="AL100" i="3"/>
  <c r="AM101" i="3" s="1"/>
  <c r="AL94" i="3"/>
  <c r="AM95" i="3" s="1"/>
  <c r="AL178" i="3"/>
  <c r="AL262" i="3" s="1"/>
  <c r="AL354" i="3"/>
  <c r="AL433" i="3"/>
  <c r="AL441" i="3"/>
  <c r="AL445" i="3"/>
  <c r="AL362" i="3"/>
  <c r="AL366" i="3"/>
  <c r="AL173" i="3"/>
  <c r="AL174" i="3"/>
  <c r="AL258" i="3" s="1"/>
  <c r="AL414" i="3" s="1"/>
  <c r="AJ111" i="3"/>
  <c r="AI120" i="3"/>
  <c r="AK257" i="3"/>
  <c r="AK335" i="3" s="1"/>
  <c r="AK179" i="3"/>
  <c r="AK339" i="3"/>
  <c r="AK418" i="3"/>
  <c r="AJ127" i="3"/>
  <c r="AK86" i="3"/>
  <c r="AK85" i="3" s="1"/>
  <c r="AM216" i="7"/>
  <c r="AM161" i="7"/>
  <c r="AM276" i="7"/>
  <c r="AM143" i="7"/>
  <c r="AM67" i="7"/>
  <c r="AM15" i="3"/>
  <c r="AM127" i="7"/>
  <c r="AM4" i="7"/>
  <c r="AM173" i="7"/>
  <c r="AM195" i="7"/>
  <c r="AM184" i="7"/>
  <c r="AN68" i="7"/>
  <c r="AI130" i="3"/>
  <c r="AI238" i="3" s="1"/>
  <c r="AJ128" i="3"/>
  <c r="AK92" i="3"/>
  <c r="AK91" i="3" s="1"/>
  <c r="AF292" i="3" l="1"/>
  <c r="AE471" i="3"/>
  <c r="T29" i="53"/>
  <c r="T32" i="53" s="1"/>
  <c r="S29" i="53"/>
  <c r="S32" i="53" s="1"/>
  <c r="AM23" i="3"/>
  <c r="AL375" i="3"/>
  <c r="AK297" i="3"/>
  <c r="AL20" i="3"/>
  <c r="AF393" i="3"/>
  <c r="AF448" i="3" s="1"/>
  <c r="AF526" i="3" s="1"/>
  <c r="AB20" i="57"/>
  <c r="AB2" i="57"/>
  <c r="AC9" i="57"/>
  <c r="AG122" i="3"/>
  <c r="AG235" i="3" s="1"/>
  <c r="AG393" i="3" s="1"/>
  <c r="AG448" i="3" s="1"/>
  <c r="AH121" i="3"/>
  <c r="AI112" i="3"/>
  <c r="AI110" i="3"/>
  <c r="AH113" i="3"/>
  <c r="AH119" i="3"/>
  <c r="AK127" i="3"/>
  <c r="AL86" i="3"/>
  <c r="AL85" i="3" s="1"/>
  <c r="AL339" i="3"/>
  <c r="AL418" i="3"/>
  <c r="AM94" i="3"/>
  <c r="AN95" i="3" s="1"/>
  <c r="AM99" i="3"/>
  <c r="AM87" i="3"/>
  <c r="AM93" i="3"/>
  <c r="AM100" i="3"/>
  <c r="AN101" i="3" s="1"/>
  <c r="AM88" i="3"/>
  <c r="AN89" i="3" s="1"/>
  <c r="AM178" i="3"/>
  <c r="AM262" i="3" s="1"/>
  <c r="AM433" i="3"/>
  <c r="AM354" i="3"/>
  <c r="AM445" i="3"/>
  <c r="AM441" i="3"/>
  <c r="AM366" i="3"/>
  <c r="AM362" i="3"/>
  <c r="AM173" i="3"/>
  <c r="AM174" i="3"/>
  <c r="AM258" i="3" s="1"/>
  <c r="AM414" i="3" s="1"/>
  <c r="AJ130" i="3"/>
  <c r="AJ238" i="3" s="1"/>
  <c r="Y66" i="53"/>
  <c r="Y67" i="53" s="1"/>
  <c r="AK492" i="3"/>
  <c r="Y27" i="53"/>
  <c r="AL257" i="3"/>
  <c r="AL335" i="3" s="1"/>
  <c r="AL179" i="3"/>
  <c r="AK128" i="3"/>
  <c r="AL92" i="3"/>
  <c r="AL91" i="3" s="1"/>
  <c r="AL523" i="3"/>
  <c r="AK129" i="3"/>
  <c r="AL98" i="3"/>
  <c r="AL97" i="3" s="1"/>
  <c r="AI396" i="3"/>
  <c r="AI318" i="3"/>
  <c r="AN216" i="7"/>
  <c r="AN127" i="7"/>
  <c r="AN4" i="7"/>
  <c r="AN15" i="3"/>
  <c r="AN161" i="7"/>
  <c r="AN67" i="7"/>
  <c r="AN184" i="7"/>
  <c r="AO68" i="7"/>
  <c r="AN276" i="7"/>
  <c r="AN143" i="7"/>
  <c r="AN173" i="7"/>
  <c r="AN195" i="7"/>
  <c r="AK496" i="3"/>
  <c r="AK111" i="3"/>
  <c r="AJ120" i="3"/>
  <c r="AL519" i="3"/>
  <c r="AL511" i="3"/>
  <c r="V30" i="53"/>
  <c r="AH474" i="3"/>
  <c r="AH122" i="3" l="1"/>
  <c r="AH235" i="3" s="1"/>
  <c r="AH315" i="3" s="1"/>
  <c r="AH369" i="3" s="1"/>
  <c r="AM375" i="3"/>
  <c r="AN23" i="3"/>
  <c r="AM20" i="3"/>
  <c r="AL297" i="3"/>
  <c r="AF471" i="3"/>
  <c r="AG315" i="3"/>
  <c r="U29" i="53" s="1"/>
  <c r="U32" i="53" s="1"/>
  <c r="AG292" i="3"/>
  <c r="AD9" i="57"/>
  <c r="AC2" i="57"/>
  <c r="AC20" i="57"/>
  <c r="AL496" i="3"/>
  <c r="AI121" i="3"/>
  <c r="AJ112" i="3"/>
  <c r="AI113" i="3"/>
  <c r="AJ110" i="3"/>
  <c r="AI119" i="3"/>
  <c r="AK120" i="3"/>
  <c r="AL111" i="3"/>
  <c r="AJ318" i="3"/>
  <c r="AJ396" i="3"/>
  <c r="AM523" i="3"/>
  <c r="AL129" i="3"/>
  <c r="AM98" i="3"/>
  <c r="AM97" i="3" s="1"/>
  <c r="AL492" i="3"/>
  <c r="Z27" i="53"/>
  <c r="Z66" i="53"/>
  <c r="Z67" i="53" s="1"/>
  <c r="AM519" i="3"/>
  <c r="AM339" i="3"/>
  <c r="AM418" i="3"/>
  <c r="AM92" i="3"/>
  <c r="AM91" i="3" s="1"/>
  <c r="AL128" i="3"/>
  <c r="AM179" i="3"/>
  <c r="AM257" i="3"/>
  <c r="AM335" i="3" s="1"/>
  <c r="AL127" i="3"/>
  <c r="AM86" i="3"/>
  <c r="AM85" i="3" s="1"/>
  <c r="AO195" i="7"/>
  <c r="AO161" i="7"/>
  <c r="AO173" i="7"/>
  <c r="AO143" i="7"/>
  <c r="AO67" i="7"/>
  <c r="AO4" i="7"/>
  <c r="AO15" i="3"/>
  <c r="AO276" i="7"/>
  <c r="AO184" i="7"/>
  <c r="AO216" i="7"/>
  <c r="AO127" i="7"/>
  <c r="AP68" i="7"/>
  <c r="AN99" i="3"/>
  <c r="AN94" i="3"/>
  <c r="AO95" i="3" s="1"/>
  <c r="AN93" i="3"/>
  <c r="AN87" i="3"/>
  <c r="AN88" i="3"/>
  <c r="AO89" i="3" s="1"/>
  <c r="AN100" i="3"/>
  <c r="AO101" i="3" s="1"/>
  <c r="AN178" i="3"/>
  <c r="AN262" i="3" s="1"/>
  <c r="AN354" i="3"/>
  <c r="AN433" i="3"/>
  <c r="AN445" i="3"/>
  <c r="AN362" i="3"/>
  <c r="AN441" i="3"/>
  <c r="AN366" i="3"/>
  <c r="AN174" i="3"/>
  <c r="AN258" i="3" s="1"/>
  <c r="AN414" i="3" s="1"/>
  <c r="AN173" i="3"/>
  <c r="W30" i="53"/>
  <c r="AI474" i="3"/>
  <c r="AM511" i="3"/>
  <c r="AK130" i="3"/>
  <c r="AK238" i="3" s="1"/>
  <c r="V29" i="53" l="1"/>
  <c r="V32" i="53" s="1"/>
  <c r="AH292" i="3"/>
  <c r="AH393" i="3"/>
  <c r="AH448" i="3" s="1"/>
  <c r="AH526" i="3" s="1"/>
  <c r="AN375" i="3"/>
  <c r="AO23" i="3"/>
  <c r="AN20" i="3"/>
  <c r="AM297" i="3"/>
  <c r="AG369" i="3"/>
  <c r="AG526" i="3" s="1"/>
  <c r="AG471" i="3"/>
  <c r="AD20" i="57"/>
  <c r="AD2" i="57"/>
  <c r="AE9" i="57"/>
  <c r="AI122" i="3"/>
  <c r="AI235" i="3" s="1"/>
  <c r="AI393" i="3" s="1"/>
  <c r="AI448" i="3" s="1"/>
  <c r="AK112" i="3"/>
  <c r="AJ121" i="3"/>
  <c r="AN519" i="3"/>
  <c r="AJ119" i="3"/>
  <c r="AK110" i="3"/>
  <c r="AJ113" i="3"/>
  <c r="AL130" i="3"/>
  <c r="AL238" i="3" s="1"/>
  <c r="AL318" i="3" s="1"/>
  <c r="AN339" i="3"/>
  <c r="AN418" i="3"/>
  <c r="AM492" i="3"/>
  <c r="AA66" i="53"/>
  <c r="AA67" i="53" s="1"/>
  <c r="AA27" i="53"/>
  <c r="AJ474" i="3"/>
  <c r="X30" i="53"/>
  <c r="AN257" i="3"/>
  <c r="AN335" i="3" s="1"/>
  <c r="AN179" i="3"/>
  <c r="AO93" i="3"/>
  <c r="AO100" i="3"/>
  <c r="AP101" i="3" s="1"/>
  <c r="AO87" i="3"/>
  <c r="AO99" i="3"/>
  <c r="AO94" i="3"/>
  <c r="AP95" i="3" s="1"/>
  <c r="AO88" i="3"/>
  <c r="AP89" i="3" s="1"/>
  <c r="AO178" i="3"/>
  <c r="AO262" i="3" s="1"/>
  <c r="AO433" i="3"/>
  <c r="AO354" i="3"/>
  <c r="AO366" i="3"/>
  <c r="AO441" i="3"/>
  <c r="AO445" i="3"/>
  <c r="AO362" i="3"/>
  <c r="AO173" i="3"/>
  <c r="AO174" i="3"/>
  <c r="AO258" i="3" s="1"/>
  <c r="AO414" i="3" s="1"/>
  <c r="AN92" i="3"/>
  <c r="AN91" i="3" s="1"/>
  <c r="AM128" i="3"/>
  <c r="AN523" i="3"/>
  <c r="AM496" i="3"/>
  <c r="AM111" i="3"/>
  <c r="AL120" i="3"/>
  <c r="AK318" i="3"/>
  <c r="AK396" i="3"/>
  <c r="AN511" i="3"/>
  <c r="AP276" i="7"/>
  <c r="AP67" i="7"/>
  <c r="AQ68" i="7"/>
  <c r="AP195" i="7"/>
  <c r="AP173" i="7"/>
  <c r="AP216" i="7"/>
  <c r="AP15" i="3"/>
  <c r="AP184" i="7"/>
  <c r="AP143" i="7"/>
  <c r="AP161" i="7"/>
  <c r="AP4" i="7"/>
  <c r="AP127" i="7"/>
  <c r="AM127" i="3"/>
  <c r="AN86" i="3"/>
  <c r="AN85" i="3" s="1"/>
  <c r="AM129" i="3"/>
  <c r="AN98" i="3"/>
  <c r="AN97" i="3" s="1"/>
  <c r="AH471" i="3" l="1"/>
  <c r="AJ122" i="3"/>
  <c r="AJ235" i="3" s="1"/>
  <c r="AJ315" i="3" s="1"/>
  <c r="X29" i="53" s="1"/>
  <c r="X32" i="53" s="1"/>
  <c r="AP23" i="3"/>
  <c r="AO375" i="3"/>
  <c r="AO20" i="3"/>
  <c r="AN297" i="3"/>
  <c r="AI292" i="3"/>
  <c r="AF9" i="57"/>
  <c r="AE20" i="57"/>
  <c r="AE2" i="57"/>
  <c r="AI315" i="3"/>
  <c r="AL396" i="3"/>
  <c r="AL474" i="3" s="1"/>
  <c r="AM130" i="3"/>
  <c r="AM238" i="3" s="1"/>
  <c r="AM318" i="3" s="1"/>
  <c r="AK121" i="3"/>
  <c r="AL112" i="3"/>
  <c r="AO523" i="3"/>
  <c r="AO511" i="3"/>
  <c r="AL110" i="3"/>
  <c r="AK113" i="3"/>
  <c r="AK119" i="3"/>
  <c r="AO98" i="3"/>
  <c r="AO97" i="3" s="1"/>
  <c r="AN129" i="3"/>
  <c r="Y30" i="53"/>
  <c r="AK474" i="3"/>
  <c r="AO519" i="3"/>
  <c r="AN127" i="3"/>
  <c r="AO86" i="3"/>
  <c r="AO85" i="3" s="1"/>
  <c r="Z30" i="53"/>
  <c r="AN111" i="3"/>
  <c r="AM120" i="3"/>
  <c r="AO418" i="3"/>
  <c r="AO339" i="3"/>
  <c r="AO179" i="3"/>
  <c r="AO257" i="3"/>
  <c r="AO335" i="3" s="1"/>
  <c r="AP87" i="3"/>
  <c r="AP93" i="3"/>
  <c r="AP94" i="3"/>
  <c r="AQ95" i="3" s="1"/>
  <c r="AP88" i="3"/>
  <c r="AQ89" i="3" s="1"/>
  <c r="AP100" i="3"/>
  <c r="AQ101" i="3" s="1"/>
  <c r="AP99" i="3"/>
  <c r="AP178" i="3"/>
  <c r="AP262" i="3" s="1"/>
  <c r="AP354" i="3"/>
  <c r="AP433" i="3"/>
  <c r="AP366" i="3"/>
  <c r="AP441" i="3"/>
  <c r="AP445" i="3"/>
  <c r="AP362" i="3"/>
  <c r="AP173" i="3"/>
  <c r="AP174" i="3"/>
  <c r="AP258" i="3" s="1"/>
  <c r="AP414" i="3" s="1"/>
  <c r="AQ143" i="7"/>
  <c r="AQ161" i="7"/>
  <c r="AQ276" i="7"/>
  <c r="AQ127" i="7"/>
  <c r="AQ67" i="7"/>
  <c r="AQ184" i="7"/>
  <c r="AQ4" i="7"/>
  <c r="AQ15" i="3"/>
  <c r="AQ216" i="7"/>
  <c r="AQ173" i="7"/>
  <c r="AR68" i="7"/>
  <c r="AQ195" i="7"/>
  <c r="AO92" i="3"/>
  <c r="AO91" i="3" s="1"/>
  <c r="AN128" i="3"/>
  <c r="AN492" i="3"/>
  <c r="AB27" i="53"/>
  <c r="AB66" i="53"/>
  <c r="AB67" i="53" s="1"/>
  <c r="AN496" i="3"/>
  <c r="AK122" i="3" l="1"/>
  <c r="AK235" i="3" s="1"/>
  <c r="AK393" i="3" s="1"/>
  <c r="AK448" i="3" s="1"/>
  <c r="AP375" i="3"/>
  <c r="AQ23" i="3"/>
  <c r="AJ369" i="3"/>
  <c r="AJ393" i="3"/>
  <c r="AJ448" i="3" s="1"/>
  <c r="AJ292" i="3"/>
  <c r="AP20" i="3"/>
  <c r="AO297" i="3"/>
  <c r="AF20" i="57"/>
  <c r="AF2" i="57"/>
  <c r="AG9" i="57"/>
  <c r="AI369" i="3"/>
  <c r="AI526" i="3" s="1"/>
  <c r="W29" i="53"/>
  <c r="W32" i="53" s="1"/>
  <c r="AI471" i="3"/>
  <c r="AM396" i="3"/>
  <c r="AM474" i="3" s="1"/>
  <c r="AM112" i="3"/>
  <c r="AL121" i="3"/>
  <c r="AP523" i="3"/>
  <c r="AL119" i="3"/>
  <c r="AL122" i="3" s="1"/>
  <c r="AL235" i="3" s="1"/>
  <c r="AM110" i="3"/>
  <c r="AL113" i="3"/>
  <c r="AP92" i="3"/>
  <c r="AP91" i="3" s="1"/>
  <c r="AO128" i="3"/>
  <c r="AQ88" i="3"/>
  <c r="AR89" i="3" s="1"/>
  <c r="AQ99" i="3"/>
  <c r="AQ94" i="3"/>
  <c r="AR95" i="3" s="1"/>
  <c r="AQ93" i="3"/>
  <c r="AQ87" i="3"/>
  <c r="AQ100" i="3"/>
  <c r="AR101" i="3" s="1"/>
  <c r="AQ178" i="3"/>
  <c r="AQ262" i="3" s="1"/>
  <c r="AQ354" i="3"/>
  <c r="AQ433" i="3"/>
  <c r="AQ362" i="3"/>
  <c r="AQ445" i="3"/>
  <c r="AQ366" i="3"/>
  <c r="AQ523" i="3" s="1"/>
  <c r="AQ441" i="3"/>
  <c r="AQ174" i="3"/>
  <c r="AQ258" i="3" s="1"/>
  <c r="AQ414" i="3" s="1"/>
  <c r="AQ173" i="3"/>
  <c r="AP418" i="3"/>
  <c r="AP339" i="3"/>
  <c r="AO127" i="3"/>
  <c r="AP86" i="3"/>
  <c r="AP85" i="3" s="1"/>
  <c r="AR143" i="7"/>
  <c r="AR4" i="7"/>
  <c r="AS68" i="7"/>
  <c r="AR216" i="7"/>
  <c r="AR127" i="7"/>
  <c r="AR184" i="7"/>
  <c r="AR15" i="3"/>
  <c r="AR173" i="7"/>
  <c r="AR195" i="7"/>
  <c r="AR161" i="7"/>
  <c r="AR276" i="7"/>
  <c r="AR67" i="7"/>
  <c r="AP257" i="3"/>
  <c r="AP335" i="3" s="1"/>
  <c r="AP179" i="3"/>
  <c r="AN120" i="3"/>
  <c r="AO111" i="3"/>
  <c r="AN130" i="3"/>
  <c r="AN238" i="3" s="1"/>
  <c r="AP519" i="3"/>
  <c r="AA30" i="53"/>
  <c r="AP98" i="3"/>
  <c r="AP97" i="3" s="1"/>
  <c r="AO129" i="3"/>
  <c r="AP511" i="3"/>
  <c r="AO492" i="3"/>
  <c r="AC66" i="53"/>
  <c r="AC67" i="53" s="1"/>
  <c r="AC27" i="53"/>
  <c r="AO496" i="3"/>
  <c r="AJ526" i="3" l="1"/>
  <c r="AJ471" i="3"/>
  <c r="AK292" i="3"/>
  <c r="AK315" i="3"/>
  <c r="AK369" i="3" s="1"/>
  <c r="AK526" i="3" s="1"/>
  <c r="AR23" i="3"/>
  <c r="AQ375" i="3"/>
  <c r="AP297" i="3"/>
  <c r="AQ20" i="3"/>
  <c r="AH9" i="57"/>
  <c r="AG2" i="57"/>
  <c r="AG20" i="57"/>
  <c r="AM121" i="3"/>
  <c r="AN112" i="3"/>
  <c r="AP496" i="3"/>
  <c r="AN110" i="3"/>
  <c r="AM119" i="3"/>
  <c r="AM122" i="3" s="1"/>
  <c r="AM235" i="3" s="1"/>
  <c r="AM292" i="3" s="1"/>
  <c r="AM113" i="3"/>
  <c r="AL393" i="3"/>
  <c r="AL448" i="3" s="1"/>
  <c r="AL315" i="3"/>
  <c r="AL292" i="3"/>
  <c r="AR93" i="3"/>
  <c r="AR99" i="3"/>
  <c r="AR100" i="3"/>
  <c r="AS101" i="3" s="1"/>
  <c r="AR87" i="3"/>
  <c r="AR88" i="3"/>
  <c r="AS89" i="3" s="1"/>
  <c r="AR94" i="3"/>
  <c r="AS95" i="3" s="1"/>
  <c r="AR178" i="3"/>
  <c r="AR262" i="3" s="1"/>
  <c r="AR354" i="3"/>
  <c r="AR433" i="3"/>
  <c r="AR445" i="3"/>
  <c r="AR362" i="3"/>
  <c r="AR366" i="3"/>
  <c r="AR441" i="3"/>
  <c r="AR173" i="3"/>
  <c r="AR174" i="3"/>
  <c r="AR258" i="3" s="1"/>
  <c r="AR414" i="3" s="1"/>
  <c r="AS216" i="7"/>
  <c r="AS276" i="7"/>
  <c r="AT68" i="7"/>
  <c r="AS195" i="7"/>
  <c r="AS173" i="7"/>
  <c r="AS127" i="7"/>
  <c r="AS15" i="3"/>
  <c r="AS67" i="7"/>
  <c r="AS4" i="7"/>
  <c r="AS143" i="7"/>
  <c r="AS184" i="7"/>
  <c r="AS161" i="7"/>
  <c r="AQ519" i="3"/>
  <c r="AP129" i="3"/>
  <c r="AQ98" i="3"/>
  <c r="AQ97" i="3" s="1"/>
  <c r="AN396" i="3"/>
  <c r="AN318" i="3"/>
  <c r="AP492" i="3"/>
  <c r="AD66" i="53"/>
  <c r="AD67" i="53" s="1"/>
  <c r="AD27" i="53"/>
  <c r="AP127" i="3"/>
  <c r="AQ86" i="3"/>
  <c r="AQ85" i="3" s="1"/>
  <c r="AQ511" i="3"/>
  <c r="AP111" i="3"/>
  <c r="AO120" i="3"/>
  <c r="AO130" i="3"/>
  <c r="AO238" i="3" s="1"/>
  <c r="AQ257" i="3"/>
  <c r="AQ335" i="3" s="1"/>
  <c r="AQ179" i="3"/>
  <c r="AQ339" i="3"/>
  <c r="AQ418" i="3"/>
  <c r="AQ92" i="3"/>
  <c r="AQ91" i="3" s="1"/>
  <c r="AP128" i="3"/>
  <c r="Y29" i="53" l="1"/>
  <c r="Y32" i="53" s="1"/>
  <c r="AK471" i="3"/>
  <c r="AR375" i="3"/>
  <c r="AS23" i="3"/>
  <c r="AR20" i="3"/>
  <c r="AQ297" i="3"/>
  <c r="AM393" i="3"/>
  <c r="AM448" i="3" s="1"/>
  <c r="AH20" i="57"/>
  <c r="AH2" i="57"/>
  <c r="AI9" i="57"/>
  <c r="AM315" i="3"/>
  <c r="AA29" i="53" s="1"/>
  <c r="AA32" i="53" s="1"/>
  <c r="AO112" i="3"/>
  <c r="AN121" i="3"/>
  <c r="Z29" i="53"/>
  <c r="Z32" i="53" s="1"/>
  <c r="AL471" i="3"/>
  <c r="AL369" i="3"/>
  <c r="AL526" i="3" s="1"/>
  <c r="AN119" i="3"/>
  <c r="AN122" i="3" s="1"/>
  <c r="AN235" i="3" s="1"/>
  <c r="AN315" i="3" s="1"/>
  <c r="AO110" i="3"/>
  <c r="AN113" i="3"/>
  <c r="AO318" i="3"/>
  <c r="AO396" i="3"/>
  <c r="AR523" i="3"/>
  <c r="AR511" i="3"/>
  <c r="AQ496" i="3"/>
  <c r="AR519" i="3"/>
  <c r="AR339" i="3"/>
  <c r="AR418" i="3"/>
  <c r="AQ111" i="3"/>
  <c r="AP120" i="3"/>
  <c r="AQ127" i="3"/>
  <c r="AR86" i="3"/>
  <c r="AR85" i="3" s="1"/>
  <c r="AR98" i="3"/>
  <c r="AR97" i="3" s="1"/>
  <c r="AQ129" i="3"/>
  <c r="AS100" i="3"/>
  <c r="AT101" i="3" s="1"/>
  <c r="AS88" i="3"/>
  <c r="AT89" i="3" s="1"/>
  <c r="AS94" i="3"/>
  <c r="AT95" i="3" s="1"/>
  <c r="AS93" i="3"/>
  <c r="AS87" i="3"/>
  <c r="AS99" i="3"/>
  <c r="AS178" i="3"/>
  <c r="AS262" i="3" s="1"/>
  <c r="AS354" i="3"/>
  <c r="AS433" i="3"/>
  <c r="AS445" i="3"/>
  <c r="AS366" i="3"/>
  <c r="AS441" i="3"/>
  <c r="AS362" i="3"/>
  <c r="AS174" i="3"/>
  <c r="AS258" i="3" s="1"/>
  <c r="AS414" i="3" s="1"/>
  <c r="AS173" i="3"/>
  <c r="AT161" i="7"/>
  <c r="AT67" i="7"/>
  <c r="AT184" i="7"/>
  <c r="AT4" i="7"/>
  <c r="AT143" i="7"/>
  <c r="AT195" i="7"/>
  <c r="AT127" i="7"/>
  <c r="AT15" i="3"/>
  <c r="AT216" i="7"/>
  <c r="AU68" i="7"/>
  <c r="AT276" i="7"/>
  <c r="AT173" i="7"/>
  <c r="AR179" i="3"/>
  <c r="AR257" i="3"/>
  <c r="AR335" i="3" s="1"/>
  <c r="AR92" i="3"/>
  <c r="AR91" i="3" s="1"/>
  <c r="AQ128" i="3"/>
  <c r="AE27" i="53"/>
  <c r="AQ492" i="3"/>
  <c r="AE66" i="53"/>
  <c r="AE67" i="53" s="1"/>
  <c r="AP130" i="3"/>
  <c r="AP238" i="3" s="1"/>
  <c r="AB30" i="53"/>
  <c r="AN474" i="3"/>
  <c r="AS375" i="3" l="1"/>
  <c r="AT23" i="3"/>
  <c r="AR297" i="3"/>
  <c r="AS20" i="3"/>
  <c r="AM369" i="3"/>
  <c r="AM526" i="3" s="1"/>
  <c r="AM471" i="3"/>
  <c r="AJ9" i="57"/>
  <c r="AI20" i="57"/>
  <c r="AI2" i="57"/>
  <c r="AQ130" i="3"/>
  <c r="AQ238" i="3" s="1"/>
  <c r="AQ318" i="3" s="1"/>
  <c r="AS519" i="3"/>
  <c r="AS511" i="3"/>
  <c r="AS523" i="3"/>
  <c r="AP112" i="3"/>
  <c r="AO121" i="3"/>
  <c r="AR496" i="3"/>
  <c r="AN292" i="3"/>
  <c r="AN393" i="3"/>
  <c r="AN448" i="3" s="1"/>
  <c r="AP110" i="3"/>
  <c r="AO113" i="3"/>
  <c r="AO119" i="3"/>
  <c r="AB29" i="53"/>
  <c r="AB32" i="53" s="1"/>
  <c r="AN369" i="3"/>
  <c r="AP396" i="3"/>
  <c r="AP318" i="3"/>
  <c r="AT87" i="3"/>
  <c r="AT94" i="3"/>
  <c r="AU95" i="3" s="1"/>
  <c r="AT88" i="3"/>
  <c r="AU89" i="3" s="1"/>
  <c r="AT93" i="3"/>
  <c r="AT99" i="3"/>
  <c r="AT100" i="3"/>
  <c r="AU101" i="3" s="1"/>
  <c r="AT178" i="3"/>
  <c r="AT262" i="3" s="1"/>
  <c r="AT354" i="3"/>
  <c r="AT433" i="3"/>
  <c r="AT445" i="3"/>
  <c r="AT441" i="3"/>
  <c r="AT362" i="3"/>
  <c r="AT366" i="3"/>
  <c r="AT173" i="3"/>
  <c r="AT174" i="3"/>
  <c r="AT258" i="3" s="1"/>
  <c r="AT414" i="3" s="1"/>
  <c r="AS257" i="3"/>
  <c r="AS335" i="3" s="1"/>
  <c r="AS179" i="3"/>
  <c r="AS418" i="3"/>
  <c r="AS339" i="3"/>
  <c r="AR128" i="3"/>
  <c r="AS92" i="3"/>
  <c r="AS91" i="3" s="1"/>
  <c r="AR129" i="3"/>
  <c r="AS98" i="3"/>
  <c r="AS97" i="3" s="1"/>
  <c r="AR111" i="3"/>
  <c r="AQ120" i="3"/>
  <c r="AF27" i="53"/>
  <c r="AF66" i="53"/>
  <c r="AF67" i="53" s="1"/>
  <c r="AR492" i="3"/>
  <c r="AU127" i="7"/>
  <c r="AU143" i="7"/>
  <c r="AU15" i="3"/>
  <c r="AU276" i="7"/>
  <c r="AU195" i="7"/>
  <c r="AU67" i="7"/>
  <c r="AV68" i="7"/>
  <c r="AU184" i="7"/>
  <c r="AU4" i="7"/>
  <c r="AU161" i="7"/>
  <c r="AU216" i="7"/>
  <c r="AU173" i="7"/>
  <c r="AR127" i="3"/>
  <c r="AS86" i="3"/>
  <c r="AS85" i="3" s="1"/>
  <c r="AO474" i="3"/>
  <c r="AC30" i="53"/>
  <c r="AT375" i="3" l="1"/>
  <c r="AU23" i="3"/>
  <c r="AS297" i="3"/>
  <c r="AT20" i="3"/>
  <c r="AQ396" i="3"/>
  <c r="AQ474" i="3" s="1"/>
  <c r="AO122" i="3"/>
  <c r="AO235" i="3" s="1"/>
  <c r="AO393" i="3" s="1"/>
  <c r="AO448" i="3" s="1"/>
  <c r="AJ20" i="57"/>
  <c r="AJ2" i="57"/>
  <c r="AK9" i="57"/>
  <c r="AT511" i="3"/>
  <c r="AT523" i="3"/>
  <c r="AS496" i="3"/>
  <c r="AN526" i="3"/>
  <c r="AQ112" i="3"/>
  <c r="AP121" i="3"/>
  <c r="AT519" i="3"/>
  <c r="AN471" i="3"/>
  <c r="AQ110" i="3"/>
  <c r="AP113" i="3"/>
  <c r="AP119" i="3"/>
  <c r="AR130" i="3"/>
  <c r="AR238" i="3" s="1"/>
  <c r="AR396" i="3" s="1"/>
  <c r="AS127" i="3"/>
  <c r="AT86" i="3"/>
  <c r="AT85" i="3" s="1"/>
  <c r="AD30" i="53"/>
  <c r="AP474" i="3"/>
  <c r="AR120" i="3"/>
  <c r="AS111" i="3"/>
  <c r="AE30" i="53"/>
  <c r="AG66" i="53"/>
  <c r="AG67" i="53" s="1"/>
  <c r="AS492" i="3"/>
  <c r="AG27" i="53"/>
  <c r="AT339" i="3"/>
  <c r="AT418" i="3"/>
  <c r="AS129" i="3"/>
  <c r="AT98" i="3"/>
  <c r="AT97" i="3" s="1"/>
  <c r="AT257" i="3"/>
  <c r="AT335" i="3" s="1"/>
  <c r="AT179" i="3"/>
  <c r="AS128" i="3"/>
  <c r="AT92" i="3"/>
  <c r="AT91" i="3" s="1"/>
  <c r="AV143" i="7"/>
  <c r="AV195" i="7"/>
  <c r="AV276" i="7"/>
  <c r="AV173" i="7"/>
  <c r="AV15" i="3"/>
  <c r="AV161" i="7"/>
  <c r="AV127" i="7"/>
  <c r="AV67" i="7"/>
  <c r="AW68" i="7"/>
  <c r="AV216" i="7"/>
  <c r="AV184" i="7"/>
  <c r="AV4" i="7"/>
  <c r="AU94" i="3"/>
  <c r="AV95" i="3" s="1"/>
  <c r="AU99" i="3"/>
  <c r="AU87" i="3"/>
  <c r="AU93" i="3"/>
  <c r="AU100" i="3"/>
  <c r="AV101" i="3" s="1"/>
  <c r="AU88" i="3"/>
  <c r="AV89" i="3" s="1"/>
  <c r="AU178" i="3"/>
  <c r="AU262" i="3" s="1"/>
  <c r="AU354" i="3"/>
  <c r="AU433" i="3"/>
  <c r="AU441" i="3"/>
  <c r="AU445" i="3"/>
  <c r="AU366" i="3"/>
  <c r="AU362" i="3"/>
  <c r="AU173" i="3"/>
  <c r="AU174" i="3"/>
  <c r="AU258" i="3" s="1"/>
  <c r="AU414" i="3" s="1"/>
  <c r="AU375" i="3" l="1"/>
  <c r="AV23" i="3"/>
  <c r="AT297" i="3"/>
  <c r="AU20" i="3"/>
  <c r="AO315" i="3"/>
  <c r="AO471" i="3" s="1"/>
  <c r="AO292" i="3"/>
  <c r="AL9" i="57"/>
  <c r="AK2" i="57"/>
  <c r="AK20" i="57"/>
  <c r="AU523" i="3"/>
  <c r="AT496" i="3"/>
  <c r="AO369" i="3"/>
  <c r="AO526" i="3" s="1"/>
  <c r="AR318" i="3"/>
  <c r="AF30" i="53" s="1"/>
  <c r="AR112" i="3"/>
  <c r="AQ121" i="3"/>
  <c r="AP122" i="3"/>
  <c r="AP235" i="3" s="1"/>
  <c r="AU511" i="3"/>
  <c r="AU519" i="3"/>
  <c r="AR110" i="3"/>
  <c r="AQ113" i="3"/>
  <c r="AQ119" i="3"/>
  <c r="AQ122" i="3" s="1"/>
  <c r="AQ235" i="3" s="1"/>
  <c r="AQ292" i="3" s="1"/>
  <c r="AU257" i="3"/>
  <c r="AU335" i="3" s="1"/>
  <c r="AU179" i="3"/>
  <c r="AS120" i="3"/>
  <c r="AT111" i="3"/>
  <c r="AW216" i="7"/>
  <c r="AW184" i="7"/>
  <c r="AW15" i="3"/>
  <c r="AW173" i="7"/>
  <c r="AW127" i="7"/>
  <c r="AX68" i="7"/>
  <c r="AW143" i="7"/>
  <c r="AW161" i="7"/>
  <c r="AW4" i="7"/>
  <c r="AW67" i="7"/>
  <c r="AW276" i="7"/>
  <c r="AW195" i="7"/>
  <c r="AV100" i="3"/>
  <c r="AW101" i="3" s="1"/>
  <c r="AV87" i="3"/>
  <c r="AV99" i="3"/>
  <c r="AV93" i="3"/>
  <c r="AV94" i="3"/>
  <c r="AW95" i="3" s="1"/>
  <c r="AV88" i="3"/>
  <c r="AW89" i="3" s="1"/>
  <c r="AV178" i="3"/>
  <c r="AV262" i="3" s="1"/>
  <c r="AV433" i="3"/>
  <c r="AV354" i="3"/>
  <c r="AV362" i="3"/>
  <c r="AV445" i="3"/>
  <c r="AV366" i="3"/>
  <c r="AV441" i="3"/>
  <c r="AV174" i="3"/>
  <c r="AV258" i="3" s="1"/>
  <c r="AV414" i="3" s="1"/>
  <c r="AV173" i="3"/>
  <c r="AT492" i="3"/>
  <c r="AH27" i="53"/>
  <c r="AH66" i="53"/>
  <c r="AH67" i="53" s="1"/>
  <c r="AT128" i="3"/>
  <c r="AU92" i="3"/>
  <c r="AU91" i="3" s="1"/>
  <c r="AU98" i="3"/>
  <c r="AU97" i="3" s="1"/>
  <c r="AT129" i="3"/>
  <c r="AT127" i="3"/>
  <c r="AU86" i="3"/>
  <c r="AU85" i="3" s="1"/>
  <c r="AU418" i="3"/>
  <c r="AU339" i="3"/>
  <c r="AS130" i="3"/>
  <c r="AS238" i="3" s="1"/>
  <c r="AW23" i="3" l="1"/>
  <c r="AV375" i="3"/>
  <c r="AV20" i="3"/>
  <c r="AU297" i="3"/>
  <c r="AC29" i="53"/>
  <c r="AC32" i="53" s="1"/>
  <c r="AL20" i="57"/>
  <c r="AL2" i="57"/>
  <c r="AM9" i="57"/>
  <c r="AR474" i="3"/>
  <c r="AV511" i="3"/>
  <c r="AQ393" i="3"/>
  <c r="AQ448" i="3" s="1"/>
  <c r="AP393" i="3"/>
  <c r="AP448" i="3" s="1"/>
  <c r="AP292" i="3"/>
  <c r="AP315" i="3"/>
  <c r="AS112" i="3"/>
  <c r="AR121" i="3"/>
  <c r="AQ315" i="3"/>
  <c r="AE29" i="53" s="1"/>
  <c r="AE32" i="53" s="1"/>
  <c r="AR113" i="3"/>
  <c r="AR119" i="3"/>
  <c r="AS110" i="3"/>
  <c r="AT130" i="3"/>
  <c r="AT238" i="3" s="1"/>
  <c r="AV257" i="3"/>
  <c r="AV335" i="3" s="1"/>
  <c r="AV179" i="3"/>
  <c r="AV339" i="3"/>
  <c r="AV418" i="3"/>
  <c r="AW100" i="3"/>
  <c r="AX101" i="3" s="1"/>
  <c r="AW93" i="3"/>
  <c r="AW94" i="3"/>
  <c r="AX95" i="3" s="1"/>
  <c r="AW88" i="3"/>
  <c r="AX89" i="3" s="1"/>
  <c r="AW87" i="3"/>
  <c r="AW99" i="3"/>
  <c r="AW178" i="3"/>
  <c r="AW262" i="3" s="1"/>
  <c r="AW433" i="3"/>
  <c r="AW354" i="3"/>
  <c r="AW445" i="3"/>
  <c r="AW441" i="3"/>
  <c r="AW362" i="3"/>
  <c r="AW366" i="3"/>
  <c r="AW173" i="3"/>
  <c r="AW174" i="3"/>
  <c r="AW258" i="3" s="1"/>
  <c r="AW414" i="3" s="1"/>
  <c r="AU496" i="3"/>
  <c r="AU128" i="3"/>
  <c r="AV92" i="3"/>
  <c r="AV91" i="3" s="1"/>
  <c r="AV519" i="3"/>
  <c r="AX216" i="7"/>
  <c r="AX67" i="7"/>
  <c r="AY68" i="7"/>
  <c r="AX173" i="7"/>
  <c r="AX195" i="7"/>
  <c r="AX15" i="3"/>
  <c r="AX4" i="7"/>
  <c r="AX161" i="7"/>
  <c r="AX276" i="7"/>
  <c r="AX184" i="7"/>
  <c r="AX143" i="7"/>
  <c r="AX127" i="7"/>
  <c r="AQ369" i="3"/>
  <c r="AU129" i="3"/>
  <c r="AV98" i="3"/>
  <c r="AV97" i="3" s="1"/>
  <c r="AU111" i="3"/>
  <c r="AT120" i="3"/>
  <c r="AS396" i="3"/>
  <c r="AS318" i="3"/>
  <c r="AU127" i="3"/>
  <c r="AV86" i="3"/>
  <c r="AV85" i="3" s="1"/>
  <c r="AV523" i="3"/>
  <c r="AI27" i="53"/>
  <c r="AU492" i="3"/>
  <c r="AI66" i="53"/>
  <c r="AI67" i="53" s="1"/>
  <c r="AX23" i="3" l="1"/>
  <c r="AW375" i="3"/>
  <c r="AW20" i="3"/>
  <c r="AV297" i="3"/>
  <c r="AN9" i="57"/>
  <c r="AM20" i="57"/>
  <c r="AM2" i="57"/>
  <c r="AR122" i="3"/>
  <c r="AR235" i="3" s="1"/>
  <c r="AR315" i="3" s="1"/>
  <c r="AW523" i="3"/>
  <c r="AQ526" i="3"/>
  <c r="AT112" i="3"/>
  <c r="AS121" i="3"/>
  <c r="AP369" i="3"/>
  <c r="AP526" i="3" s="1"/>
  <c r="AP471" i="3"/>
  <c r="AD29" i="53"/>
  <c r="AD32" i="53" s="1"/>
  <c r="AQ471" i="3"/>
  <c r="AV496" i="3"/>
  <c r="AS113" i="3"/>
  <c r="AT110" i="3"/>
  <c r="AS119" i="3"/>
  <c r="AW511" i="3"/>
  <c r="AV127" i="3"/>
  <c r="AW86" i="3"/>
  <c r="AW85" i="3" s="1"/>
  <c r="AY161" i="7"/>
  <c r="AY143" i="7"/>
  <c r="AZ68" i="7"/>
  <c r="AY276" i="7"/>
  <c r="AY127" i="7"/>
  <c r="AY184" i="7"/>
  <c r="AY15" i="3"/>
  <c r="AY195" i="7"/>
  <c r="AY216" i="7"/>
  <c r="AY67" i="7"/>
  <c r="AY4" i="7"/>
  <c r="AY173" i="7"/>
  <c r="AW519" i="3"/>
  <c r="AU130" i="3"/>
  <c r="AU238" i="3" s="1"/>
  <c r="AU120" i="3"/>
  <c r="AV111" i="3"/>
  <c r="AX93" i="3"/>
  <c r="AX94" i="3"/>
  <c r="AY95" i="3" s="1"/>
  <c r="AX88" i="3"/>
  <c r="AY89" i="3" s="1"/>
  <c r="AX99" i="3"/>
  <c r="AX100" i="3"/>
  <c r="AY101" i="3" s="1"/>
  <c r="AX87" i="3"/>
  <c r="AX178" i="3"/>
  <c r="AX262" i="3" s="1"/>
  <c r="AX354" i="3"/>
  <c r="AX433" i="3"/>
  <c r="AX366" i="3"/>
  <c r="AX445" i="3"/>
  <c r="AX362" i="3"/>
  <c r="AX441" i="3"/>
  <c r="AX173" i="3"/>
  <c r="AX174" i="3"/>
  <c r="AX258" i="3" s="1"/>
  <c r="AX414" i="3" s="1"/>
  <c r="AV128" i="3"/>
  <c r="AW92" i="3"/>
  <c r="AW91" i="3" s="1"/>
  <c r="AW418" i="3"/>
  <c r="AW339" i="3"/>
  <c r="AS474" i="3"/>
  <c r="AG30" i="53"/>
  <c r="AV129" i="3"/>
  <c r="AW98" i="3"/>
  <c r="AW97" i="3" s="1"/>
  <c r="AW257" i="3"/>
  <c r="AW335" i="3" s="1"/>
  <c r="AW179" i="3"/>
  <c r="AV492" i="3"/>
  <c r="AJ27" i="53"/>
  <c r="AJ66" i="53"/>
  <c r="AJ67" i="53" s="1"/>
  <c r="AT318" i="3"/>
  <c r="AT396" i="3"/>
  <c r="AS122" i="3" l="1"/>
  <c r="AS235" i="3" s="1"/>
  <c r="AS393" i="3" s="1"/>
  <c r="AS448" i="3" s="1"/>
  <c r="AX375" i="3"/>
  <c r="AY23" i="3"/>
  <c r="AW297" i="3"/>
  <c r="AX20" i="3"/>
  <c r="AR292" i="3"/>
  <c r="AR393" i="3"/>
  <c r="AR448" i="3" s="1"/>
  <c r="AN20" i="57"/>
  <c r="AN2" i="57"/>
  <c r="AO9" i="57"/>
  <c r="AW496" i="3"/>
  <c r="AT121" i="3"/>
  <c r="AU112" i="3"/>
  <c r="AT119" i="3"/>
  <c r="AU110" i="3"/>
  <c r="AT113" i="3"/>
  <c r="AR369" i="3"/>
  <c r="AF29" i="53"/>
  <c r="AF32" i="53" s="1"/>
  <c r="AX523" i="3"/>
  <c r="AW129" i="3"/>
  <c r="AX98" i="3"/>
  <c r="AX97" i="3" s="1"/>
  <c r="AW128" i="3"/>
  <c r="AX92" i="3"/>
  <c r="AX91" i="3" s="1"/>
  <c r="AV120" i="3"/>
  <c r="AW111" i="3"/>
  <c r="AY93" i="3"/>
  <c r="AY94" i="3"/>
  <c r="AZ95" i="3" s="1"/>
  <c r="AY100" i="3"/>
  <c r="AZ101" i="3" s="1"/>
  <c r="AY88" i="3"/>
  <c r="AZ89" i="3" s="1"/>
  <c r="AY99" i="3"/>
  <c r="AY87" i="3"/>
  <c r="AY178" i="3"/>
  <c r="AY262" i="3" s="1"/>
  <c r="AY354" i="3"/>
  <c r="AY433" i="3"/>
  <c r="AY366" i="3"/>
  <c r="AY441" i="3"/>
  <c r="AY445" i="3"/>
  <c r="AY362" i="3"/>
  <c r="AY173" i="3"/>
  <c r="AY174" i="3"/>
  <c r="AY258" i="3" s="1"/>
  <c r="AY414" i="3" s="1"/>
  <c r="AZ161" i="7"/>
  <c r="AZ127" i="7"/>
  <c r="AZ143" i="7"/>
  <c r="AZ276" i="7"/>
  <c r="AZ4" i="7"/>
  <c r="AZ15" i="3"/>
  <c r="AZ216" i="7"/>
  <c r="AZ195" i="7"/>
  <c r="AZ173" i="7"/>
  <c r="BA68" i="7"/>
  <c r="AZ184" i="7"/>
  <c r="AZ67" i="7"/>
  <c r="AW127" i="3"/>
  <c r="AX86" i="3"/>
  <c r="AX85" i="3" s="1"/>
  <c r="AH30" i="53"/>
  <c r="AT474" i="3"/>
  <c r="AX519" i="3"/>
  <c r="AX511" i="3"/>
  <c r="AV130" i="3"/>
  <c r="AV238" i="3" s="1"/>
  <c r="AX418" i="3"/>
  <c r="AX339" i="3"/>
  <c r="AU396" i="3"/>
  <c r="AU318" i="3"/>
  <c r="AK27" i="53"/>
  <c r="AW492" i="3"/>
  <c r="AK66" i="53"/>
  <c r="AK67" i="53" s="1"/>
  <c r="AX257" i="3"/>
  <c r="AX335" i="3" s="1"/>
  <c r="AX179" i="3"/>
  <c r="AS315" i="3" l="1"/>
  <c r="AS471" i="3" s="1"/>
  <c r="AS292" i="3"/>
  <c r="AY375" i="3"/>
  <c r="AZ23" i="3"/>
  <c r="AY20" i="3"/>
  <c r="AX297" i="3"/>
  <c r="AR471" i="3"/>
  <c r="AT122" i="3"/>
  <c r="AT235" i="3" s="1"/>
  <c r="AT292" i="3" s="1"/>
  <c r="AR526" i="3"/>
  <c r="AP9" i="57"/>
  <c r="AO2" i="57"/>
  <c r="AO20" i="57"/>
  <c r="AY511" i="3"/>
  <c r="AU121" i="3"/>
  <c r="AV112" i="3"/>
  <c r="AW130" i="3"/>
  <c r="AW238" i="3" s="1"/>
  <c r="AW396" i="3" s="1"/>
  <c r="AY523" i="3"/>
  <c r="AU113" i="3"/>
  <c r="AU119" i="3"/>
  <c r="AV110" i="3"/>
  <c r="AX496" i="3"/>
  <c r="AY418" i="3"/>
  <c r="AY339" i="3"/>
  <c r="AX128" i="3"/>
  <c r="AY92" i="3"/>
  <c r="AY91" i="3" s="1"/>
  <c r="AY179" i="3"/>
  <c r="AY257" i="3"/>
  <c r="AY335" i="3" s="1"/>
  <c r="AU474" i="3"/>
  <c r="AI30" i="53"/>
  <c r="AX127" i="3"/>
  <c r="AY86" i="3"/>
  <c r="AY85" i="3" s="1"/>
  <c r="BA195" i="7"/>
  <c r="BA184" i="7"/>
  <c r="BA173" i="7"/>
  <c r="BB68" i="7"/>
  <c r="BA143" i="7"/>
  <c r="BA161" i="7"/>
  <c r="BA127" i="7"/>
  <c r="BA15" i="3"/>
  <c r="BA276" i="7"/>
  <c r="BA4" i="7"/>
  <c r="BA67" i="7"/>
  <c r="BA216" i="7"/>
  <c r="AZ93" i="3"/>
  <c r="AZ100" i="3"/>
  <c r="BA101" i="3" s="1"/>
  <c r="AZ94" i="3"/>
  <c r="BA95" i="3" s="1"/>
  <c r="AZ88" i="3"/>
  <c r="BA89" i="3" s="1"/>
  <c r="AZ99" i="3"/>
  <c r="AZ87" i="3"/>
  <c r="AZ178" i="3"/>
  <c r="AZ262" i="3" s="1"/>
  <c r="AZ433" i="3"/>
  <c r="AZ354" i="3"/>
  <c r="AZ445" i="3"/>
  <c r="AZ362" i="3"/>
  <c r="AZ441" i="3"/>
  <c r="AZ366" i="3"/>
  <c r="AZ173" i="3"/>
  <c r="AZ174" i="3"/>
  <c r="AZ258" i="3" s="1"/>
  <c r="AZ414" i="3" s="1"/>
  <c r="AY519" i="3"/>
  <c r="AW120" i="3"/>
  <c r="AX111" i="3"/>
  <c r="AX129" i="3"/>
  <c r="AY98" i="3"/>
  <c r="AY97" i="3" s="1"/>
  <c r="AL27" i="53"/>
  <c r="AX492" i="3"/>
  <c r="AL66" i="53"/>
  <c r="AL67" i="53" s="1"/>
  <c r="AV396" i="3"/>
  <c r="AV318" i="3"/>
  <c r="AS369" i="3" l="1"/>
  <c r="AS526" i="3" s="1"/>
  <c r="AG29" i="53"/>
  <c r="AG32" i="53" s="1"/>
  <c r="BA23" i="3"/>
  <c r="AZ375" i="3"/>
  <c r="AY297" i="3"/>
  <c r="AZ20" i="3"/>
  <c r="AT315" i="3"/>
  <c r="AT393" i="3"/>
  <c r="AT448" i="3" s="1"/>
  <c r="AU122" i="3"/>
  <c r="AU235" i="3" s="1"/>
  <c r="AU292" i="3" s="1"/>
  <c r="AP20" i="57"/>
  <c r="AP2" i="57"/>
  <c r="AQ9" i="57"/>
  <c r="AW318" i="3"/>
  <c r="AK30" i="53" s="1"/>
  <c r="AW112" i="3"/>
  <c r="AV121" i="3"/>
  <c r="AY496" i="3"/>
  <c r="AV113" i="3"/>
  <c r="AV119" i="3"/>
  <c r="AW110" i="3"/>
  <c r="AX120" i="3"/>
  <c r="AY111" i="3"/>
  <c r="AZ179" i="3"/>
  <c r="AZ257" i="3"/>
  <c r="AZ335" i="3" s="1"/>
  <c r="AJ30" i="53"/>
  <c r="AV474" i="3"/>
  <c r="AZ523" i="3"/>
  <c r="AZ511" i="3"/>
  <c r="AY129" i="3"/>
  <c r="AZ98" i="3"/>
  <c r="AZ97" i="3" s="1"/>
  <c r="BA87" i="3"/>
  <c r="BA93" i="3"/>
  <c r="BA88" i="3"/>
  <c r="BB89" i="3" s="1"/>
  <c r="BA94" i="3"/>
  <c r="BB95" i="3" s="1"/>
  <c r="BA99" i="3"/>
  <c r="BA100" i="3"/>
  <c r="BB101" i="3" s="1"/>
  <c r="BA178" i="3"/>
  <c r="BA262" i="3" s="1"/>
  <c r="BA354" i="3"/>
  <c r="BA433" i="3"/>
  <c r="BA366" i="3"/>
  <c r="BA362" i="3"/>
  <c r="BA441" i="3"/>
  <c r="BA445" i="3"/>
  <c r="BA174" i="3"/>
  <c r="BA258" i="3" s="1"/>
  <c r="BA414" i="3" s="1"/>
  <c r="BA173" i="3"/>
  <c r="BB143" i="7"/>
  <c r="BB195" i="7"/>
  <c r="BB184" i="7"/>
  <c r="BB4" i="7"/>
  <c r="BB161" i="7"/>
  <c r="BB173" i="7"/>
  <c r="BB127" i="7"/>
  <c r="BB15" i="3"/>
  <c r="BB67" i="7"/>
  <c r="BB216" i="7"/>
  <c r="BC68" i="7"/>
  <c r="BB276" i="7"/>
  <c r="AY127" i="3"/>
  <c r="AZ86" i="3"/>
  <c r="AZ85" i="3" s="1"/>
  <c r="AM27" i="53"/>
  <c r="AM66" i="53"/>
  <c r="AM67" i="53" s="1"/>
  <c r="AY492" i="3"/>
  <c r="AY128" i="3"/>
  <c r="AZ92" i="3"/>
  <c r="AZ91" i="3" s="1"/>
  <c r="AZ519" i="3"/>
  <c r="AZ339" i="3"/>
  <c r="AZ418" i="3"/>
  <c r="AX130" i="3"/>
  <c r="AX238" i="3" s="1"/>
  <c r="BA375" i="3" l="1"/>
  <c r="BB23" i="3"/>
  <c r="AZ297" i="3"/>
  <c r="BA20" i="3"/>
  <c r="AU315" i="3"/>
  <c r="AU369" i="3" s="1"/>
  <c r="AU393" i="3"/>
  <c r="AU448" i="3" s="1"/>
  <c r="AT369" i="3"/>
  <c r="AT526" i="3" s="1"/>
  <c r="AH29" i="53"/>
  <c r="AH32" i="53" s="1"/>
  <c r="AT471" i="3"/>
  <c r="AW474" i="3"/>
  <c r="AR9" i="57"/>
  <c r="AQ20" i="57"/>
  <c r="AQ2" i="57"/>
  <c r="AV122" i="3"/>
  <c r="AV235" i="3" s="1"/>
  <c r="AV315" i="3" s="1"/>
  <c r="AV369" i="3" s="1"/>
  <c r="BA523" i="3"/>
  <c r="AX112" i="3"/>
  <c r="AW121" i="3"/>
  <c r="AW119" i="3"/>
  <c r="AX110" i="3"/>
  <c r="AW113" i="3"/>
  <c r="AZ496" i="3"/>
  <c r="BB88" i="3"/>
  <c r="BC89" i="3" s="1"/>
  <c r="BB93" i="3"/>
  <c r="BB100" i="3"/>
  <c r="BC101" i="3" s="1"/>
  <c r="BB87" i="3"/>
  <c r="BB99" i="3"/>
  <c r="BB94" i="3"/>
  <c r="BC95" i="3" s="1"/>
  <c r="BB178" i="3"/>
  <c r="BB262" i="3" s="1"/>
  <c r="BB433" i="3"/>
  <c r="BB354" i="3"/>
  <c r="BB445" i="3"/>
  <c r="BB366" i="3"/>
  <c r="BB441" i="3"/>
  <c r="BB362" i="3"/>
  <c r="BB174" i="3"/>
  <c r="BB258" i="3" s="1"/>
  <c r="BB414" i="3" s="1"/>
  <c r="BB173" i="3"/>
  <c r="BA257" i="3"/>
  <c r="BA335" i="3" s="1"/>
  <c r="BA179" i="3"/>
  <c r="BA519" i="3"/>
  <c r="BA418" i="3"/>
  <c r="BA339" i="3"/>
  <c r="AZ492" i="3"/>
  <c r="AN27" i="53"/>
  <c r="AN66" i="53"/>
  <c r="AN67" i="53" s="1"/>
  <c r="AZ128" i="3"/>
  <c r="BA92" i="3"/>
  <c r="BA91" i="3" s="1"/>
  <c r="BC216" i="7"/>
  <c r="BC161" i="7"/>
  <c r="BC15" i="3"/>
  <c r="BC276" i="7"/>
  <c r="BC143" i="7"/>
  <c r="BC4" i="7"/>
  <c r="BC127" i="7"/>
  <c r="BC184" i="7"/>
  <c r="BC173" i="7"/>
  <c r="BC195" i="7"/>
  <c r="BD68" i="7"/>
  <c r="BC67" i="7"/>
  <c r="AX318" i="3"/>
  <c r="AX396" i="3"/>
  <c r="AZ127" i="3"/>
  <c r="BA86" i="3"/>
  <c r="BA85" i="3" s="1"/>
  <c r="AY120" i="3"/>
  <c r="AZ111" i="3"/>
  <c r="AY130" i="3"/>
  <c r="AY238" i="3" s="1"/>
  <c r="BA511" i="3"/>
  <c r="AZ129" i="3"/>
  <c r="BA98" i="3"/>
  <c r="BA97" i="3" s="1"/>
  <c r="AJ29" i="53" l="1"/>
  <c r="AJ32" i="53" s="1"/>
  <c r="BB375" i="3"/>
  <c r="BC23" i="3"/>
  <c r="AI29" i="53"/>
  <c r="AI32" i="53" s="1"/>
  <c r="BB20" i="3"/>
  <c r="BA297" i="3"/>
  <c r="AU471" i="3"/>
  <c r="AU526" i="3"/>
  <c r="AV292" i="3"/>
  <c r="AR20" i="57"/>
  <c r="AR2" i="57"/>
  <c r="AS9" i="57"/>
  <c r="AV393" i="3"/>
  <c r="AW122" i="3"/>
  <c r="AW235" i="3" s="1"/>
  <c r="AW292" i="3" s="1"/>
  <c r="BA496" i="3"/>
  <c r="AY112" i="3"/>
  <c r="AX121" i="3"/>
  <c r="AY110" i="3"/>
  <c r="AX113" i="3"/>
  <c r="AX119" i="3"/>
  <c r="BB519" i="3"/>
  <c r="BB511" i="3"/>
  <c r="AY318" i="3"/>
  <c r="AY396" i="3"/>
  <c r="BA111" i="3"/>
  <c r="AZ120" i="3"/>
  <c r="AL30" i="53"/>
  <c r="AX474" i="3"/>
  <c r="BA129" i="3"/>
  <c r="BB98" i="3"/>
  <c r="BB97" i="3" s="1"/>
  <c r="BA127" i="3"/>
  <c r="BB86" i="3"/>
  <c r="BB85" i="3" s="1"/>
  <c r="BD161" i="7"/>
  <c r="BD184" i="7"/>
  <c r="BD143" i="7"/>
  <c r="BE68" i="7"/>
  <c r="BD195" i="7"/>
  <c r="BD67" i="7"/>
  <c r="BD216" i="7"/>
  <c r="BD127" i="7"/>
  <c r="BD4" i="7"/>
  <c r="BD276" i="7"/>
  <c r="BD173" i="7"/>
  <c r="BD15" i="3"/>
  <c r="BC93" i="3"/>
  <c r="BC94" i="3"/>
  <c r="BD95" i="3" s="1"/>
  <c r="BC88" i="3"/>
  <c r="BD89" i="3" s="1"/>
  <c r="BC99" i="3"/>
  <c r="BC100" i="3"/>
  <c r="BD101" i="3" s="1"/>
  <c r="BC87" i="3"/>
  <c r="BC178" i="3"/>
  <c r="BC262" i="3" s="1"/>
  <c r="BC433" i="3"/>
  <c r="BC354" i="3"/>
  <c r="BC445" i="3"/>
  <c r="BC366" i="3"/>
  <c r="BC441" i="3"/>
  <c r="BC362" i="3"/>
  <c r="BC173" i="3"/>
  <c r="BC174" i="3"/>
  <c r="BC258" i="3" s="1"/>
  <c r="BC414" i="3" s="1"/>
  <c r="BB92" i="3"/>
  <c r="BB91" i="3" s="1"/>
  <c r="BA128" i="3"/>
  <c r="AZ130" i="3"/>
  <c r="AZ238" i="3" s="1"/>
  <c r="AO66" i="53"/>
  <c r="AO67" i="53" s="1"/>
  <c r="BA492" i="3"/>
  <c r="AO27" i="53"/>
  <c r="BB257" i="3"/>
  <c r="BB335" i="3" s="1"/>
  <c r="BB179" i="3"/>
  <c r="BB523" i="3"/>
  <c r="BB339" i="3"/>
  <c r="BB418" i="3"/>
  <c r="BC375" i="3" l="1"/>
  <c r="BD23" i="3"/>
  <c r="BC20" i="3"/>
  <c r="BB297" i="3"/>
  <c r="AW393" i="3"/>
  <c r="AW448" i="3" s="1"/>
  <c r="AW315" i="3"/>
  <c r="AK29" i="53" s="1"/>
  <c r="AK32" i="53" s="1"/>
  <c r="AX122" i="3"/>
  <c r="AX235" i="3" s="1"/>
  <c r="AX393" i="3" s="1"/>
  <c r="AX448" i="3" s="1"/>
  <c r="AT9" i="57"/>
  <c r="AS2" i="57"/>
  <c r="AS20" i="57"/>
  <c r="AV448" i="3"/>
  <c r="AV526" i="3" s="1"/>
  <c r="AV471" i="3"/>
  <c r="BC523" i="3"/>
  <c r="AZ112" i="3"/>
  <c r="AY121" i="3"/>
  <c r="BC511" i="3"/>
  <c r="AY113" i="3"/>
  <c r="AZ110" i="3"/>
  <c r="AY119" i="3"/>
  <c r="BC418" i="3"/>
  <c r="BC339" i="3"/>
  <c r="BC257" i="3"/>
  <c r="BC335" i="3" s="1"/>
  <c r="BC179" i="3"/>
  <c r="BB127" i="3"/>
  <c r="BC86" i="3"/>
  <c r="BC85" i="3" s="1"/>
  <c r="BB111" i="3"/>
  <c r="BA120" i="3"/>
  <c r="AP66" i="53"/>
  <c r="AP67" i="53" s="1"/>
  <c r="BB492" i="3"/>
  <c r="AP27" i="53"/>
  <c r="AZ318" i="3"/>
  <c r="AZ396" i="3"/>
  <c r="BA130" i="3"/>
  <c r="BA238" i="3" s="1"/>
  <c r="BB129" i="3"/>
  <c r="BC98" i="3"/>
  <c r="BC97" i="3" s="1"/>
  <c r="BB496" i="3"/>
  <c r="BC92" i="3"/>
  <c r="BC91" i="3" s="1"/>
  <c r="BB128" i="3"/>
  <c r="BC519" i="3"/>
  <c r="BD99" i="3"/>
  <c r="BD93" i="3"/>
  <c r="BD94" i="3"/>
  <c r="BE95" i="3" s="1"/>
  <c r="BD100" i="3"/>
  <c r="BE101" i="3" s="1"/>
  <c r="BD87" i="3"/>
  <c r="BD88" i="3"/>
  <c r="BE89" i="3" s="1"/>
  <c r="BD178" i="3"/>
  <c r="BD262" i="3" s="1"/>
  <c r="BD354" i="3"/>
  <c r="BD433" i="3"/>
  <c r="BD445" i="3"/>
  <c r="BD366" i="3"/>
  <c r="BD441" i="3"/>
  <c r="BD362" i="3"/>
  <c r="BD173" i="3"/>
  <c r="BD174" i="3"/>
  <c r="BD258" i="3" s="1"/>
  <c r="BD414" i="3" s="1"/>
  <c r="BE195" i="7"/>
  <c r="BE67" i="7"/>
  <c r="BE216" i="7"/>
  <c r="BF68" i="7"/>
  <c r="BE276" i="7"/>
  <c r="BE173" i="7"/>
  <c r="BE127" i="7"/>
  <c r="BE15" i="3"/>
  <c r="BE4" i="7"/>
  <c r="BE184" i="7"/>
  <c r="BE161" i="7"/>
  <c r="BE143" i="7"/>
  <c r="AM30" i="53"/>
  <c r="AY474" i="3"/>
  <c r="AW369" i="3" l="1"/>
  <c r="AW526" i="3" s="1"/>
  <c r="BE23" i="3"/>
  <c r="BD375" i="3"/>
  <c r="BC297" i="3"/>
  <c r="BD20" i="3"/>
  <c r="AW471" i="3"/>
  <c r="AX292" i="3"/>
  <c r="AX315" i="3"/>
  <c r="AL29" i="53" s="1"/>
  <c r="AL32" i="53" s="1"/>
  <c r="AT20" i="57"/>
  <c r="AT2" i="57"/>
  <c r="AU9" i="57"/>
  <c r="BC496" i="3"/>
  <c r="AY122" i="3"/>
  <c r="AY235" i="3" s="1"/>
  <c r="AY393" i="3" s="1"/>
  <c r="AY448" i="3" s="1"/>
  <c r="AZ121" i="3"/>
  <c r="BA112" i="3"/>
  <c r="BD519" i="3"/>
  <c r="BB130" i="3"/>
  <c r="BB238" i="3" s="1"/>
  <c r="BB396" i="3" s="1"/>
  <c r="AZ119" i="3"/>
  <c r="AZ113" i="3"/>
  <c r="BA110" i="3"/>
  <c r="BD257" i="3"/>
  <c r="BD335" i="3" s="1"/>
  <c r="BD179" i="3"/>
  <c r="BD92" i="3"/>
  <c r="BD91" i="3" s="1"/>
  <c r="BC128" i="3"/>
  <c r="BA396" i="3"/>
  <c r="BA318" i="3"/>
  <c r="BD511" i="3"/>
  <c r="BC129" i="3"/>
  <c r="BD98" i="3"/>
  <c r="BD97" i="3" s="1"/>
  <c r="AN30" i="53"/>
  <c r="AZ474" i="3"/>
  <c r="AQ66" i="53"/>
  <c r="AQ67" i="53" s="1"/>
  <c r="BC492" i="3"/>
  <c r="AQ27" i="53"/>
  <c r="BE94" i="3"/>
  <c r="BF95" i="3" s="1"/>
  <c r="BE88" i="3"/>
  <c r="BF89" i="3" s="1"/>
  <c r="BE99" i="3"/>
  <c r="BE100" i="3"/>
  <c r="BF101" i="3" s="1"/>
  <c r="BE93" i="3"/>
  <c r="BE87" i="3"/>
  <c r="BE178" i="3"/>
  <c r="BE262" i="3" s="1"/>
  <c r="BE433" i="3"/>
  <c r="BE354" i="3"/>
  <c r="BE366" i="3"/>
  <c r="BE362" i="3"/>
  <c r="BE441" i="3"/>
  <c r="BE445" i="3"/>
  <c r="BE174" i="3"/>
  <c r="BE258" i="3" s="1"/>
  <c r="BE414" i="3" s="1"/>
  <c r="BE173" i="3"/>
  <c r="BF276" i="7"/>
  <c r="BF67" i="7"/>
  <c r="BF184" i="7"/>
  <c r="BF195" i="7"/>
  <c r="BF216" i="7"/>
  <c r="BG68" i="7"/>
  <c r="BF173" i="7"/>
  <c r="BF15" i="3"/>
  <c r="BF143" i="7"/>
  <c r="BF127" i="7"/>
  <c r="BF4" i="7"/>
  <c r="BF161" i="7"/>
  <c r="BD523" i="3"/>
  <c r="BD339" i="3"/>
  <c r="BD418" i="3"/>
  <c r="BC111" i="3"/>
  <c r="BB120" i="3"/>
  <c r="BC127" i="3"/>
  <c r="BD86" i="3"/>
  <c r="BD85" i="3" s="1"/>
  <c r="AX369" i="3" l="1"/>
  <c r="AX526" i="3" s="1"/>
  <c r="BE375" i="3"/>
  <c r="BF23" i="3"/>
  <c r="BD297" i="3"/>
  <c r="BE20" i="3"/>
  <c r="AX471" i="3"/>
  <c r="AY315" i="3"/>
  <c r="AY369" i="3" s="1"/>
  <c r="AY526" i="3" s="1"/>
  <c r="AV9" i="57"/>
  <c r="AU20" i="57"/>
  <c r="AU2" i="57"/>
  <c r="AZ122" i="3"/>
  <c r="AZ235" i="3" s="1"/>
  <c r="AZ315" i="3" s="1"/>
  <c r="BC130" i="3"/>
  <c r="BC238" i="3" s="1"/>
  <c r="BC318" i="3" s="1"/>
  <c r="BE519" i="3"/>
  <c r="BE511" i="3"/>
  <c r="BB318" i="3"/>
  <c r="BB474" i="3" s="1"/>
  <c r="AY292" i="3"/>
  <c r="BA121" i="3"/>
  <c r="BB112" i="3"/>
  <c r="BA119" i="3"/>
  <c r="BA113" i="3"/>
  <c r="BB110" i="3"/>
  <c r="BE523" i="3"/>
  <c r="BD127" i="3"/>
  <c r="BE86" i="3"/>
  <c r="BE85" i="3" s="1"/>
  <c r="BF94" i="3"/>
  <c r="BG95" i="3" s="1"/>
  <c r="BF87" i="3"/>
  <c r="BF99" i="3"/>
  <c r="BF93" i="3"/>
  <c r="BF88" i="3"/>
  <c r="BG89" i="3" s="1"/>
  <c r="BF100" i="3"/>
  <c r="BG101" i="3" s="1"/>
  <c r="BF178" i="3"/>
  <c r="BF262" i="3" s="1"/>
  <c r="BF354" i="3"/>
  <c r="BF433" i="3"/>
  <c r="BF362" i="3"/>
  <c r="BF366" i="3"/>
  <c r="BF441" i="3"/>
  <c r="BF445" i="3"/>
  <c r="BF174" i="3"/>
  <c r="BF258" i="3" s="1"/>
  <c r="BF414" i="3" s="1"/>
  <c r="BF173" i="3"/>
  <c r="BE257" i="3"/>
  <c r="BE335" i="3" s="1"/>
  <c r="BE179" i="3"/>
  <c r="BE339" i="3"/>
  <c r="BE418" i="3"/>
  <c r="BD129" i="3"/>
  <c r="BE98" i="3"/>
  <c r="BE97" i="3" s="1"/>
  <c r="BD496" i="3"/>
  <c r="BE92" i="3"/>
  <c r="BE91" i="3" s="1"/>
  <c r="BD128" i="3"/>
  <c r="BG216" i="7"/>
  <c r="BG161" i="7"/>
  <c r="BG127" i="7"/>
  <c r="BG195" i="7"/>
  <c r="BH68" i="7"/>
  <c r="BG184" i="7"/>
  <c r="BG143" i="7"/>
  <c r="BG276" i="7"/>
  <c r="BG4" i="7"/>
  <c r="BG15" i="3"/>
  <c r="BG173" i="7"/>
  <c r="BG67" i="7"/>
  <c r="BC120" i="3"/>
  <c r="BD111" i="3"/>
  <c r="AO30" i="53"/>
  <c r="BA474" i="3"/>
  <c r="AR66" i="53"/>
  <c r="AR67" i="53" s="1"/>
  <c r="AR27" i="53"/>
  <c r="BD492" i="3"/>
  <c r="AP30" i="53" l="1"/>
  <c r="AZ292" i="3"/>
  <c r="BC396" i="3"/>
  <c r="AZ393" i="3"/>
  <c r="AZ448" i="3" s="1"/>
  <c r="AY471" i="3"/>
  <c r="BF375" i="3"/>
  <c r="BG23" i="3"/>
  <c r="BE297" i="3"/>
  <c r="BF20" i="3"/>
  <c r="AM29" i="53"/>
  <c r="AM32" i="53" s="1"/>
  <c r="AV20" i="57"/>
  <c r="AV2" i="57"/>
  <c r="AW9" i="57"/>
  <c r="BE496" i="3"/>
  <c r="BC112" i="3"/>
  <c r="BB121" i="3"/>
  <c r="BA122" i="3"/>
  <c r="BA235" i="3" s="1"/>
  <c r="BA292" i="3" s="1"/>
  <c r="AN29" i="53"/>
  <c r="AN32" i="53" s="1"/>
  <c r="AZ471" i="3"/>
  <c r="AZ369" i="3"/>
  <c r="BB119" i="3"/>
  <c r="BB113" i="3"/>
  <c r="BC110" i="3"/>
  <c r="BF519" i="3"/>
  <c r="BH173" i="7"/>
  <c r="BH67" i="7"/>
  <c r="BI68" i="7"/>
  <c r="BH127" i="7"/>
  <c r="BH276" i="7"/>
  <c r="BH15" i="3"/>
  <c r="BH161" i="7"/>
  <c r="BH4" i="7"/>
  <c r="BH184" i="7"/>
  <c r="BH143" i="7"/>
  <c r="BH216" i="7"/>
  <c r="BH195" i="7"/>
  <c r="BE111" i="3"/>
  <c r="BD120" i="3"/>
  <c r="BF92" i="3"/>
  <c r="BF91" i="3" s="1"/>
  <c r="BE128" i="3"/>
  <c r="BE129" i="3"/>
  <c r="BF98" i="3"/>
  <c r="BF97" i="3" s="1"/>
  <c r="AQ30" i="53"/>
  <c r="BC474" i="3"/>
  <c r="AS66" i="53"/>
  <c r="AS67" i="53" s="1"/>
  <c r="BE492" i="3"/>
  <c r="AS27" i="53"/>
  <c r="BF511" i="3"/>
  <c r="BE127" i="3"/>
  <c r="BF86" i="3"/>
  <c r="BF85" i="3" s="1"/>
  <c r="BG94" i="3"/>
  <c r="BH95" i="3" s="1"/>
  <c r="BG99" i="3"/>
  <c r="BG93" i="3"/>
  <c r="BG88" i="3"/>
  <c r="BH89" i="3" s="1"/>
  <c r="BG87" i="3"/>
  <c r="BG100" i="3"/>
  <c r="BH101" i="3" s="1"/>
  <c r="BG178" i="3"/>
  <c r="BG262" i="3" s="1"/>
  <c r="BG354" i="3"/>
  <c r="BG433" i="3"/>
  <c r="BG362" i="3"/>
  <c r="BG445" i="3"/>
  <c r="BG366" i="3"/>
  <c r="BG441" i="3"/>
  <c r="BG173" i="3"/>
  <c r="BG174" i="3"/>
  <c r="BG258" i="3" s="1"/>
  <c r="BG414" i="3" s="1"/>
  <c r="BF257" i="3"/>
  <c r="BF335" i="3" s="1"/>
  <c r="BF179" i="3"/>
  <c r="BF523" i="3"/>
  <c r="BF339" i="3"/>
  <c r="BF418" i="3"/>
  <c r="BD130" i="3"/>
  <c r="BD238" i="3" s="1"/>
  <c r="AZ526" i="3" l="1"/>
  <c r="BG375" i="3"/>
  <c r="BH23" i="3"/>
  <c r="BG20" i="3"/>
  <c r="BF297" i="3"/>
  <c r="AX9" i="57"/>
  <c r="AW2" i="57"/>
  <c r="AW20" i="57"/>
  <c r="BA393" i="3"/>
  <c r="BA448" i="3" s="1"/>
  <c r="BE130" i="3"/>
  <c r="BE238" i="3" s="1"/>
  <c r="BE318" i="3" s="1"/>
  <c r="BA315" i="3"/>
  <c r="BA369" i="3" s="1"/>
  <c r="BB122" i="3"/>
  <c r="BB235" i="3" s="1"/>
  <c r="BB315" i="3" s="1"/>
  <c r="AP29" i="53" s="1"/>
  <c r="AP32" i="53" s="1"/>
  <c r="BD112" i="3"/>
  <c r="BC121" i="3"/>
  <c r="BG523" i="3"/>
  <c r="BG511" i="3"/>
  <c r="BC119" i="3"/>
  <c r="BC122" i="3" s="1"/>
  <c r="BC235" i="3" s="1"/>
  <c r="BC393" i="3" s="1"/>
  <c r="BC448" i="3" s="1"/>
  <c r="BD110" i="3"/>
  <c r="BC113" i="3"/>
  <c r="BF496" i="3"/>
  <c r="BD318" i="3"/>
  <c r="BD396" i="3"/>
  <c r="BG418" i="3"/>
  <c r="BG339" i="3"/>
  <c r="BI173" i="7"/>
  <c r="BI4" i="7"/>
  <c r="BI195" i="7"/>
  <c r="BI276" i="7"/>
  <c r="BI184" i="7"/>
  <c r="BJ68" i="7"/>
  <c r="BI67" i="7"/>
  <c r="BI143" i="7"/>
  <c r="BI216" i="7"/>
  <c r="BI127" i="7"/>
  <c r="BI15" i="3"/>
  <c r="BI161" i="7"/>
  <c r="BF128" i="3"/>
  <c r="BG92" i="3"/>
  <c r="BG91" i="3" s="1"/>
  <c r="AT66" i="53"/>
  <c r="AT67" i="53" s="1"/>
  <c r="BF492" i="3"/>
  <c r="AT27" i="53"/>
  <c r="BG257" i="3"/>
  <c r="BG335" i="3" s="1"/>
  <c r="BG179" i="3"/>
  <c r="BG519" i="3"/>
  <c r="BF127" i="3"/>
  <c r="BG86" i="3"/>
  <c r="BG85" i="3" s="1"/>
  <c r="BG98" i="3"/>
  <c r="BG97" i="3" s="1"/>
  <c r="BF129" i="3"/>
  <c r="BF111" i="3"/>
  <c r="BE120" i="3"/>
  <c r="BH99" i="3"/>
  <c r="BH94" i="3"/>
  <c r="BI95" i="3" s="1"/>
  <c r="BH93" i="3"/>
  <c r="BH88" i="3"/>
  <c r="BI89" i="3" s="1"/>
  <c r="BH100" i="3"/>
  <c r="BI101" i="3" s="1"/>
  <c r="BH87" i="3"/>
  <c r="BH178" i="3"/>
  <c r="BH262" i="3" s="1"/>
  <c r="BH354" i="3"/>
  <c r="BH433" i="3"/>
  <c r="BH366" i="3"/>
  <c r="BH445" i="3"/>
  <c r="BH441" i="3"/>
  <c r="BH362" i="3"/>
  <c r="BH174" i="3"/>
  <c r="BH258" i="3" s="1"/>
  <c r="BH414" i="3" s="1"/>
  <c r="BH173" i="3"/>
  <c r="BE396" i="3" l="1"/>
  <c r="BE474" i="3" s="1"/>
  <c r="BI23" i="3"/>
  <c r="BH375" i="3"/>
  <c r="BG297" i="3"/>
  <c r="BH20" i="3"/>
  <c r="BA526" i="3"/>
  <c r="AX20" i="57"/>
  <c r="AX2" i="57"/>
  <c r="AY9" i="57"/>
  <c r="BA471" i="3"/>
  <c r="BF130" i="3"/>
  <c r="BF238" i="3" s="1"/>
  <c r="BF318" i="3" s="1"/>
  <c r="BC292" i="3"/>
  <c r="AO29" i="53"/>
  <c r="AO32" i="53" s="1"/>
  <c r="BC315" i="3"/>
  <c r="BC471" i="3" s="1"/>
  <c r="BB369" i="3"/>
  <c r="BD121" i="3"/>
  <c r="BE112" i="3"/>
  <c r="BB292" i="3"/>
  <c r="BB393" i="3"/>
  <c r="BB448" i="3" s="1"/>
  <c r="BH523" i="3"/>
  <c r="BD119" i="3"/>
  <c r="BD113" i="3"/>
  <c r="BE110" i="3"/>
  <c r="BG127" i="3"/>
  <c r="BH86" i="3"/>
  <c r="BH85" i="3" s="1"/>
  <c r="BG492" i="3"/>
  <c r="AU66" i="53"/>
  <c r="AU67" i="53" s="1"/>
  <c r="AU27" i="53"/>
  <c r="BG128" i="3"/>
  <c r="BH92" i="3"/>
  <c r="BH91" i="3" s="1"/>
  <c r="AS30" i="53"/>
  <c r="BH257" i="3"/>
  <c r="BH335" i="3" s="1"/>
  <c r="BH179" i="3"/>
  <c r="BH339" i="3"/>
  <c r="BH418" i="3"/>
  <c r="BF120" i="3"/>
  <c r="BG111" i="3"/>
  <c r="BI93" i="3"/>
  <c r="BI87" i="3"/>
  <c r="BI88" i="3"/>
  <c r="BJ89" i="3" s="1"/>
  <c r="BI99" i="3"/>
  <c r="BI100" i="3"/>
  <c r="BJ101" i="3" s="1"/>
  <c r="BI94" i="3"/>
  <c r="BJ95" i="3" s="1"/>
  <c r="BI178" i="3"/>
  <c r="BI262" i="3" s="1"/>
  <c r="BI433" i="3"/>
  <c r="BI354" i="3"/>
  <c r="BI445" i="3"/>
  <c r="BI366" i="3"/>
  <c r="BI441" i="3"/>
  <c r="BI362" i="3"/>
  <c r="BI174" i="3"/>
  <c r="BI258" i="3" s="1"/>
  <c r="BI414" i="3" s="1"/>
  <c r="BI173" i="3"/>
  <c r="BJ161" i="7"/>
  <c r="BJ67" i="7"/>
  <c r="BK68" i="7"/>
  <c r="BJ184" i="7"/>
  <c r="BJ143" i="7"/>
  <c r="BJ216" i="7"/>
  <c r="BJ127" i="7"/>
  <c r="BJ276" i="7"/>
  <c r="BJ173" i="7"/>
  <c r="BJ15" i="3"/>
  <c r="BJ195" i="7"/>
  <c r="BJ4" i="7"/>
  <c r="BH519" i="3"/>
  <c r="BH511" i="3"/>
  <c r="BH98" i="3"/>
  <c r="BH97" i="3" s="1"/>
  <c r="BG129" i="3"/>
  <c r="BG496" i="3"/>
  <c r="BD474" i="3"/>
  <c r="AR30" i="53"/>
  <c r="BF396" i="3" l="1"/>
  <c r="BF474" i="3" s="1"/>
  <c r="BI375" i="3"/>
  <c r="BJ23" i="3"/>
  <c r="BH297" i="3"/>
  <c r="BI20" i="3"/>
  <c r="AZ9" i="57"/>
  <c r="AY20" i="57"/>
  <c r="AY2" i="57"/>
  <c r="AQ29" i="53"/>
  <c r="AQ32" i="53" s="1"/>
  <c r="BC369" i="3"/>
  <c r="BC526" i="3" s="1"/>
  <c r="BD122" i="3"/>
  <c r="BD235" i="3" s="1"/>
  <c r="BD393" i="3" s="1"/>
  <c r="BD448" i="3" s="1"/>
  <c r="BE121" i="3"/>
  <c r="BF112" i="3"/>
  <c r="BB526" i="3"/>
  <c r="BB471" i="3"/>
  <c r="BI519" i="3"/>
  <c r="BI511" i="3"/>
  <c r="BH496" i="3"/>
  <c r="BF110" i="3"/>
  <c r="BE119" i="3"/>
  <c r="BE113" i="3"/>
  <c r="BG120" i="3"/>
  <c r="BH111" i="3"/>
  <c r="BH492" i="3"/>
  <c r="AV27" i="53"/>
  <c r="AV66" i="53"/>
  <c r="AV67" i="53" s="1"/>
  <c r="BH128" i="3"/>
  <c r="BI92" i="3"/>
  <c r="BI91" i="3" s="1"/>
  <c r="BK127" i="7"/>
  <c r="BK216" i="7"/>
  <c r="BK276" i="7"/>
  <c r="BK195" i="7"/>
  <c r="BK4" i="7"/>
  <c r="BL68" i="7"/>
  <c r="BK161" i="7"/>
  <c r="BK15" i="3"/>
  <c r="BK143" i="7"/>
  <c r="BK173" i="7"/>
  <c r="BK67" i="7"/>
  <c r="BK184" i="7"/>
  <c r="BI257" i="3"/>
  <c r="BI335" i="3" s="1"/>
  <c r="BI179" i="3"/>
  <c r="BI523" i="3"/>
  <c r="BI339" i="3"/>
  <c r="BI418" i="3"/>
  <c r="BH127" i="3"/>
  <c r="BI86" i="3"/>
  <c r="BI85" i="3" s="1"/>
  <c r="BH129" i="3"/>
  <c r="BI98" i="3"/>
  <c r="BI97" i="3" s="1"/>
  <c r="BJ93" i="3"/>
  <c r="BJ94" i="3"/>
  <c r="BK95" i="3" s="1"/>
  <c r="BJ87" i="3"/>
  <c r="BJ100" i="3"/>
  <c r="BK101" i="3" s="1"/>
  <c r="BJ88" i="3"/>
  <c r="BK89" i="3" s="1"/>
  <c r="BJ99" i="3"/>
  <c r="BJ178" i="3"/>
  <c r="BJ262" i="3" s="1"/>
  <c r="BJ354" i="3"/>
  <c r="BJ433" i="3"/>
  <c r="BJ441" i="3"/>
  <c r="BJ362" i="3"/>
  <c r="BJ366" i="3"/>
  <c r="BJ445" i="3"/>
  <c r="BJ173" i="3"/>
  <c r="BJ174" i="3"/>
  <c r="BJ258" i="3" s="1"/>
  <c r="BJ414" i="3" s="1"/>
  <c r="AT30" i="53"/>
  <c r="BG130" i="3"/>
  <c r="BG238" i="3" s="1"/>
  <c r="BE122" i="3" l="1"/>
  <c r="BE235" i="3" s="1"/>
  <c r="BE315" i="3" s="1"/>
  <c r="BE369" i="3" s="1"/>
  <c r="BJ375" i="3"/>
  <c r="BK23" i="3"/>
  <c r="BI297" i="3"/>
  <c r="BJ20" i="3"/>
  <c r="BD315" i="3"/>
  <c r="AR29" i="53" s="1"/>
  <c r="AR32" i="53" s="1"/>
  <c r="AZ20" i="57"/>
  <c r="AZ2" i="57"/>
  <c r="BA9" i="57"/>
  <c r="BJ511" i="3"/>
  <c r="BD292" i="3"/>
  <c r="BJ523" i="3"/>
  <c r="BG112" i="3"/>
  <c r="BF121" i="3"/>
  <c r="BF113" i="3"/>
  <c r="BG110" i="3"/>
  <c r="BF119" i="3"/>
  <c r="BG318" i="3"/>
  <c r="BG396" i="3"/>
  <c r="BJ519" i="3"/>
  <c r="BJ418" i="3"/>
  <c r="BJ339" i="3"/>
  <c r="BI496" i="3"/>
  <c r="BL161" i="7"/>
  <c r="BL173" i="7"/>
  <c r="BL67" i="7"/>
  <c r="BL276" i="7"/>
  <c r="BL143" i="7"/>
  <c r="BM68" i="7"/>
  <c r="BL4" i="7"/>
  <c r="BL15" i="3"/>
  <c r="BL216" i="7"/>
  <c r="BL195" i="7"/>
  <c r="BL184" i="7"/>
  <c r="BL127" i="7"/>
  <c r="BJ257" i="3"/>
  <c r="BJ335" i="3" s="1"/>
  <c r="BJ179" i="3"/>
  <c r="BJ86" i="3"/>
  <c r="BJ85" i="3" s="1"/>
  <c r="BI127" i="3"/>
  <c r="BH130" i="3"/>
  <c r="BH238" i="3" s="1"/>
  <c r="BK100" i="3"/>
  <c r="BL101" i="3" s="1"/>
  <c r="BK93" i="3"/>
  <c r="BK87" i="3"/>
  <c r="BK88" i="3"/>
  <c r="BL89" i="3" s="1"/>
  <c r="BK94" i="3"/>
  <c r="BL95" i="3" s="1"/>
  <c r="BK99" i="3"/>
  <c r="BK178" i="3"/>
  <c r="BK262" i="3" s="1"/>
  <c r="BK433" i="3"/>
  <c r="BK354" i="3"/>
  <c r="BK362" i="3"/>
  <c r="BK366" i="3"/>
  <c r="BK441" i="3"/>
  <c r="BK445" i="3"/>
  <c r="BK174" i="3"/>
  <c r="BK258" i="3" s="1"/>
  <c r="BK414" i="3" s="1"/>
  <c r="BK173" i="3"/>
  <c r="BJ92" i="3"/>
  <c r="BJ91" i="3" s="1"/>
  <c r="BI128" i="3"/>
  <c r="BH120" i="3"/>
  <c r="BI111" i="3"/>
  <c r="BI129" i="3"/>
  <c r="BJ98" i="3"/>
  <c r="BJ97" i="3" s="1"/>
  <c r="AW27" i="53"/>
  <c r="BI492" i="3"/>
  <c r="AW66" i="53"/>
  <c r="AW67" i="53" s="1"/>
  <c r="BD369" i="3" l="1"/>
  <c r="BD526" i="3" s="1"/>
  <c r="AS29" i="53"/>
  <c r="AS32" i="53" s="1"/>
  <c r="BE292" i="3"/>
  <c r="BL23" i="3"/>
  <c r="BK375" i="3"/>
  <c r="BE393" i="3"/>
  <c r="BE448" i="3" s="1"/>
  <c r="BE526" i="3" s="1"/>
  <c r="BJ297" i="3"/>
  <c r="BK20" i="3"/>
  <c r="BD471" i="3"/>
  <c r="BF122" i="3"/>
  <c r="BF235" i="3" s="1"/>
  <c r="BF315" i="3" s="1"/>
  <c r="BB9" i="57"/>
  <c r="BA2" i="57"/>
  <c r="BA20" i="57"/>
  <c r="BK511" i="3"/>
  <c r="BJ496" i="3"/>
  <c r="BG121" i="3"/>
  <c r="BH112" i="3"/>
  <c r="BH110" i="3"/>
  <c r="BG113" i="3"/>
  <c r="BG119" i="3"/>
  <c r="BK519" i="3"/>
  <c r="AX66" i="53"/>
  <c r="AX67" i="53" s="1"/>
  <c r="BJ492" i="3"/>
  <c r="AX27" i="53"/>
  <c r="BM216" i="7"/>
  <c r="BM143" i="7"/>
  <c r="BM4" i="7"/>
  <c r="BM173" i="7"/>
  <c r="BM127" i="7"/>
  <c r="BM184" i="7"/>
  <c r="BM15" i="3"/>
  <c r="BM195" i="7"/>
  <c r="BM161" i="7"/>
  <c r="BM67" i="7"/>
  <c r="BM276" i="7"/>
  <c r="BN68" i="7"/>
  <c r="BJ129" i="3"/>
  <c r="BK98" i="3"/>
  <c r="BK97" i="3" s="1"/>
  <c r="BJ128" i="3"/>
  <c r="BK92" i="3"/>
  <c r="BK91" i="3" s="1"/>
  <c r="BH396" i="3"/>
  <c r="BH318" i="3"/>
  <c r="BI130" i="3"/>
  <c r="BI238" i="3" s="1"/>
  <c r="BJ111" i="3"/>
  <c r="BI120" i="3"/>
  <c r="BK179" i="3"/>
  <c r="BK257" i="3"/>
  <c r="BK335" i="3" s="1"/>
  <c r="BK523" i="3"/>
  <c r="BK418" i="3"/>
  <c r="BK339" i="3"/>
  <c r="BJ127" i="3"/>
  <c r="BK86" i="3"/>
  <c r="BK85" i="3" s="1"/>
  <c r="BL87" i="3"/>
  <c r="BL88" i="3"/>
  <c r="BM89" i="3" s="1"/>
  <c r="BL100" i="3"/>
  <c r="BM101" i="3" s="1"/>
  <c r="BL99" i="3"/>
  <c r="BL93" i="3"/>
  <c r="BL94" i="3"/>
  <c r="BM95" i="3" s="1"/>
  <c r="BL178" i="3"/>
  <c r="BL262" i="3" s="1"/>
  <c r="BL354" i="3"/>
  <c r="BL433" i="3"/>
  <c r="BL441" i="3"/>
  <c r="BL362" i="3"/>
  <c r="BL366" i="3"/>
  <c r="BL445" i="3"/>
  <c r="BL174" i="3"/>
  <c r="BL258" i="3" s="1"/>
  <c r="BL414" i="3" s="1"/>
  <c r="BL173" i="3"/>
  <c r="BG474" i="3"/>
  <c r="AU30" i="53"/>
  <c r="BE471" i="3" l="1"/>
  <c r="BL375" i="3"/>
  <c r="BM23" i="3"/>
  <c r="BK297" i="3"/>
  <c r="BL20" i="3"/>
  <c r="BF292" i="3"/>
  <c r="BF393" i="3"/>
  <c r="BF448" i="3" s="1"/>
  <c r="BB20" i="57"/>
  <c r="BB2" i="57"/>
  <c r="BG122" i="3"/>
  <c r="BG235" i="3" s="1"/>
  <c r="BG393" i="3" s="1"/>
  <c r="BG448" i="3" s="1"/>
  <c r="BL523" i="3"/>
  <c r="BJ130" i="3"/>
  <c r="BJ238" i="3" s="1"/>
  <c r="BJ318" i="3" s="1"/>
  <c r="BH121" i="3"/>
  <c r="BI112" i="3"/>
  <c r="BI110" i="3"/>
  <c r="BH119" i="3"/>
  <c r="BH113" i="3"/>
  <c r="BL511" i="3"/>
  <c r="BK496" i="3"/>
  <c r="BF369" i="3"/>
  <c r="AT29" i="53"/>
  <c r="AT32" i="53" s="1"/>
  <c r="BK128" i="3"/>
  <c r="BL92" i="3"/>
  <c r="BL91" i="3" s="1"/>
  <c r="BM100" i="3"/>
  <c r="BN101" i="3" s="1"/>
  <c r="BM87" i="3"/>
  <c r="BM94" i="3"/>
  <c r="BN95" i="3" s="1"/>
  <c r="BM93" i="3"/>
  <c r="BM99" i="3"/>
  <c r="BM88" i="3"/>
  <c r="BN89" i="3" s="1"/>
  <c r="BM178" i="3"/>
  <c r="BM262" i="3" s="1"/>
  <c r="BM433" i="3"/>
  <c r="BM354" i="3"/>
  <c r="BM366" i="3"/>
  <c r="BM362" i="3"/>
  <c r="BM445" i="3"/>
  <c r="BM441" i="3"/>
  <c r="BM174" i="3"/>
  <c r="BM258" i="3" s="1"/>
  <c r="BM414" i="3" s="1"/>
  <c r="BM173" i="3"/>
  <c r="BK127" i="3"/>
  <c r="BL86" i="3"/>
  <c r="BL85" i="3" s="1"/>
  <c r="BJ120" i="3"/>
  <c r="BK111" i="3"/>
  <c r="BI396" i="3"/>
  <c r="BI318" i="3"/>
  <c r="BK129" i="3"/>
  <c r="BL98" i="3"/>
  <c r="BL97" i="3" s="1"/>
  <c r="BL179" i="3"/>
  <c r="BL257" i="3"/>
  <c r="BL335" i="3" s="1"/>
  <c r="BL519" i="3"/>
  <c r="BL418" i="3"/>
  <c r="BL339" i="3"/>
  <c r="BK492" i="3"/>
  <c r="AY27" i="53"/>
  <c r="AY66" i="53"/>
  <c r="AY67" i="53" s="1"/>
  <c r="BH474" i="3"/>
  <c r="AV30" i="53"/>
  <c r="BN184" i="7"/>
  <c r="BN173" i="7"/>
  <c r="BN127" i="7"/>
  <c r="BN15" i="3"/>
  <c r="BN143" i="7"/>
  <c r="BN195" i="7"/>
  <c r="BN67" i="7"/>
  <c r="BN161" i="7"/>
  <c r="BN276" i="7"/>
  <c r="BO68" i="7"/>
  <c r="BN4" i="7"/>
  <c r="BN216" i="7"/>
  <c r="BN23" i="3" l="1"/>
  <c r="BM375" i="3"/>
  <c r="BL297" i="3"/>
  <c r="BM20" i="3"/>
  <c r="BF471" i="3"/>
  <c r="BF526" i="3"/>
  <c r="BG292" i="3"/>
  <c r="BG315" i="3"/>
  <c r="BG471" i="3" s="1"/>
  <c r="BH122" i="3"/>
  <c r="BH235" i="3" s="1"/>
  <c r="BH315" i="3" s="1"/>
  <c r="BJ396" i="3"/>
  <c r="BJ474" i="3" s="1"/>
  <c r="BJ112" i="3"/>
  <c r="BI121" i="3"/>
  <c r="BI113" i="3"/>
  <c r="BJ110" i="3"/>
  <c r="BI119" i="3"/>
  <c r="BK130" i="3"/>
  <c r="BK238" i="3" s="1"/>
  <c r="BK318" i="3" s="1"/>
  <c r="BM523" i="3"/>
  <c r="BL496" i="3"/>
  <c r="BM511" i="3"/>
  <c r="AX30" i="53"/>
  <c r="AZ66" i="53"/>
  <c r="AZ67" i="53" s="1"/>
  <c r="BL492" i="3"/>
  <c r="AZ27" i="53"/>
  <c r="BN93" i="3"/>
  <c r="BN100" i="3"/>
  <c r="BO101" i="3" s="1"/>
  <c r="BN94" i="3"/>
  <c r="BO95" i="3" s="1"/>
  <c r="BN99" i="3"/>
  <c r="BN88" i="3"/>
  <c r="BO89" i="3" s="1"/>
  <c r="BN87" i="3"/>
  <c r="BN178" i="3"/>
  <c r="BN262" i="3" s="1"/>
  <c r="BN433" i="3"/>
  <c r="BN354" i="3"/>
  <c r="BN445" i="3"/>
  <c r="BN362" i="3"/>
  <c r="BN441" i="3"/>
  <c r="BN366" i="3"/>
  <c r="BN173" i="3"/>
  <c r="BN174" i="3"/>
  <c r="BN258" i="3" s="1"/>
  <c r="BN414" i="3" s="1"/>
  <c r="BL129" i="3"/>
  <c r="BM98" i="3"/>
  <c r="BM97" i="3" s="1"/>
  <c r="BL111" i="3"/>
  <c r="BK120" i="3"/>
  <c r="BO276" i="7"/>
  <c r="BO127" i="7"/>
  <c r="BO216" i="7"/>
  <c r="BO15" i="3"/>
  <c r="BO173" i="7"/>
  <c r="BO143" i="7"/>
  <c r="BO4" i="7"/>
  <c r="BO67" i="7"/>
  <c r="BP68" i="7"/>
  <c r="BO195" i="7"/>
  <c r="BO161" i="7"/>
  <c r="BO184" i="7"/>
  <c r="AW30" i="53"/>
  <c r="BI474" i="3"/>
  <c r="BL127" i="3"/>
  <c r="BM86" i="3"/>
  <c r="BM85" i="3" s="1"/>
  <c r="BM257" i="3"/>
  <c r="BM335" i="3" s="1"/>
  <c r="BM179" i="3"/>
  <c r="BM519" i="3"/>
  <c r="BM339" i="3"/>
  <c r="BM418" i="3"/>
  <c r="BL128" i="3"/>
  <c r="BM92" i="3"/>
  <c r="BM91" i="3" s="1"/>
  <c r="BN375" i="3" l="1"/>
  <c r="BO23" i="3"/>
  <c r="BM297" i="3"/>
  <c r="BN20" i="3"/>
  <c r="BG369" i="3"/>
  <c r="BG526" i="3" s="1"/>
  <c r="AU29" i="53"/>
  <c r="AU32" i="53" s="1"/>
  <c r="BH292" i="3"/>
  <c r="BK396" i="3"/>
  <c r="BK474" i="3" s="1"/>
  <c r="BH393" i="3"/>
  <c r="BH448" i="3" s="1"/>
  <c r="BI122" i="3"/>
  <c r="BI235" i="3" s="1"/>
  <c r="BJ121" i="3"/>
  <c r="BK112" i="3"/>
  <c r="BN523" i="3"/>
  <c r="BN511" i="3"/>
  <c r="BN519" i="3"/>
  <c r="BH369" i="3"/>
  <c r="AV29" i="53"/>
  <c r="AV32" i="53" s="1"/>
  <c r="BK110" i="3"/>
  <c r="BJ119" i="3"/>
  <c r="BJ113" i="3"/>
  <c r="BM496" i="3"/>
  <c r="BM127" i="3"/>
  <c r="BN86" i="3"/>
  <c r="BN85" i="3" s="1"/>
  <c r="BM128" i="3"/>
  <c r="BN92" i="3"/>
  <c r="BN91" i="3" s="1"/>
  <c r="BL130" i="3"/>
  <c r="BL238" i="3" s="1"/>
  <c r="BN418" i="3"/>
  <c r="BN339" i="3"/>
  <c r="AY30" i="53"/>
  <c r="BP216" i="7"/>
  <c r="BP195" i="7"/>
  <c r="BP143" i="7"/>
  <c r="BP161" i="7"/>
  <c r="BP127" i="7"/>
  <c r="BP67" i="7"/>
  <c r="BP276" i="7"/>
  <c r="BP184" i="7"/>
  <c r="BP173" i="7"/>
  <c r="BP15" i="3"/>
  <c r="BP4" i="7"/>
  <c r="BM111" i="3"/>
  <c r="BL120" i="3"/>
  <c r="BN179" i="3"/>
  <c r="BN257" i="3"/>
  <c r="BN335" i="3" s="1"/>
  <c r="BM492" i="3"/>
  <c r="BA27" i="53"/>
  <c r="BA66" i="53"/>
  <c r="BA67" i="53" s="1"/>
  <c r="BO94" i="3"/>
  <c r="BP95" i="3" s="1"/>
  <c r="BO87" i="3"/>
  <c r="BO93" i="3"/>
  <c r="BO100" i="3"/>
  <c r="BP101" i="3" s="1"/>
  <c r="BO99" i="3"/>
  <c r="BO88" i="3"/>
  <c r="BP89" i="3" s="1"/>
  <c r="BO178" i="3"/>
  <c r="BO262" i="3" s="1"/>
  <c r="BO433" i="3"/>
  <c r="BO354" i="3"/>
  <c r="BO366" i="3"/>
  <c r="BO445" i="3"/>
  <c r="BO441" i="3"/>
  <c r="BO362" i="3"/>
  <c r="BO519" i="3" s="1"/>
  <c r="BO173" i="3"/>
  <c r="BO174" i="3"/>
  <c r="BO258" i="3" s="1"/>
  <c r="BO414" i="3" s="1"/>
  <c r="BM129" i="3"/>
  <c r="BN98" i="3"/>
  <c r="BN97" i="3" s="1"/>
  <c r="BJ122" i="3" l="1"/>
  <c r="BJ235" i="3" s="1"/>
  <c r="BJ393" i="3" s="1"/>
  <c r="BJ448" i="3" s="1"/>
  <c r="BP23" i="3"/>
  <c r="BP375" i="3" s="1"/>
  <c r="BO375" i="3"/>
  <c r="BN297" i="3"/>
  <c r="BO20" i="3"/>
  <c r="BO523" i="3"/>
  <c r="BH526" i="3"/>
  <c r="BH471" i="3"/>
  <c r="BK121" i="3"/>
  <c r="BL112" i="3"/>
  <c r="BI315" i="3"/>
  <c r="BI393" i="3"/>
  <c r="BI448" i="3" s="1"/>
  <c r="BI292" i="3"/>
  <c r="BL110" i="3"/>
  <c r="BK119" i="3"/>
  <c r="BK113" i="3"/>
  <c r="BO511" i="3"/>
  <c r="BP87" i="3"/>
  <c r="BP88" i="3"/>
  <c r="BP100" i="3"/>
  <c r="BP99" i="3"/>
  <c r="BP94" i="3"/>
  <c r="BP93" i="3"/>
  <c r="BP178" i="3"/>
  <c r="BP433" i="3"/>
  <c r="BP354" i="3"/>
  <c r="BP366" i="3"/>
  <c r="BP441" i="3"/>
  <c r="BP445" i="3"/>
  <c r="BP362" i="3"/>
  <c r="BP174" i="3"/>
  <c r="BP173" i="3"/>
  <c r="AI8" i="53"/>
  <c r="AC8" i="53"/>
  <c r="AU8" i="53"/>
  <c r="AL8" i="53"/>
  <c r="X8" i="53"/>
  <c r="AF8" i="53"/>
  <c r="AP8" i="53"/>
  <c r="AT8" i="53"/>
  <c r="Y8" i="53"/>
  <c r="AV8" i="53"/>
  <c r="AX8" i="53"/>
  <c r="AR8" i="53"/>
  <c r="AW8" i="53"/>
  <c r="AD8" i="53"/>
  <c r="AH8" i="53"/>
  <c r="AE8" i="53"/>
  <c r="AQ8" i="53"/>
  <c r="U8" i="53"/>
  <c r="BB8" i="53"/>
  <c r="AA8" i="53"/>
  <c r="W8" i="53"/>
  <c r="AK8" i="53"/>
  <c r="AS8" i="53"/>
  <c r="AZ8" i="53"/>
  <c r="AJ8" i="53"/>
  <c r="S8" i="53"/>
  <c r="V8" i="53"/>
  <c r="R8" i="53"/>
  <c r="AB8" i="53"/>
  <c r="T8" i="53"/>
  <c r="AY8" i="53"/>
  <c r="Z8" i="53"/>
  <c r="AG8" i="53"/>
  <c r="AN8" i="53"/>
  <c r="AO8" i="53"/>
  <c r="AM8" i="53"/>
  <c r="BC8" i="53"/>
  <c r="BA8" i="53"/>
  <c r="BN496" i="3"/>
  <c r="BO339" i="3"/>
  <c r="BO418" i="3"/>
  <c r="BL318" i="3"/>
  <c r="BL396" i="3"/>
  <c r="BN127" i="3"/>
  <c r="BO86" i="3"/>
  <c r="BO85" i="3" s="1"/>
  <c r="BN129" i="3"/>
  <c r="BO98" i="3"/>
  <c r="BO97" i="3" s="1"/>
  <c r="BN492" i="3"/>
  <c r="BB27" i="53"/>
  <c r="BB66" i="53"/>
  <c r="BB67" i="53" s="1"/>
  <c r="BO257" i="3"/>
  <c r="BO335" i="3" s="1"/>
  <c r="BO179" i="3"/>
  <c r="BN111" i="3"/>
  <c r="BM120" i="3"/>
  <c r="BO92" i="3"/>
  <c r="BO91" i="3" s="1"/>
  <c r="BN128" i="3"/>
  <c r="BM130" i="3"/>
  <c r="BM238" i="3" s="1"/>
  <c r="BJ292" i="3" l="1"/>
  <c r="BJ315" i="3"/>
  <c r="BJ369" i="3" s="1"/>
  <c r="BJ526" i="3" s="1"/>
  <c r="K426" i="3"/>
  <c r="AN136" i="4" s="1"/>
  <c r="AW136" i="4" s="1"/>
  <c r="K427" i="3"/>
  <c r="AN137" i="4" s="1"/>
  <c r="AW137" i="4" s="1"/>
  <c r="K435" i="3"/>
  <c r="K432" i="3"/>
  <c r="K421" i="3"/>
  <c r="AN131" i="4" s="1"/>
  <c r="AW131" i="4" s="1"/>
  <c r="K430" i="3"/>
  <c r="K442" i="3"/>
  <c r="K436" i="3"/>
  <c r="K428" i="3"/>
  <c r="AN138" i="4" s="1"/>
  <c r="AW138" i="4" s="1"/>
  <c r="K405" i="3"/>
  <c r="AN129" i="4" s="1"/>
  <c r="K412" i="3"/>
  <c r="AN125" i="4" s="1"/>
  <c r="AN247" i="4" s="1"/>
  <c r="O56" i="4" s="1"/>
  <c r="K386" i="3"/>
  <c r="K390" i="3"/>
  <c r="AN121" i="4" s="1"/>
  <c r="K413" i="3"/>
  <c r="K440" i="3"/>
  <c r="K425" i="3"/>
  <c r="AN135" i="4" s="1"/>
  <c r="AW135" i="4" s="1"/>
  <c r="K424" i="3"/>
  <c r="AN134" i="4" s="1"/>
  <c r="AW134" i="4" s="1"/>
  <c r="K402" i="3"/>
  <c r="K444" i="3"/>
  <c r="K446" i="3"/>
  <c r="K438" i="3"/>
  <c r="K422" i="3"/>
  <c r="AN132" i="4" s="1"/>
  <c r="AW132" i="4" s="1"/>
  <c r="K423" i="3"/>
  <c r="AN133" i="4" s="1"/>
  <c r="AW133" i="4" s="1"/>
  <c r="K385" i="3"/>
  <c r="K434" i="3"/>
  <c r="K381" i="3"/>
  <c r="K406" i="3"/>
  <c r="K380" i="3"/>
  <c r="K387" i="3"/>
  <c r="AN120" i="4" s="1"/>
  <c r="K382" i="3"/>
  <c r="AN119" i="4" s="1"/>
  <c r="K417" i="3"/>
  <c r="K416" i="3"/>
  <c r="BO297" i="3"/>
  <c r="BP20" i="3"/>
  <c r="BK122" i="3"/>
  <c r="BK235" i="3" s="1"/>
  <c r="BK393" i="3" s="1"/>
  <c r="BK448" i="3" s="1"/>
  <c r="BO496" i="3"/>
  <c r="BI471" i="3"/>
  <c r="AW29" i="53"/>
  <c r="AW32" i="53" s="1"/>
  <c r="BI369" i="3"/>
  <c r="BI526" i="3" s="1"/>
  <c r="BL121" i="3"/>
  <c r="BM112" i="3"/>
  <c r="BM110" i="3"/>
  <c r="BL119" i="3"/>
  <c r="BL113" i="3"/>
  <c r="BP92" i="3"/>
  <c r="BP91" i="3" s="1"/>
  <c r="BO128" i="3"/>
  <c r="BC27" i="53"/>
  <c r="BC66" i="53"/>
  <c r="BC67" i="53" s="1"/>
  <c r="BO492" i="3"/>
  <c r="BP257" i="3"/>
  <c r="BP179" i="3"/>
  <c r="L179" i="3" s="1"/>
  <c r="L173" i="3"/>
  <c r="K441" i="3"/>
  <c r="L441" i="3"/>
  <c r="BP262" i="3"/>
  <c r="L178" i="3"/>
  <c r="BO127" i="3"/>
  <c r="BP86" i="3"/>
  <c r="BP85" i="3" s="1"/>
  <c r="BL474" i="3"/>
  <c r="AZ30" i="53"/>
  <c r="BP258" i="3"/>
  <c r="L174" i="3"/>
  <c r="BP523" i="3"/>
  <c r="L366" i="3"/>
  <c r="BN120" i="3"/>
  <c r="BO111" i="3"/>
  <c r="BN130" i="3"/>
  <c r="BN238" i="3" s="1"/>
  <c r="BP519" i="3"/>
  <c r="L362" i="3"/>
  <c r="BP511" i="3"/>
  <c r="L354" i="3"/>
  <c r="BM318" i="3"/>
  <c r="BM396" i="3"/>
  <c r="BO129" i="3"/>
  <c r="BP98" i="3"/>
  <c r="BP97" i="3" s="1"/>
  <c r="K445" i="3"/>
  <c r="L445" i="3"/>
  <c r="L433" i="3"/>
  <c r="K433" i="3"/>
  <c r="AX29" i="53" l="1"/>
  <c r="AX32" i="53" s="1"/>
  <c r="BJ471" i="3"/>
  <c r="AN127" i="4"/>
  <c r="AW129" i="4"/>
  <c r="AN249" i="4"/>
  <c r="AN140" i="4"/>
  <c r="AW140" i="4" s="1"/>
  <c r="AO119" i="4"/>
  <c r="AO120" i="4" s="1"/>
  <c r="AQ120" i="4" s="1"/>
  <c r="AW119" i="4"/>
  <c r="AW120" i="4"/>
  <c r="AU120" i="4"/>
  <c r="AS120" i="4" s="1"/>
  <c r="AR120" i="4"/>
  <c r="AT120" i="4" s="1"/>
  <c r="K491" i="3"/>
  <c r="AN142" i="4"/>
  <c r="AW142" i="4" s="1"/>
  <c r="AN244" i="4"/>
  <c r="AW244" i="4" s="1"/>
  <c r="AW121" i="4"/>
  <c r="BP297" i="3"/>
  <c r="K59" i="3"/>
  <c r="K40" i="3"/>
  <c r="K74" i="3"/>
  <c r="K58" i="3"/>
  <c r="K39" i="3"/>
  <c r="BD8" i="53"/>
  <c r="BK292" i="3"/>
  <c r="BK315" i="3"/>
  <c r="L511" i="3"/>
  <c r="BL122" i="3"/>
  <c r="BL235" i="3" s="1"/>
  <c r="BN112" i="3"/>
  <c r="BM121" i="3"/>
  <c r="L519" i="3"/>
  <c r="L523" i="3"/>
  <c r="BM119" i="3"/>
  <c r="BM113" i="3"/>
  <c r="BN110" i="3"/>
  <c r="AN139" i="4"/>
  <c r="M22" i="4"/>
  <c r="BP414" i="3"/>
  <c r="L258" i="3"/>
  <c r="BA30" i="53"/>
  <c r="BM474" i="3"/>
  <c r="BP339" i="3"/>
  <c r="BP418" i="3"/>
  <c r="L262" i="3"/>
  <c r="BO130" i="3"/>
  <c r="BO238" i="3" s="1"/>
  <c r="AN141" i="4"/>
  <c r="BP129" i="3"/>
  <c r="L129" i="3" s="1"/>
  <c r="L97" i="3"/>
  <c r="BN396" i="3"/>
  <c r="BN318" i="3"/>
  <c r="BO120" i="3"/>
  <c r="BP111" i="3"/>
  <c r="BP120" i="3" s="1"/>
  <c r="L120" i="3" s="1"/>
  <c r="BP127" i="3"/>
  <c r="L85" i="3"/>
  <c r="BP335" i="3"/>
  <c r="L257" i="3"/>
  <c r="BP128" i="3"/>
  <c r="L128" i="3" s="1"/>
  <c r="L91" i="3"/>
  <c r="AR119" i="4" l="1"/>
  <c r="AU119" i="4"/>
  <c r="AO121" i="4"/>
  <c r="AV120" i="4"/>
  <c r="N56" i="4"/>
  <c r="AW249" i="4"/>
  <c r="K357" i="3"/>
  <c r="K514" i="3" s="1"/>
  <c r="K365" i="3"/>
  <c r="K522" i="3" s="1"/>
  <c r="K348" i="3"/>
  <c r="K363" i="3"/>
  <c r="K520" i="3" s="1"/>
  <c r="K356" i="3"/>
  <c r="K513" i="3" s="1"/>
  <c r="K347" i="3"/>
  <c r="K349" i="3"/>
  <c r="K487" i="3"/>
  <c r="K367" i="3"/>
  <c r="K351" i="3"/>
  <c r="K342" i="3"/>
  <c r="K359" i="3"/>
  <c r="K304" i="3"/>
  <c r="K324" i="3"/>
  <c r="K480" i="3" s="1"/>
  <c r="K343" i="3"/>
  <c r="K344" i="3"/>
  <c r="K331" i="3"/>
  <c r="K346" i="3"/>
  <c r="K361" i="3"/>
  <c r="K518" i="3" s="1"/>
  <c r="K334" i="3"/>
  <c r="K308" i="3"/>
  <c r="K464" i="3" s="1"/>
  <c r="K345" i="3"/>
  <c r="K409" i="3"/>
  <c r="AN122" i="4" s="1"/>
  <c r="K353" i="3"/>
  <c r="K510" i="3" s="1"/>
  <c r="K355" i="3"/>
  <c r="K512" i="3" s="1"/>
  <c r="K302" i="3"/>
  <c r="K327" i="3"/>
  <c r="K303" i="3"/>
  <c r="K328" i="3"/>
  <c r="K484" i="3" s="1"/>
  <c r="K309" i="3"/>
  <c r="K312" i="3"/>
  <c r="K307" i="3"/>
  <c r="K337" i="3"/>
  <c r="K338" i="3"/>
  <c r="K495" i="3" s="1"/>
  <c r="K362" i="3"/>
  <c r="K519" i="3" s="1"/>
  <c r="K354" i="3"/>
  <c r="K511" i="3" s="1"/>
  <c r="K366" i="3"/>
  <c r="BK369" i="3"/>
  <c r="BK526" i="3" s="1"/>
  <c r="BK471" i="3"/>
  <c r="AY29" i="53"/>
  <c r="AY32" i="53" s="1"/>
  <c r="BM122" i="3"/>
  <c r="BM235" i="3" s="1"/>
  <c r="BM315" i="3" s="1"/>
  <c r="BN121" i="3"/>
  <c r="BO112" i="3"/>
  <c r="BL292" i="3"/>
  <c r="BL393" i="3"/>
  <c r="BL448" i="3" s="1"/>
  <c r="BL315" i="3"/>
  <c r="BN119" i="3"/>
  <c r="BO110" i="3"/>
  <c r="BN113" i="3"/>
  <c r="BP130" i="3"/>
  <c r="L127" i="3"/>
  <c r="BB30" i="53"/>
  <c r="BN474" i="3"/>
  <c r="AW141" i="4"/>
  <c r="AW139" i="4"/>
  <c r="AN251" i="4"/>
  <c r="L418" i="3"/>
  <c r="K418" i="3"/>
  <c r="AN128" i="4" s="1"/>
  <c r="BP492" i="3"/>
  <c r="BD27" i="53"/>
  <c r="BD66" i="53"/>
  <c r="BD67" i="53" s="1"/>
  <c r="L335" i="3"/>
  <c r="K335" i="3"/>
  <c r="BO318" i="3"/>
  <c r="BO396" i="3"/>
  <c r="BP496" i="3"/>
  <c r="L339" i="3"/>
  <c r="K339" i="3"/>
  <c r="L414" i="3"/>
  <c r="K414" i="3"/>
  <c r="AN126" i="4" s="1"/>
  <c r="AH7" i="4"/>
  <c r="AV119" i="4" l="1"/>
  <c r="AQ121" i="4"/>
  <c r="AR121" i="4"/>
  <c r="AT121" i="4" s="1"/>
  <c r="AU121" i="4"/>
  <c r="AS121" i="4" s="1"/>
  <c r="K516" i="3"/>
  <c r="AN100" i="4"/>
  <c r="AN94" i="4"/>
  <c r="K502" i="3"/>
  <c r="K508" i="3"/>
  <c r="AN99" i="4"/>
  <c r="K494" i="3"/>
  <c r="AN87" i="4"/>
  <c r="K524" i="3"/>
  <c r="AN102" i="4"/>
  <c r="AN245" i="4"/>
  <c r="K56" i="4" s="1"/>
  <c r="AO122" i="4"/>
  <c r="AN81" i="4"/>
  <c r="K468" i="3"/>
  <c r="AN98" i="4"/>
  <c r="K506" i="3"/>
  <c r="AN101" i="4"/>
  <c r="K523" i="3"/>
  <c r="K490" i="3"/>
  <c r="AN85" i="4"/>
  <c r="AN80" i="4"/>
  <c r="K465" i="3"/>
  <c r="T22" i="4"/>
  <c r="K503" i="3"/>
  <c r="AN95" i="4"/>
  <c r="AN96" i="4"/>
  <c r="K504" i="3"/>
  <c r="AN91" i="4"/>
  <c r="K499" i="3"/>
  <c r="P22" i="4"/>
  <c r="U22" i="4"/>
  <c r="AN82" i="4"/>
  <c r="S22" i="4"/>
  <c r="AN79" i="4"/>
  <c r="K460" i="3"/>
  <c r="L60" i="4"/>
  <c r="K463" i="3"/>
  <c r="K459" i="3"/>
  <c r="K60" i="4"/>
  <c r="AN93" i="4"/>
  <c r="K501" i="3"/>
  <c r="K483" i="3"/>
  <c r="AN89" i="4"/>
  <c r="AN92" i="4"/>
  <c r="K500" i="3"/>
  <c r="K505" i="3"/>
  <c r="AN97" i="4"/>
  <c r="J60" i="4"/>
  <c r="K458" i="3"/>
  <c r="L496" i="3"/>
  <c r="BN122" i="3"/>
  <c r="BN235" i="3" s="1"/>
  <c r="BN393" i="3" s="1"/>
  <c r="BN448" i="3" s="1"/>
  <c r="BM393" i="3"/>
  <c r="BM448" i="3" s="1"/>
  <c r="BM292" i="3"/>
  <c r="BP112" i="3"/>
  <c r="BP121" i="3" s="1"/>
  <c r="BO121" i="3"/>
  <c r="BL471" i="3"/>
  <c r="AZ29" i="53"/>
  <c r="AZ32" i="53" s="1"/>
  <c r="BL369" i="3"/>
  <c r="BL526" i="3" s="1"/>
  <c r="BA29" i="53"/>
  <c r="BA32" i="53" s="1"/>
  <c r="BM369" i="3"/>
  <c r="BO113" i="3"/>
  <c r="BO119" i="3"/>
  <c r="BO122" i="3" s="1"/>
  <c r="BO235" i="3" s="1"/>
  <c r="BP110" i="3"/>
  <c r="AN86" i="4"/>
  <c r="K492" i="3"/>
  <c r="AN88" i="4"/>
  <c r="K496" i="3"/>
  <c r="BC30" i="53"/>
  <c r="BO474" i="3"/>
  <c r="L492" i="3"/>
  <c r="AN248" i="4"/>
  <c r="AW128" i="4"/>
  <c r="M56" i="4"/>
  <c r="AW251" i="4"/>
  <c r="AW126" i="4"/>
  <c r="AN246" i="4"/>
  <c r="BP238" i="3"/>
  <c r="L130" i="3"/>
  <c r="AV121" i="4" l="1"/>
  <c r="AN163" i="4"/>
  <c r="AN213" i="4"/>
  <c r="AW213" i="4" s="1"/>
  <c r="AW85" i="4"/>
  <c r="AO123" i="4"/>
  <c r="AQ122" i="4"/>
  <c r="AN215" i="4"/>
  <c r="AN167" i="4"/>
  <c r="AW89" i="4"/>
  <c r="AN211" i="4"/>
  <c r="N60" i="4" s="1"/>
  <c r="AN160" i="4"/>
  <c r="AW102" i="4"/>
  <c r="AN180" i="4"/>
  <c r="AW180" i="4" s="1"/>
  <c r="AW101" i="4"/>
  <c r="AN179" i="4"/>
  <c r="AW179" i="4" s="1"/>
  <c r="AW91" i="4"/>
  <c r="AN169" i="4"/>
  <c r="AW169" i="4" s="1"/>
  <c r="AN165" i="4"/>
  <c r="AN171" i="4"/>
  <c r="AW171" i="4" s="1"/>
  <c r="AW93" i="4"/>
  <c r="AW98" i="4"/>
  <c r="AN176" i="4"/>
  <c r="AW176" i="4" s="1"/>
  <c r="AW92" i="4"/>
  <c r="AN170" i="4"/>
  <c r="AW170" i="4" s="1"/>
  <c r="AN177" i="4"/>
  <c r="AW177" i="4" s="1"/>
  <c r="AW99" i="4"/>
  <c r="AN210" i="4"/>
  <c r="AN159" i="4"/>
  <c r="AW81" i="4"/>
  <c r="AN174" i="4"/>
  <c r="AW174" i="4" s="1"/>
  <c r="AW96" i="4"/>
  <c r="AW95" i="4"/>
  <c r="AN173" i="4"/>
  <c r="AW173" i="4" s="1"/>
  <c r="AN172" i="4"/>
  <c r="AW172" i="4" s="1"/>
  <c r="AW94" i="4"/>
  <c r="AN157" i="4"/>
  <c r="AN208" i="4"/>
  <c r="AO79" i="4"/>
  <c r="AR79" i="4" s="1"/>
  <c r="AR122" i="4"/>
  <c r="AT122" i="4" s="1"/>
  <c r="AW100" i="4"/>
  <c r="AN178" i="4"/>
  <c r="AW178" i="4" s="1"/>
  <c r="AW97" i="4"/>
  <c r="AN175" i="4"/>
  <c r="AN217" i="4"/>
  <c r="R22" i="4"/>
  <c r="AN158" i="4"/>
  <c r="AW80" i="4"/>
  <c r="AU122" i="4"/>
  <c r="AS122" i="4" s="1"/>
  <c r="BM471" i="3"/>
  <c r="L121" i="3"/>
  <c r="BN315" i="3"/>
  <c r="BN369" i="3" s="1"/>
  <c r="BN526" i="3" s="1"/>
  <c r="BN292" i="3"/>
  <c r="BM526" i="3"/>
  <c r="BP119" i="3"/>
  <c r="BP113" i="3"/>
  <c r="BP139" i="3" s="1"/>
  <c r="BO393" i="3"/>
  <c r="BO448" i="3" s="1"/>
  <c r="BO292" i="3"/>
  <c r="BO315" i="3"/>
  <c r="AW246" i="4"/>
  <c r="P56" i="4"/>
  <c r="L56" i="4"/>
  <c r="BP318" i="3"/>
  <c r="BP396" i="3"/>
  <c r="L238" i="3"/>
  <c r="AN166" i="4"/>
  <c r="AN214" i="4"/>
  <c r="AW88" i="4"/>
  <c r="AN212" i="4"/>
  <c r="AN164" i="4"/>
  <c r="AW122" i="4" l="1"/>
  <c r="AO80" i="4"/>
  <c r="AQ80" i="4" s="1"/>
  <c r="AU79" i="4"/>
  <c r="AO208" i="4"/>
  <c r="AU208" i="4" s="1"/>
  <c r="AN286" i="4"/>
  <c r="AW158" i="4"/>
  <c r="AO157" i="4"/>
  <c r="AO158" i="4" s="1"/>
  <c r="AN282" i="4"/>
  <c r="AN285" i="4"/>
  <c r="AW285" i="4" s="1"/>
  <c r="AW159" i="4"/>
  <c r="AW217" i="4"/>
  <c r="Q60" i="4"/>
  <c r="AW210" i="4"/>
  <c r="M60" i="4"/>
  <c r="AW167" i="4"/>
  <c r="AN290" i="4"/>
  <c r="AW290" i="4" s="1"/>
  <c r="AW215" i="4"/>
  <c r="P60" i="4"/>
  <c r="AV122" i="4"/>
  <c r="AM337" i="4"/>
  <c r="AT337" i="4"/>
  <c r="BX337" i="4"/>
  <c r="AK337" i="4"/>
  <c r="BR337" i="4"/>
  <c r="CB337" i="4"/>
  <c r="BW337" i="4"/>
  <c r="AH337" i="4"/>
  <c r="AU337" i="4"/>
  <c r="BF337" i="4"/>
  <c r="BK337" i="4"/>
  <c r="BV337" i="4"/>
  <c r="BE337" i="4"/>
  <c r="BY337" i="4"/>
  <c r="AI337" i="4"/>
  <c r="AZ337" i="4"/>
  <c r="AL337" i="4"/>
  <c r="BO337" i="4"/>
  <c r="BG337" i="4"/>
  <c r="BT337" i="4"/>
  <c r="BB337" i="4"/>
  <c r="BC337" i="4"/>
  <c r="AV337" i="4"/>
  <c r="CC337" i="4"/>
  <c r="BQ337" i="4"/>
  <c r="BL337" i="4"/>
  <c r="BH337" i="4"/>
  <c r="AW337" i="4"/>
  <c r="AQ337" i="4"/>
  <c r="BD337" i="4"/>
  <c r="AG337" i="4"/>
  <c r="BA337" i="4"/>
  <c r="CD337" i="4"/>
  <c r="AR337" i="4"/>
  <c r="BM337" i="4"/>
  <c r="AX337" i="4"/>
  <c r="BI337" i="4"/>
  <c r="AY337" i="4"/>
  <c r="CA337" i="4"/>
  <c r="AP337" i="4"/>
  <c r="BJ337" i="4"/>
  <c r="BN337" i="4"/>
  <c r="BZ337" i="4"/>
  <c r="AS337" i="4"/>
  <c r="BS337" i="4"/>
  <c r="AN337" i="4"/>
  <c r="AO337" i="4"/>
  <c r="CE337" i="4"/>
  <c r="BU337" i="4"/>
  <c r="AJ337" i="4"/>
  <c r="BP337" i="4"/>
  <c r="AU123" i="4"/>
  <c r="AS123" i="4" s="1"/>
  <c r="AR123" i="4"/>
  <c r="AT123" i="4" s="1"/>
  <c r="AQ123" i="4"/>
  <c r="AW175" i="4"/>
  <c r="AN292" i="4"/>
  <c r="AN288" i="4"/>
  <c r="BB29" i="53"/>
  <c r="BB32" i="53" s="1"/>
  <c r="BN471" i="3"/>
  <c r="L139" i="3"/>
  <c r="BP241" i="3"/>
  <c r="BO471" i="3"/>
  <c r="BO369" i="3"/>
  <c r="BO526" i="3" s="1"/>
  <c r="BC29" i="53"/>
  <c r="BC32" i="53" s="1"/>
  <c r="BP122" i="3"/>
  <c r="L119" i="3"/>
  <c r="O60" i="4"/>
  <c r="K396" i="3"/>
  <c r="L396" i="3"/>
  <c r="AW166" i="4"/>
  <c r="AN289" i="4"/>
  <c r="BD30" i="53"/>
  <c r="BP474" i="3"/>
  <c r="L318" i="3"/>
  <c r="K318" i="3"/>
  <c r="AN287" i="4"/>
  <c r="AR208" i="4" l="1"/>
  <c r="AW208" i="4" s="1"/>
  <c r="AV208" i="4"/>
  <c r="AU157" i="4"/>
  <c r="AW292" i="4"/>
  <c r="R60" i="4"/>
  <c r="AU80" i="4"/>
  <c r="AS80" i="4" s="1"/>
  <c r="AR80" i="4"/>
  <c r="AT80" i="4" s="1"/>
  <c r="AO81" i="4"/>
  <c r="AR81" i="4" s="1"/>
  <c r="AT81" i="4" s="1"/>
  <c r="AW79" i="4"/>
  <c r="AV79" i="4"/>
  <c r="AR157" i="4"/>
  <c r="AQ158" i="4"/>
  <c r="AO159" i="4"/>
  <c r="AR158" i="4"/>
  <c r="AT158" i="4" s="1"/>
  <c r="AU158" i="4"/>
  <c r="AS158" i="4" s="1"/>
  <c r="AV123" i="4"/>
  <c r="AO282" i="4"/>
  <c r="AR282" i="4" s="1"/>
  <c r="E34" i="53"/>
  <c r="K474" i="3"/>
  <c r="BP235" i="3"/>
  <c r="L122" i="3"/>
  <c r="BP321" i="3"/>
  <c r="BP399" i="3"/>
  <c r="L241" i="3"/>
  <c r="L474" i="3"/>
  <c r="AV80" i="4" l="1"/>
  <c r="AU282" i="4"/>
  <c r="AV282" i="4" s="1"/>
  <c r="AQ81" i="4"/>
  <c r="AO82" i="4"/>
  <c r="AU82" i="4" s="1"/>
  <c r="AS82" i="4" s="1"/>
  <c r="AU81" i="4"/>
  <c r="AS81" i="4" s="1"/>
  <c r="AW157" i="4"/>
  <c r="AV157" i="4"/>
  <c r="AQ159" i="4"/>
  <c r="AU159" i="4"/>
  <c r="AS159" i="4" s="1"/>
  <c r="AR159" i="4"/>
  <c r="AT159" i="4" s="1"/>
  <c r="AO160" i="4"/>
  <c r="AV158" i="4"/>
  <c r="K399" i="3"/>
  <c r="L399" i="3"/>
  <c r="BP477" i="3"/>
  <c r="K321" i="3"/>
  <c r="L321" i="3"/>
  <c r="BD31" i="53"/>
  <c r="BP292" i="3"/>
  <c r="L292" i="3" s="1"/>
  <c r="L235" i="3"/>
  <c r="BP315" i="3"/>
  <c r="BP393" i="3"/>
  <c r="AW282" i="4" l="1"/>
  <c r="AV81" i="4"/>
  <c r="AR82" i="4"/>
  <c r="AT82" i="4" s="1"/>
  <c r="AQ82" i="4"/>
  <c r="L477" i="3"/>
  <c r="AV159" i="4"/>
  <c r="AQ160" i="4"/>
  <c r="AR160" i="4"/>
  <c r="AT160" i="4" s="1"/>
  <c r="AU160" i="4"/>
  <c r="AS160" i="4" s="1"/>
  <c r="K477" i="3"/>
  <c r="K393" i="3"/>
  <c r="BP448" i="3"/>
  <c r="L393" i="3"/>
  <c r="L449" i="3" s="1"/>
  <c r="BP369" i="3"/>
  <c r="L315" i="3"/>
  <c r="BP471" i="3"/>
  <c r="K315" i="3"/>
  <c r="BD29" i="53"/>
  <c r="BD32" i="53" s="1"/>
  <c r="AV82" i="4" l="1"/>
  <c r="AW160" i="4"/>
  <c r="AW82" i="4"/>
  <c r="AV160" i="4"/>
  <c r="K370" i="3"/>
  <c r="K471" i="3"/>
  <c r="K526" i="3" s="1"/>
  <c r="AN83" i="4"/>
  <c r="L448" i="3"/>
  <c r="K448" i="3"/>
  <c r="F15" i="3"/>
  <c r="E22" i="4" s="1"/>
  <c r="F65" i="57" s="1"/>
  <c r="BP526" i="3"/>
  <c r="L471" i="3"/>
  <c r="L526" i="3" s="1"/>
  <c r="L370" i="3"/>
  <c r="AN124" i="4"/>
  <c r="K449" i="3"/>
  <c r="K369" i="3"/>
  <c r="G15" i="3"/>
  <c r="F22" i="4" s="1"/>
  <c r="G65" i="57" s="1"/>
  <c r="L369" i="3"/>
  <c r="E15" i="3" l="1"/>
  <c r="D22" i="4" s="1"/>
  <c r="E65" i="57" s="1"/>
  <c r="O22" i="4"/>
  <c r="T60" i="4"/>
  <c r="L527" i="3"/>
  <c r="AN161" i="4"/>
  <c r="AO83" i="4"/>
  <c r="AN209" i="4"/>
  <c r="AN243" i="4"/>
  <c r="AN162" i="4"/>
  <c r="AO124" i="4"/>
  <c r="AU124" i="4" s="1"/>
  <c r="AS124" i="4" s="1"/>
  <c r="L22" i="4"/>
  <c r="K527" i="3"/>
  <c r="AO243" i="4" l="1"/>
  <c r="AR243" i="4" s="1"/>
  <c r="J56" i="4"/>
  <c r="R56" i="4" s="1"/>
  <c r="T56" i="4" s="1"/>
  <c r="AN252" i="4"/>
  <c r="AN218" i="4"/>
  <c r="AO209" i="4"/>
  <c r="J22" i="4"/>
  <c r="J65" i="57"/>
  <c r="N22" i="4"/>
  <c r="AQ83" i="4"/>
  <c r="AO84" i="4"/>
  <c r="AR124" i="4"/>
  <c r="AT124" i="4" s="1"/>
  <c r="AO125" i="4"/>
  <c r="AQ124" i="4"/>
  <c r="AO161" i="4"/>
  <c r="AQ161" i="4" s="1"/>
  <c r="AN283" i="4"/>
  <c r="AN181" i="4"/>
  <c r="AN284" i="4"/>
  <c r="AR83" i="4"/>
  <c r="AT83" i="4" s="1"/>
  <c r="AU83" i="4"/>
  <c r="AS83" i="4" s="1"/>
  <c r="Q22" i="4"/>
  <c r="E35" i="53" s="1"/>
  <c r="K65" i="57"/>
  <c r="AN293" i="4" l="1"/>
  <c r="AW124" i="4"/>
  <c r="AR161" i="4"/>
  <c r="AT161" i="4" s="1"/>
  <c r="AW83" i="4"/>
  <c r="AO162" i="4"/>
  <c r="AQ162" i="4" s="1"/>
  <c r="AU161" i="4"/>
  <c r="AS161" i="4" s="1"/>
  <c r="AV124" i="4"/>
  <c r="AP181" i="4"/>
  <c r="AO181" i="4"/>
  <c r="AN183" i="4"/>
  <c r="AO210" i="4"/>
  <c r="AQ209" i="4"/>
  <c r="AN254" i="4"/>
  <c r="AP252" i="4"/>
  <c r="AO252" i="4"/>
  <c r="AO283" i="4"/>
  <c r="AR84" i="4"/>
  <c r="AT84" i="4" s="1"/>
  <c r="AQ84" i="4"/>
  <c r="AU84" i="4"/>
  <c r="AS84" i="4" s="1"/>
  <c r="AO85" i="4"/>
  <c r="I65" i="57"/>
  <c r="H22" i="4"/>
  <c r="AN220" i="4"/>
  <c r="AO218" i="4"/>
  <c r="AP218" i="4"/>
  <c r="AR125" i="4"/>
  <c r="AT125" i="4" s="1"/>
  <c r="AQ125" i="4"/>
  <c r="AO126" i="4"/>
  <c r="AU125" i="4"/>
  <c r="AS125" i="4" s="1"/>
  <c r="AV83" i="4"/>
  <c r="AR209" i="4"/>
  <c r="AT209" i="4" s="1"/>
  <c r="K22" i="4"/>
  <c r="I22" i="4" s="1"/>
  <c r="AU209" i="4"/>
  <c r="AS209" i="4" s="1"/>
  <c r="AU243" i="4"/>
  <c r="AO244" i="4"/>
  <c r="AW125" i="4" l="1"/>
  <c r="AV161" i="4"/>
  <c r="AV243" i="4"/>
  <c r="AW243" i="4"/>
  <c r="AO163" i="4"/>
  <c r="AO164" i="4" s="1"/>
  <c r="AW161" i="4"/>
  <c r="AR162" i="4"/>
  <c r="AT162" i="4" s="1"/>
  <c r="AU162" i="4"/>
  <c r="AS162" i="4" s="1"/>
  <c r="AW209" i="4"/>
  <c r="AV218" i="4"/>
  <c r="AW218" i="4"/>
  <c r="AR210" i="4"/>
  <c r="AT210" i="4" s="1"/>
  <c r="AQ210" i="4"/>
  <c r="AU210" i="4"/>
  <c r="AS210" i="4" s="1"/>
  <c r="AO211" i="4"/>
  <c r="AU244" i="4"/>
  <c r="AS244" i="4" s="1"/>
  <c r="AO245" i="4"/>
  <c r="AQ244" i="4"/>
  <c r="AR244" i="4"/>
  <c r="AT244" i="4" s="1"/>
  <c r="AO127" i="4"/>
  <c r="AR126" i="4"/>
  <c r="AT126" i="4" s="1"/>
  <c r="AU126" i="4"/>
  <c r="AS126" i="4" s="1"/>
  <c r="AQ126" i="4"/>
  <c r="AU85" i="4"/>
  <c r="AS85" i="4" s="1"/>
  <c r="AR85" i="4"/>
  <c r="AT85" i="4" s="1"/>
  <c r="AQ85" i="4"/>
  <c r="AO86" i="4"/>
  <c r="AP293" i="4"/>
  <c r="AN295" i="4"/>
  <c r="AO293" i="4"/>
  <c r="AW252" i="4"/>
  <c r="AV252" i="4"/>
  <c r="AV125" i="4"/>
  <c r="AQ283" i="4"/>
  <c r="AU283" i="4"/>
  <c r="AS283" i="4" s="1"/>
  <c r="AR283" i="4"/>
  <c r="AT283" i="4" s="1"/>
  <c r="AO284" i="4"/>
  <c r="AV84" i="4"/>
  <c r="AV209" i="4"/>
  <c r="AW181" i="4"/>
  <c r="AV181" i="4"/>
  <c r="AW162" i="4" l="1"/>
  <c r="AQ163" i="4"/>
  <c r="AR163" i="4"/>
  <c r="AT163" i="4" s="1"/>
  <c r="AU163" i="4"/>
  <c r="AS163" i="4" s="1"/>
  <c r="AV162" i="4"/>
  <c r="AW283" i="4"/>
  <c r="AV210" i="4"/>
  <c r="AV283" i="4"/>
  <c r="AV244" i="4"/>
  <c r="AO285" i="4"/>
  <c r="AO286" i="4" s="1"/>
  <c r="AQ284" i="4"/>
  <c r="AR284" i="4"/>
  <c r="AT284" i="4" s="1"/>
  <c r="AU284" i="4"/>
  <c r="AS284" i="4" s="1"/>
  <c r="AR245" i="4"/>
  <c r="AT245" i="4" s="1"/>
  <c r="AU245" i="4"/>
  <c r="AS245" i="4" s="1"/>
  <c r="AQ245" i="4"/>
  <c r="AO246" i="4"/>
  <c r="AV293" i="4"/>
  <c r="AW293" i="4"/>
  <c r="AR127" i="4"/>
  <c r="AT127" i="4" s="1"/>
  <c r="AU127" i="4"/>
  <c r="AS127" i="4" s="1"/>
  <c r="AQ127" i="4"/>
  <c r="AW127" i="4" s="1"/>
  <c r="AO128" i="4"/>
  <c r="AQ86" i="4"/>
  <c r="AO87" i="4"/>
  <c r="AR86" i="4"/>
  <c r="AT86" i="4" s="1"/>
  <c r="AU86" i="4"/>
  <c r="AS86" i="4" s="1"/>
  <c r="AV126" i="4"/>
  <c r="AO212" i="4"/>
  <c r="AU211" i="4"/>
  <c r="AS211" i="4" s="1"/>
  <c r="AR211" i="4"/>
  <c r="AT211" i="4" s="1"/>
  <c r="AQ211" i="4"/>
  <c r="AR164" i="4"/>
  <c r="AT164" i="4" s="1"/>
  <c r="AO165" i="4"/>
  <c r="AQ164" i="4"/>
  <c r="AU164" i="4"/>
  <c r="AS164" i="4" s="1"/>
  <c r="AV85" i="4"/>
  <c r="AW163" i="4" l="1"/>
  <c r="AW164" i="4"/>
  <c r="AW86" i="4"/>
  <c r="AW211" i="4"/>
  <c r="AW245" i="4"/>
  <c r="AW284" i="4"/>
  <c r="AV163" i="4"/>
  <c r="AV127" i="4"/>
  <c r="AR165" i="4"/>
  <c r="AT165" i="4" s="1"/>
  <c r="AU165" i="4"/>
  <c r="AS165" i="4" s="1"/>
  <c r="AO166" i="4"/>
  <c r="AQ165" i="4"/>
  <c r="AW165" i="4" s="1"/>
  <c r="AU285" i="4"/>
  <c r="AS285" i="4" s="1"/>
  <c r="AR285" i="4"/>
  <c r="AT285" i="4" s="1"/>
  <c r="AQ285" i="4"/>
  <c r="AQ212" i="4"/>
  <c r="AU212" i="4"/>
  <c r="AS212" i="4" s="1"/>
  <c r="AR212" i="4"/>
  <c r="AT212" i="4" s="1"/>
  <c r="AO213" i="4"/>
  <c r="AU87" i="4"/>
  <c r="AS87" i="4" s="1"/>
  <c r="AQ87" i="4"/>
  <c r="AR87" i="4"/>
  <c r="AT87" i="4" s="1"/>
  <c r="AO88" i="4"/>
  <c r="AR246" i="4"/>
  <c r="AT246" i="4" s="1"/>
  <c r="AU246" i="4"/>
  <c r="AS246" i="4" s="1"/>
  <c r="AO247" i="4"/>
  <c r="AQ246" i="4"/>
  <c r="AV211" i="4"/>
  <c r="AV86" i="4"/>
  <c r="AV245" i="4"/>
  <c r="AV164" i="4"/>
  <c r="AO129" i="4"/>
  <c r="AU128" i="4"/>
  <c r="AS128" i="4" s="1"/>
  <c r="AR128" i="4"/>
  <c r="AT128" i="4" s="1"/>
  <c r="AQ128" i="4"/>
  <c r="AV284" i="4"/>
  <c r="AW87" i="4" l="1"/>
  <c r="AW212" i="4"/>
  <c r="AV128" i="4"/>
  <c r="AV246" i="4"/>
  <c r="AV285" i="4"/>
  <c r="AV165" i="4"/>
  <c r="AR247" i="4"/>
  <c r="AT247" i="4" s="1"/>
  <c r="AO248" i="4"/>
  <c r="AU247" i="4"/>
  <c r="AS247" i="4" s="1"/>
  <c r="AQ247" i="4"/>
  <c r="AO167" i="4"/>
  <c r="AQ166" i="4"/>
  <c r="AU166" i="4"/>
  <c r="AS166" i="4" s="1"/>
  <c r="AR166" i="4"/>
  <c r="AT166" i="4" s="1"/>
  <c r="AO89" i="4"/>
  <c r="AR88" i="4"/>
  <c r="AT88" i="4" s="1"/>
  <c r="AQ88" i="4"/>
  <c r="AU88" i="4"/>
  <c r="AS88" i="4" s="1"/>
  <c r="AV87" i="4"/>
  <c r="AU213" i="4"/>
  <c r="AS213" i="4" s="1"/>
  <c r="AQ213" i="4"/>
  <c r="AO214" i="4"/>
  <c r="AR213" i="4"/>
  <c r="AT213" i="4" s="1"/>
  <c r="AR129" i="4"/>
  <c r="AT129" i="4" s="1"/>
  <c r="AU129" i="4"/>
  <c r="AS129" i="4" s="1"/>
  <c r="AN130" i="4"/>
  <c r="AQ129" i="4"/>
  <c r="AV212" i="4"/>
  <c r="AR286" i="4"/>
  <c r="AT286" i="4" s="1"/>
  <c r="AU286" i="4"/>
  <c r="AS286" i="4" s="1"/>
  <c r="AO287" i="4"/>
  <c r="AQ286" i="4"/>
  <c r="AW247" i="4" l="1"/>
  <c r="AW286" i="4"/>
  <c r="AV247" i="4"/>
  <c r="AV213" i="4"/>
  <c r="AN143" i="4"/>
  <c r="AO130" i="4"/>
  <c r="AR214" i="4"/>
  <c r="AT214" i="4" s="1"/>
  <c r="AU214" i="4"/>
  <c r="AS214" i="4" s="1"/>
  <c r="AO215" i="4"/>
  <c r="AQ214" i="4"/>
  <c r="AW214" i="4" s="1"/>
  <c r="AV88" i="4"/>
  <c r="AV286" i="4"/>
  <c r="AV166" i="4"/>
  <c r="AR248" i="4"/>
  <c r="AT248" i="4" s="1"/>
  <c r="AU248" i="4"/>
  <c r="AS248" i="4" s="1"/>
  <c r="AQ248" i="4"/>
  <c r="AW248" i="4" s="1"/>
  <c r="AO249" i="4"/>
  <c r="AQ287" i="4"/>
  <c r="AR287" i="4"/>
  <c r="AT287" i="4" s="1"/>
  <c r="AO288" i="4"/>
  <c r="AU287" i="4"/>
  <c r="AS287" i="4" s="1"/>
  <c r="AV129" i="4"/>
  <c r="AQ89" i="4"/>
  <c r="AU89" i="4"/>
  <c r="AS89" i="4" s="1"/>
  <c r="AR89" i="4"/>
  <c r="AT89" i="4" s="1"/>
  <c r="AN90" i="4"/>
  <c r="AU167" i="4"/>
  <c r="AS167" i="4" s="1"/>
  <c r="AN168" i="4"/>
  <c r="AO168" i="4" s="1"/>
  <c r="AR167" i="4"/>
  <c r="AT167" i="4" s="1"/>
  <c r="AQ167" i="4"/>
  <c r="AW287" i="4" l="1"/>
  <c r="AV248" i="4"/>
  <c r="AV89" i="4"/>
  <c r="AO169" i="4"/>
  <c r="AP168" i="4"/>
  <c r="AV167" i="4"/>
  <c r="AO90" i="4"/>
  <c r="AN103" i="4"/>
  <c r="AV287" i="4"/>
  <c r="AV214" i="4"/>
  <c r="AP130" i="4"/>
  <c r="AO131" i="4"/>
  <c r="AQ288" i="4"/>
  <c r="AR288" i="4"/>
  <c r="AT288" i="4" s="1"/>
  <c r="AU288" i="4"/>
  <c r="AS288" i="4" s="1"/>
  <c r="AO289" i="4"/>
  <c r="AU249" i="4"/>
  <c r="AS249" i="4" s="1"/>
  <c r="AN250" i="4"/>
  <c r="AO250" i="4" s="1"/>
  <c r="AQ249" i="4"/>
  <c r="AR249" i="4"/>
  <c r="AT249" i="4" s="1"/>
  <c r="AR215" i="4"/>
  <c r="AT215" i="4" s="1"/>
  <c r="AQ215" i="4"/>
  <c r="AN216" i="4"/>
  <c r="AO216" i="4" s="1"/>
  <c r="AU215" i="4"/>
  <c r="AS215" i="4" s="1"/>
  <c r="AP143" i="4"/>
  <c r="AO143" i="4"/>
  <c r="AN145" i="4"/>
  <c r="AW288" i="4" l="1"/>
  <c r="AV215" i="4"/>
  <c r="AO251" i="4"/>
  <c r="AP250" i="4"/>
  <c r="AV143" i="4"/>
  <c r="AW143" i="4"/>
  <c r="AV288" i="4"/>
  <c r="AW168" i="4"/>
  <c r="AV168" i="4"/>
  <c r="AU289" i="4"/>
  <c r="AS289" i="4" s="1"/>
  <c r="AO290" i="4"/>
  <c r="AR289" i="4"/>
  <c r="AT289" i="4" s="1"/>
  <c r="AQ289" i="4"/>
  <c r="AR131" i="4"/>
  <c r="AT131" i="4" s="1"/>
  <c r="AU131" i="4"/>
  <c r="AS131" i="4" s="1"/>
  <c r="AO132" i="4"/>
  <c r="AQ131" i="4"/>
  <c r="AP103" i="4"/>
  <c r="AO103" i="4"/>
  <c r="AN105" i="4"/>
  <c r="AH9" i="4" s="1"/>
  <c r="AO170" i="4"/>
  <c r="AU169" i="4"/>
  <c r="AS169" i="4" s="1"/>
  <c r="AR169" i="4"/>
  <c r="AT169" i="4" s="1"/>
  <c r="AQ169" i="4"/>
  <c r="AO217" i="4"/>
  <c r="AP216" i="4"/>
  <c r="AV249" i="4"/>
  <c r="AV130" i="4"/>
  <c r="AW130" i="4"/>
  <c r="AO91" i="4"/>
  <c r="AP90" i="4"/>
  <c r="AW289" i="4" l="1"/>
  <c r="AV169" i="4"/>
  <c r="AQ91" i="4"/>
  <c r="AU91" i="4"/>
  <c r="AS91" i="4" s="1"/>
  <c r="AR91" i="4"/>
  <c r="AT91" i="4" s="1"/>
  <c r="AO92" i="4"/>
  <c r="AW216" i="4"/>
  <c r="AV216" i="4"/>
  <c r="AW103" i="4"/>
  <c r="AV103" i="4"/>
  <c r="AQ217" i="4"/>
  <c r="AR217" i="4"/>
  <c r="AT217" i="4" s="1"/>
  <c r="AU217" i="4"/>
  <c r="AS217" i="4" s="1"/>
  <c r="AW221" i="4"/>
  <c r="AO171" i="4"/>
  <c r="AU170" i="4"/>
  <c r="AS170" i="4" s="1"/>
  <c r="AQ170" i="4"/>
  <c r="AR170" i="4"/>
  <c r="AT170" i="4" s="1"/>
  <c r="AV131" i="4"/>
  <c r="AV289" i="4"/>
  <c r="AR132" i="4"/>
  <c r="AT132" i="4" s="1"/>
  <c r="AU132" i="4"/>
  <c r="AS132" i="4" s="1"/>
  <c r="AQ132" i="4"/>
  <c r="AO133" i="4"/>
  <c r="AV250" i="4"/>
  <c r="AW250" i="4"/>
  <c r="AW90" i="4"/>
  <c r="AV90" i="4"/>
  <c r="AU290" i="4"/>
  <c r="AS290" i="4" s="1"/>
  <c r="AN291" i="4"/>
  <c r="AO291" i="4" s="1"/>
  <c r="AQ290" i="4"/>
  <c r="AR290" i="4"/>
  <c r="AT290" i="4" s="1"/>
  <c r="AW255" i="4"/>
  <c r="AQ251" i="4"/>
  <c r="AU251" i="4"/>
  <c r="AS251" i="4" s="1"/>
  <c r="AR251" i="4"/>
  <c r="AT251" i="4" s="1"/>
  <c r="AV251" i="4" l="1"/>
  <c r="AV290" i="4"/>
  <c r="AV217" i="4"/>
  <c r="AV170" i="4"/>
  <c r="AO292" i="4"/>
  <c r="AW296" i="4" s="1"/>
  <c r="AP291" i="4"/>
  <c r="AQ92" i="4"/>
  <c r="AR92" i="4"/>
  <c r="AT92" i="4" s="1"/>
  <c r="AU92" i="4"/>
  <c r="AS92" i="4" s="1"/>
  <c r="AO93" i="4"/>
  <c r="AQ133" i="4"/>
  <c r="AO134" i="4"/>
  <c r="AU133" i="4"/>
  <c r="AS133" i="4" s="1"/>
  <c r="AR133" i="4"/>
  <c r="AT133" i="4" s="1"/>
  <c r="AV132" i="4"/>
  <c r="AR171" i="4"/>
  <c r="AT171" i="4" s="1"/>
  <c r="AU171" i="4"/>
  <c r="AS171" i="4" s="1"/>
  <c r="AO172" i="4"/>
  <c r="AQ171" i="4"/>
  <c r="AV91" i="4"/>
  <c r="AV92" i="4" l="1"/>
  <c r="AO94" i="4"/>
  <c r="AQ93" i="4"/>
  <c r="AR93" i="4"/>
  <c r="AT93" i="4" s="1"/>
  <c r="AU93" i="4"/>
  <c r="AS93" i="4" s="1"/>
  <c r="AW291" i="4"/>
  <c r="AV291" i="4"/>
  <c r="AQ172" i="4"/>
  <c r="AR172" i="4"/>
  <c r="AT172" i="4" s="1"/>
  <c r="AO173" i="4"/>
  <c r="AU172" i="4"/>
  <c r="AS172" i="4" s="1"/>
  <c r="AO135" i="4"/>
  <c r="AQ134" i="4"/>
  <c r="AU134" i="4"/>
  <c r="AS134" i="4" s="1"/>
  <c r="AR134" i="4"/>
  <c r="AT134" i="4" s="1"/>
  <c r="AU292" i="4"/>
  <c r="AS292" i="4" s="1"/>
  <c r="AR292" i="4"/>
  <c r="AT292" i="4" s="1"/>
  <c r="AQ292" i="4"/>
  <c r="AV171" i="4"/>
  <c r="AV133" i="4"/>
  <c r="AV134" i="4" l="1"/>
  <c r="AV172" i="4"/>
  <c r="AV93" i="4"/>
  <c r="AO136" i="4"/>
  <c r="AR135" i="4"/>
  <c r="AT135" i="4" s="1"/>
  <c r="AU135" i="4"/>
  <c r="AS135" i="4" s="1"/>
  <c r="AQ135" i="4"/>
  <c r="AV292" i="4"/>
  <c r="AR173" i="4"/>
  <c r="AT173" i="4" s="1"/>
  <c r="AU173" i="4"/>
  <c r="AS173" i="4" s="1"/>
  <c r="AO174" i="4"/>
  <c r="AQ173" i="4"/>
  <c r="AQ94" i="4"/>
  <c r="AO95" i="4"/>
  <c r="AR94" i="4"/>
  <c r="AT94" i="4" s="1"/>
  <c r="AU94" i="4"/>
  <c r="AS94" i="4" s="1"/>
  <c r="AV94" i="4" l="1"/>
  <c r="AV173" i="4"/>
  <c r="AO137" i="4"/>
  <c r="AR136" i="4"/>
  <c r="AT136" i="4" s="1"/>
  <c r="AQ136" i="4"/>
  <c r="AU136" i="4"/>
  <c r="AS136" i="4" s="1"/>
  <c r="AU174" i="4"/>
  <c r="AS174" i="4" s="1"/>
  <c r="AQ174" i="4"/>
  <c r="AR174" i="4"/>
  <c r="AT174" i="4" s="1"/>
  <c r="AO175" i="4"/>
  <c r="AV135" i="4"/>
  <c r="AU95" i="4"/>
  <c r="AS95" i="4" s="1"/>
  <c r="AR95" i="4"/>
  <c r="AT95" i="4" s="1"/>
  <c r="AO96" i="4"/>
  <c r="AQ95" i="4"/>
  <c r="AV136" i="4" l="1"/>
  <c r="AV174" i="4"/>
  <c r="AV95" i="4"/>
  <c r="AU137" i="4"/>
  <c r="AS137" i="4" s="1"/>
  <c r="AR137" i="4"/>
  <c r="AT137" i="4" s="1"/>
  <c r="AQ137" i="4"/>
  <c r="AO138" i="4"/>
  <c r="AU96" i="4"/>
  <c r="AS96" i="4" s="1"/>
  <c r="AR96" i="4"/>
  <c r="AT96" i="4" s="1"/>
  <c r="AO97" i="4"/>
  <c r="AQ96" i="4"/>
  <c r="AQ175" i="4"/>
  <c r="AR175" i="4"/>
  <c r="AT175" i="4" s="1"/>
  <c r="AU175" i="4"/>
  <c r="AS175" i="4" s="1"/>
  <c r="AO176" i="4"/>
  <c r="AV175" i="4" l="1"/>
  <c r="AU176" i="4"/>
  <c r="AS176" i="4" s="1"/>
  <c r="AQ176" i="4"/>
  <c r="AO177" i="4"/>
  <c r="AR176" i="4"/>
  <c r="AT176" i="4" s="1"/>
  <c r="AV96" i="4"/>
  <c r="AU138" i="4"/>
  <c r="AS138" i="4" s="1"/>
  <c r="AQ138" i="4"/>
  <c r="AR138" i="4"/>
  <c r="AT138" i="4" s="1"/>
  <c r="AO139" i="4"/>
  <c r="AU97" i="4"/>
  <c r="AS97" i="4" s="1"/>
  <c r="AQ97" i="4"/>
  <c r="AO98" i="4"/>
  <c r="AR97" i="4"/>
  <c r="AT97" i="4" s="1"/>
  <c r="AV137" i="4"/>
  <c r="AV97" i="4" l="1"/>
  <c r="AR98" i="4"/>
  <c r="AT98" i="4" s="1"/>
  <c r="AU98" i="4"/>
  <c r="AS98" i="4" s="1"/>
  <c r="AO99" i="4"/>
  <c r="AQ98" i="4"/>
  <c r="AV138" i="4"/>
  <c r="AO178" i="4"/>
  <c r="AU177" i="4"/>
  <c r="AS177" i="4" s="1"/>
  <c r="AR177" i="4"/>
  <c r="AT177" i="4" s="1"/>
  <c r="AQ177" i="4"/>
  <c r="AV176" i="4"/>
  <c r="AO140" i="4"/>
  <c r="AU139" i="4"/>
  <c r="AS139" i="4" s="1"/>
  <c r="AR139" i="4"/>
  <c r="AT139" i="4" s="1"/>
  <c r="AQ139" i="4"/>
  <c r="AV98" i="4" l="1"/>
  <c r="AU140" i="4"/>
  <c r="AS140" i="4" s="1"/>
  <c r="AO141" i="4"/>
  <c r="AQ140" i="4"/>
  <c r="AR140" i="4"/>
  <c r="AT140" i="4" s="1"/>
  <c r="AO100" i="4"/>
  <c r="AR99" i="4"/>
  <c r="AT99" i="4" s="1"/>
  <c r="AQ99" i="4"/>
  <c r="AU99" i="4"/>
  <c r="AS99" i="4" s="1"/>
  <c r="AV139" i="4"/>
  <c r="AO179" i="4"/>
  <c r="AR178" i="4"/>
  <c r="AT178" i="4" s="1"/>
  <c r="AQ178" i="4"/>
  <c r="AU178" i="4"/>
  <c r="AS178" i="4" s="1"/>
  <c r="AV177" i="4"/>
  <c r="AV178" i="4" l="1"/>
  <c r="AV99" i="4"/>
  <c r="AV140" i="4"/>
  <c r="AU179" i="4"/>
  <c r="AS179" i="4" s="1"/>
  <c r="AR179" i="4"/>
  <c r="AT179" i="4" s="1"/>
  <c r="AO180" i="4"/>
  <c r="AQ179" i="4"/>
  <c r="AR141" i="4"/>
  <c r="AT141" i="4" s="1"/>
  <c r="AU141" i="4"/>
  <c r="AS141" i="4" s="1"/>
  <c r="AO142" i="4"/>
  <c r="AQ141" i="4"/>
  <c r="AU100" i="4"/>
  <c r="AS100" i="4" s="1"/>
  <c r="AR100" i="4"/>
  <c r="AT100" i="4" s="1"/>
  <c r="AQ100" i="4"/>
  <c r="AO101" i="4"/>
  <c r="AU101" i="4" l="1"/>
  <c r="AS101" i="4" s="1"/>
  <c r="AR101" i="4"/>
  <c r="AT101" i="4" s="1"/>
  <c r="AQ101" i="4"/>
  <c r="AO102" i="4"/>
  <c r="AV141" i="4"/>
  <c r="AV179" i="4"/>
  <c r="AV100" i="4"/>
  <c r="AW146" i="4"/>
  <c r="AU142" i="4"/>
  <c r="AS142" i="4" s="1"/>
  <c r="AQ142" i="4"/>
  <c r="AR142" i="4"/>
  <c r="AT142" i="4" s="1"/>
  <c r="AW184" i="4"/>
  <c r="AU180" i="4"/>
  <c r="AS180" i="4" s="1"/>
  <c r="AQ180" i="4"/>
  <c r="AR180" i="4"/>
  <c r="AT180" i="4" s="1"/>
  <c r="AV101" i="4" l="1"/>
  <c r="AV180" i="4"/>
  <c r="AV142" i="4"/>
  <c r="AR102" i="4"/>
  <c r="AT102" i="4" s="1"/>
  <c r="AW106" i="4"/>
  <c r="AU102" i="4"/>
  <c r="AS102" i="4" s="1"/>
  <c r="AQ102" i="4"/>
  <c r="AV102" i="4"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Gebhardt, Angus</author>
  </authors>
  <commentList>
    <comment ref="E62" authorId="0" shapeId="0" xr:uid="{575FC5E5-5107-4744-9964-EAEDD70B4377}">
      <text>
        <r>
          <rPr>
            <sz val="9"/>
            <color indexed="81"/>
            <rFont val="Tahoma"/>
            <family val="2"/>
          </rPr>
          <t xml:space="preserve">Note that the IRR will return a #NUM! error when there is no input data, this is not a model calculation error
</t>
        </r>
      </text>
    </comment>
    <comment ref="F62" authorId="0" shapeId="0" xr:uid="{F01F24BB-E9FE-456A-8277-0926E15957F2}">
      <text>
        <r>
          <rPr>
            <sz val="9"/>
            <color indexed="81"/>
            <rFont val="Tahoma"/>
            <family val="2"/>
          </rPr>
          <t xml:space="preserve">Note that the IRR will return a #NUM! error when there is no input data, this is not a model calculation error
</t>
        </r>
      </text>
    </comment>
    <comment ref="G62" authorId="0" shapeId="0" xr:uid="{53730980-5F65-4F84-BED8-53719E17BAE2}">
      <text>
        <r>
          <rPr>
            <sz val="9"/>
            <color indexed="81"/>
            <rFont val="Tahoma"/>
            <family val="2"/>
          </rPr>
          <t xml:space="preserve">Note that the IRR will return a #NUM! error when there is no input data, this is not a model calculation error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Gebhardt, Angus</author>
    <author>tc={CCE7EFDF-211D-4153-B6AF-544091ABF7CD}</author>
  </authors>
  <commentList>
    <comment ref="D49" authorId="0" shapeId="0" xr:uid="{00000000-0006-0000-0400-000001000000}">
      <text>
        <r>
          <rPr>
            <sz val="9"/>
            <color indexed="81"/>
            <rFont val="Tahoma"/>
            <family val="2"/>
          </rPr>
          <t>Choose representative asset where multiple assets are concerned</t>
        </r>
      </text>
    </comment>
    <comment ref="D72" authorId="0" shapeId="0" xr:uid="{00000000-0006-0000-0400-000002000000}">
      <text>
        <r>
          <rPr>
            <sz val="9"/>
            <color indexed="81"/>
            <rFont val="Tahoma"/>
            <family val="2"/>
          </rPr>
          <t>Includes Network materials, hardware, software, fleet vehicles, building contruction &amp; development for example</t>
        </r>
      </text>
    </comment>
    <comment ref="D79" authorId="0" shapeId="0" xr:uid="{00000000-0006-0000-0400-000003000000}">
      <text>
        <r>
          <rPr>
            <sz val="9"/>
            <color indexed="81"/>
            <rFont val="Tahoma"/>
            <family val="2"/>
          </rPr>
          <t>Includes Network materials, hardware, software, fleet vehicles, building contruction &amp; development for example</t>
        </r>
      </text>
    </comment>
    <comment ref="D86" authorId="0" shapeId="0" xr:uid="{00000000-0006-0000-0400-000004000000}">
      <text>
        <r>
          <rPr>
            <sz val="9"/>
            <color indexed="81"/>
            <rFont val="Tahoma"/>
            <family val="2"/>
          </rPr>
          <t>Includes Network materials, hardware, software, fleet vehicles, building contruction &amp; development for example</t>
        </r>
      </text>
    </comment>
    <comment ref="D93" authorId="0" shapeId="0" xr:uid="{00000000-0006-0000-0400-000005000000}">
      <text>
        <r>
          <rPr>
            <sz val="9"/>
            <color indexed="81"/>
            <rFont val="Tahoma"/>
            <family val="2"/>
          </rPr>
          <t>Includes Network materials, hardware, software, fleet vehicles, building contruction &amp; development for example</t>
        </r>
      </text>
    </comment>
    <comment ref="D100" authorId="0" shapeId="0" xr:uid="{00000000-0006-0000-0400-000006000000}">
      <text>
        <r>
          <rPr>
            <sz val="9"/>
            <color indexed="81"/>
            <rFont val="Tahoma"/>
            <family val="2"/>
          </rPr>
          <t>Includes Network materials, hardware, software, fleet vehicles, building contruction &amp; development for example</t>
        </r>
      </text>
    </comment>
    <comment ref="F197" authorId="1" shapeId="0" xr:uid="{CCE7EFDF-211D-4153-B6AF-544091ABF7CD}">
      <text>
        <t>[Threaded comment]
Your version of Excel allows you to read this threaded comment; however, any edits to it will get removed if the file is opened in a newer version of Excel. Learn more: https://go.microsoft.com/fwlink/?linkid=870924
Comment:
    Functionality superceded by the application of the EBSS split. Do not alter</t>
      </text>
    </comment>
    <comment ref="D222" authorId="0" shapeId="0" xr:uid="{00000000-0006-0000-0400-000007000000}">
      <text>
        <r>
          <rPr>
            <sz val="9"/>
            <color indexed="81"/>
            <rFont val="Tahoma"/>
            <family val="2"/>
          </rPr>
          <t>Includes Network materials, hardware, software, fleet vehicles, building contruction &amp; development for example</t>
        </r>
      </text>
    </comment>
    <comment ref="D229" authorId="0" shapeId="0" xr:uid="{00000000-0006-0000-0400-000008000000}">
      <text>
        <r>
          <rPr>
            <sz val="9"/>
            <color indexed="81"/>
            <rFont val="Tahoma"/>
            <family val="2"/>
          </rPr>
          <t>Includes Network materials, hardware, software, fleet vehicles, building contruction &amp; development for example</t>
        </r>
      </text>
    </comment>
    <comment ref="D236" authorId="0" shapeId="0" xr:uid="{00000000-0006-0000-0400-000009000000}">
      <text>
        <r>
          <rPr>
            <sz val="9"/>
            <color indexed="81"/>
            <rFont val="Tahoma"/>
            <family val="2"/>
          </rPr>
          <t>Includes Network materials, hardware, software, fleet vehicles, building contruction &amp; development for example</t>
        </r>
      </text>
    </comment>
    <comment ref="D243" authorId="0" shapeId="0" xr:uid="{00000000-0006-0000-0400-00000A000000}">
      <text>
        <r>
          <rPr>
            <sz val="9"/>
            <color indexed="81"/>
            <rFont val="Tahoma"/>
            <family val="2"/>
          </rPr>
          <t>Includes Network materials, hardware, software, fleet vehicles, building contruction &amp; development for example</t>
        </r>
      </text>
    </comment>
    <comment ref="D250" authorId="0" shapeId="0" xr:uid="{00000000-0006-0000-0400-00000B000000}">
      <text>
        <r>
          <rPr>
            <sz val="9"/>
            <color indexed="81"/>
            <rFont val="Tahoma"/>
            <family val="2"/>
          </rPr>
          <t>Includes Network materials, hardware, software, fleet vehicles, building contruction &amp; development for example</t>
        </r>
      </text>
    </comment>
    <comment ref="D257" authorId="0" shapeId="0" xr:uid="{00000000-0006-0000-0400-00000C000000}">
      <text>
        <r>
          <rPr>
            <sz val="9"/>
            <color indexed="81"/>
            <rFont val="Tahoma"/>
            <family val="2"/>
          </rPr>
          <t>Includes Network materials, hardware, software, fleet vehicles, building contruction &amp; development for example</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Gebhardt, Angus</author>
    <author>tc={EF438B68-C0F3-49C1-91B5-CA4CD68C99A6}</author>
    <author>Daniel Hansen</author>
  </authors>
  <commentList>
    <comment ref="AH7" authorId="0" shapeId="0" xr:uid="{00000000-0006-0000-0700-000001000000}">
      <text>
        <r>
          <rPr>
            <sz val="9"/>
            <color indexed="81"/>
            <rFont val="Tahoma"/>
            <family val="2"/>
          </rPr>
          <t>This will appear as a "Check" error when no input data is entered</t>
        </r>
        <r>
          <rPr>
            <sz val="9"/>
            <color indexed="81"/>
            <rFont val="Tahoma"/>
            <family val="2"/>
          </rPr>
          <t xml:space="preserve">
</t>
        </r>
      </text>
    </comment>
    <comment ref="I13" authorId="1" shapeId="0" xr:uid="{EF438B68-C0F3-49C1-91B5-CA4CD68C99A6}">
      <text>
        <t>[Threaded comment]
Your version of Excel allows you to read this threaded comment; however, any edits to it will get removed if the file is opened in a newer version of Excel. Learn more: https://go.microsoft.com/fwlink/?linkid=870924
Comment:
    Leave as "FALSE" CESS functionality not required for investment capex.</t>
      </text>
    </comment>
    <comment ref="Q14" authorId="0" shapeId="0" xr:uid="{00000000-0006-0000-0700-000002000000}">
      <text>
        <r>
          <rPr>
            <sz val="9"/>
            <color indexed="81"/>
            <rFont val="Tahoma"/>
            <family val="2"/>
          </rPr>
          <t xml:space="preserve">When selecting a valuation period for this option, you should select a valuation period equal to the option being considered with the longest useful asset life </t>
        </r>
      </text>
    </comment>
    <comment ref="E15" authorId="2" shapeId="0" xr:uid="{7CC4623C-AD66-4903-8D67-2E8816CC7B04}">
      <text>
        <r>
          <rPr>
            <b/>
            <sz val="9"/>
            <color indexed="81"/>
            <rFont val="Tahoma"/>
            <family val="2"/>
          </rPr>
          <t>Daniel Hansen:</t>
        </r>
        <r>
          <rPr>
            <sz val="9"/>
            <color indexed="81"/>
            <rFont val="Tahoma"/>
            <family val="2"/>
          </rPr>
          <t xml:space="preserve">
was set to Assumptions!$J$33
Changed to 3.44 (11/9/2022</t>
        </r>
      </text>
    </comment>
    <comment ref="F15" authorId="2" shapeId="0" xr:uid="{CB847E83-F49C-4CE7-B57D-09A595D6E5B8}">
      <text>
        <r>
          <rPr>
            <b/>
            <sz val="9"/>
            <color indexed="81"/>
            <rFont val="Tahoma"/>
            <family val="2"/>
          </rPr>
          <t>Daniel Hansen:</t>
        </r>
        <r>
          <rPr>
            <sz val="9"/>
            <color indexed="81"/>
            <rFont val="Tahoma"/>
            <family val="2"/>
          </rPr>
          <t xml:space="preserve">
was set to Assumptions!$J$39
Changed to 3.44 (11/9/2022</t>
        </r>
      </text>
    </comment>
    <comment ref="D19" authorId="0" shapeId="0" xr:uid="{00000000-0006-0000-0700-000003000000}">
      <text>
        <r>
          <rPr>
            <sz val="9"/>
            <color indexed="81"/>
            <rFont val="Tahoma"/>
            <family val="2"/>
          </rPr>
          <t xml:space="preserve">Note that the IRR will return a #NUM! error when there is no input data, this is not a model calculation error
</t>
        </r>
      </text>
    </comment>
    <comment ref="E19" authorId="0" shapeId="0" xr:uid="{00000000-0006-0000-0700-000004000000}">
      <text>
        <r>
          <rPr>
            <sz val="9"/>
            <color indexed="81"/>
            <rFont val="Tahoma"/>
            <family val="2"/>
          </rPr>
          <t xml:space="preserve">Note that the IRR will return a #NUM! error when there is no input data, this is not a model calculation error
</t>
        </r>
      </text>
    </comment>
    <comment ref="F19" authorId="0" shapeId="0" xr:uid="{00000000-0006-0000-0700-000005000000}">
      <text>
        <r>
          <rPr>
            <sz val="9"/>
            <color indexed="81"/>
            <rFont val="Tahoma"/>
            <family val="2"/>
          </rPr>
          <t xml:space="preserve">Note that the IRR will return a #NUM! error when there is no input data, this is not a model calculation error
</t>
        </r>
      </text>
    </comment>
    <comment ref="H19" authorId="0" shapeId="0" xr:uid="{00000000-0006-0000-0700-000006000000}">
      <text>
        <r>
          <rPr>
            <sz val="9"/>
            <color indexed="81"/>
            <rFont val="Tahoma"/>
            <family val="2"/>
          </rPr>
          <t>Note that when no data is input, this will result in a #DIV/0! Error - this is not a model calculation error</t>
        </r>
      </text>
    </comment>
    <comment ref="I19" authorId="0" shapeId="0" xr:uid="{00000000-0006-0000-0700-000007000000}">
      <text>
        <r>
          <rPr>
            <sz val="9"/>
            <color indexed="81"/>
            <rFont val="Tahoma"/>
            <family val="2"/>
          </rPr>
          <t>Note that when no data is input, this will result in a #DIV/0! Error - this is not a model calculation error</t>
        </r>
      </text>
    </comment>
    <comment ref="M20" authorId="0" shapeId="0" xr:uid="{00000000-0006-0000-0700-000008000000}">
      <text>
        <r>
          <rPr>
            <sz val="9"/>
            <color indexed="81"/>
            <rFont val="Tahoma"/>
            <family val="2"/>
          </rPr>
          <t>Excludes EUE construction risk</t>
        </r>
      </text>
    </comment>
    <comment ref="R20" authorId="0" shapeId="0" xr:uid="{02323157-3E20-4A67-9E80-256A744F1B54}">
      <text>
        <r>
          <rPr>
            <b/>
            <sz val="9"/>
            <color indexed="81"/>
            <rFont val="Tahoma"/>
            <family val="2"/>
          </rPr>
          <t>Does not include Capex benefits</t>
        </r>
      </text>
    </comment>
    <comment ref="S20" authorId="0" shapeId="0" xr:uid="{00000000-0006-0000-0700-000009000000}">
      <text>
        <r>
          <rPr>
            <sz val="9"/>
            <color indexed="81"/>
            <rFont val="Tahoma"/>
            <family val="2"/>
          </rPr>
          <t>Includes land capex</t>
        </r>
      </text>
    </comment>
    <comment ref="T20" authorId="0" shapeId="0" xr:uid="{00000000-0006-0000-0700-00000A000000}">
      <text>
        <r>
          <rPr>
            <sz val="9"/>
            <color indexed="81"/>
            <rFont val="Tahoma"/>
            <family val="2"/>
          </rPr>
          <t>Includes future land capex</t>
        </r>
      </text>
    </comment>
    <comment ref="D33" authorId="0" shapeId="0" xr:uid="{00000000-0006-0000-0700-00000B000000}">
      <text>
        <r>
          <rPr>
            <sz val="9"/>
            <color indexed="81"/>
            <rFont val="Tahoma"/>
            <family val="2"/>
          </rPr>
          <t>Includes Network materials, hardware, software, fleet vehicles, building contruction &amp; development for example</t>
        </r>
      </text>
    </comment>
    <comment ref="D38" authorId="0" shapeId="0" xr:uid="{00000000-0006-0000-0700-00000C000000}">
      <text>
        <r>
          <rPr>
            <sz val="9"/>
            <color indexed="81"/>
            <rFont val="Tahoma"/>
            <family val="2"/>
          </rPr>
          <t>#DIV/0! errors will appear on years with no investment. This should not be considered a model calculation error</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tc={BACD3CDC-33E1-4494-9934-7547DB06D2A7}</author>
    <author>tc={1C380829-FD7B-4178-8D93-6AC3918067CB}</author>
    <author>tc={83F0A14D-B2BE-4252-A832-8784825752B2}</author>
    <author>Gebhardt, Angus</author>
    <author>tc={4B9AB03F-79CA-4DD2-85F7-BA80EB366609}</author>
  </authors>
  <commentList>
    <comment ref="D103" authorId="0" shapeId="0" xr:uid="{BACD3CDC-33E1-4494-9934-7547DB06D2A7}">
      <text>
        <t>[Threaded comment]
Your version of Excel allows you to read this threaded comment; however, any edits to it will get removed if the file is opened in a newer version of Excel. Learn more: https://go.microsoft.com/fwlink/?linkid=870924
Comment:
    Functionality removed. Capex benefits based on dollars saved and impact of CESS mechanism</t>
      </text>
    </comment>
    <comment ref="D114" authorId="1" shapeId="0" xr:uid="{1C380829-FD7B-4178-8D93-6AC3918067CB}">
      <text>
        <t>[Threaded comment]
Your version of Excel allows you to read this threaded comment; however, any edits to it will get removed if the file is opened in a newer version of Excel. Learn more: https://go.microsoft.com/fwlink/?linkid=870924
Comment:
    Functionality removed. Capex benefits based on dollars saved and impact of CESS mechanism</t>
      </text>
    </comment>
    <comment ref="D132" authorId="2" shapeId="0" xr:uid="{83F0A14D-B2BE-4252-A832-8784825752B2}">
      <text>
        <t>[Threaded comment]
Your version of Excel allows you to read this threaded comment; however, any edits to it will get removed if the file is opened in a newer version of Excel. Learn more: https://go.microsoft.com/fwlink/?linkid=870924
Comment:
    Functionality removed. Capex benefits based on dollars saved and impact of CESS mechanism</t>
      </text>
    </comment>
    <comment ref="J161" authorId="3" shapeId="0" xr:uid="{00000000-0006-0000-0600-000001000000}">
      <text>
        <r>
          <rPr>
            <sz val="9"/>
            <color indexed="81"/>
            <rFont val="Tahoma"/>
            <family val="2"/>
          </rPr>
          <t>Note: Where input data is not entered this will appear as #N/A, and is not a model calculation error</t>
        </r>
      </text>
    </comment>
    <comment ref="D232" authorId="4" shapeId="0" xr:uid="{4B9AB03F-79CA-4DD2-85F7-BA80EB366609}">
      <text>
        <t>[Threaded comment]
Your version of Excel allows you to read this threaded comment; however, any edits to it will get removed if the file is opened in a newer version of Excel. Learn more: https://go.microsoft.com/fwlink/?linkid=870924
Comment:
    Customer benefit only</t>
      </text>
    </comment>
    <comment ref="D241" authorId="3" shapeId="0" xr:uid="{00000000-0006-0000-0600-000002000000}">
      <text>
        <r>
          <rPr>
            <sz val="9"/>
            <color indexed="81"/>
            <rFont val="Tahoma"/>
            <family val="2"/>
          </rPr>
          <t>Dependent on valuation period chosen (either takes terminal value from end of model valuation period or last year of longest useful asset life option)</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Lim, Joel</author>
    <author>tc={CA175366-3204-4CCD-9A74-264507D49818}</author>
    <author>tc={4BEB8EA9-66AB-4C8A-977A-FE4FD78E438B}</author>
  </authors>
  <commentList>
    <comment ref="C21" authorId="0" shapeId="0" xr:uid="{00000000-0006-0000-0300-000001000000}">
      <text>
        <r>
          <rPr>
            <sz val="9"/>
            <color indexed="81"/>
            <rFont val="Tahoma"/>
            <family val="2"/>
          </rPr>
          <t>Shared Asset Guideline</t>
        </r>
      </text>
    </comment>
    <comment ref="H169" authorId="1" shapeId="0" xr:uid="{CA175366-3204-4CCD-9A74-264507D49818}">
      <text>
        <t>[Threaded comment]
Your version of Excel allows you to read this threaded comment; however, any edits to it will get removed if the file is opened in a newer version of Excel. Learn more: https://go.microsoft.com/fwlink/?linkid=870924
Comment:
    https://houstonkemp.com/wp-content/uploads/2020/10/Incentives-for-DNSP-service-quality-17-June-2020.pdf</t>
      </text>
    </comment>
    <comment ref="H188" authorId="2" shapeId="0" xr:uid="{4BEB8EA9-66AB-4C8A-977A-FE4FD78E438B}">
      <text>
        <t>[Threaded comment]
Your version of Excel allows you to read this threaded comment; however, any edits to it will get removed if the file is opened in a newer version of Excel. Learn more: https://go.microsoft.com/fwlink/?linkid=870924
Comment:
    Based on the split realised for a 6 year shareholder benefit and perpetuity customer benefit at a WACC of 3%</t>
      </text>
    </comment>
  </commentList>
</comments>
</file>

<file path=xl/sharedStrings.xml><?xml version="1.0" encoding="utf-8"?>
<sst xmlns="http://schemas.openxmlformats.org/spreadsheetml/2006/main" count="1500" uniqueCount="568">
  <si>
    <t>For discussion and resolution prior to publication</t>
  </si>
  <si>
    <t>Capex benefits - check calcs, concept is that benefits flow to customer because the capex is not spent and therefore return on/of not funded by customer</t>
  </si>
  <si>
    <t>Investment opex - confirm and agree mechanism. Currently a cost to shareholder in current reg period and a cost to customer there after</t>
  </si>
  <si>
    <t>Confirm all tables and charts are appropriate (labels, scaling etc). Check that they copy to word doc properly</t>
  </si>
  <si>
    <t>STPIS - update benefit to include ongoing customer benefit. Needs switch to define number of years (per EBSS methodology)</t>
  </si>
  <si>
    <t>Re-order output chart bars so that sequence is the same for Shareholder, Customer and Market</t>
  </si>
  <si>
    <t>Fix detailed charts which have been hidden and are now not working</t>
  </si>
  <si>
    <t>Review future capex depreciation (rows 97-101 on Calcs) this is not working correctly and does not calculate multiple inputs properly</t>
  </si>
  <si>
    <t>Note: capex benefit calculation has been simplified. Benefits flow directly to the customer in the year of the theoretical saving. In reality the customer we experience these benefits over time through lower DUOS as a result of lower return on/of the RAB. However, NPV impact should be reasonable as return on offsets the time value of money</t>
  </si>
  <si>
    <t>Consider moving capex benefits to probabilistic for the customer?</t>
  </si>
  <si>
    <t>Update user guide for changes to capex benefits</t>
  </si>
  <si>
    <t>Protect calcs tabs (outputs? Others?)</t>
  </si>
  <si>
    <t>Ausgrid investment evaluation model</t>
  </si>
  <si>
    <t>Legend</t>
  </si>
  <si>
    <t>Input</t>
  </si>
  <si>
    <t>Calculation</t>
  </si>
  <si>
    <t>Select</t>
  </si>
  <si>
    <t>Internal</t>
  </si>
  <si>
    <t>Assumptions</t>
  </si>
  <si>
    <t>Instructions</t>
  </si>
  <si>
    <t>Change in formula pattern</t>
  </si>
  <si>
    <t>Simple investment evaluation</t>
  </si>
  <si>
    <t>Model year</t>
  </si>
  <si>
    <t>Inputs</t>
  </si>
  <si>
    <t>Item ($)</t>
  </si>
  <si>
    <t>Capex cost</t>
  </si>
  <si>
    <t>Future capex cost</t>
  </si>
  <si>
    <t/>
  </si>
  <si>
    <t>Capex benefits</t>
  </si>
  <si>
    <t>Regulated revenue - Incentive schemes (STPIS)</t>
  </si>
  <si>
    <t>Regulated revenue - ACS revenue</t>
  </si>
  <si>
    <t>Unregulated revenue</t>
  </si>
  <si>
    <t>Investment opex</t>
  </si>
  <si>
    <t>Ongoing new opex</t>
  </si>
  <si>
    <t>Probabilistic inputs</t>
  </si>
  <si>
    <t>Safety risk</t>
  </si>
  <si>
    <t>Fire risk</t>
  </si>
  <si>
    <t>Environment risk</t>
  </si>
  <si>
    <t>Network asset failure EUE</t>
  </si>
  <si>
    <t>Reactive replacement cost</t>
  </si>
  <si>
    <t>3rd party property damage risk</t>
  </si>
  <si>
    <t>Construction EUE risk</t>
  </si>
  <si>
    <t>Carbon emissions</t>
  </si>
  <si>
    <t>Protective security risk</t>
  </si>
  <si>
    <t>Cost to respond to crisis</t>
  </si>
  <si>
    <t>Loss productive time</t>
  </si>
  <si>
    <t>Additional capex completed without additional labour cost</t>
  </si>
  <si>
    <t>Decrease in opex costs</t>
  </si>
  <si>
    <t>Fines and penalties</t>
  </si>
  <si>
    <t>Damage / theft of assets</t>
  </si>
  <si>
    <t>Loss of data</t>
  </si>
  <si>
    <t>ICT/OT hardware or software failure risk</t>
  </si>
  <si>
    <t>Cost of manual intervention</t>
  </si>
  <si>
    <t>Employee engagement</t>
  </si>
  <si>
    <t>Customer value</t>
  </si>
  <si>
    <t>Outputs</t>
  </si>
  <si>
    <t>Output measure</t>
  </si>
  <si>
    <t>IRR</t>
  </si>
  <si>
    <t>Market NPV</t>
  </si>
  <si>
    <t>Cust. NPV</t>
  </si>
  <si>
    <t>Shar. NPV</t>
  </si>
  <si>
    <t>Detail</t>
  </si>
  <si>
    <t>Market</t>
  </si>
  <si>
    <t>Customer</t>
  </si>
  <si>
    <t>Shareholder</t>
  </si>
  <si>
    <t>w/ prob.</t>
  </si>
  <si>
    <t>Total</t>
  </si>
  <si>
    <t>Result</t>
  </si>
  <si>
    <t>Year index</t>
  </si>
  <si>
    <t>Business case author</t>
  </si>
  <si>
    <t>Gate approval stage</t>
  </si>
  <si>
    <t>Gate 1</t>
  </si>
  <si>
    <t>Date</t>
  </si>
  <si>
    <t>Name</t>
  </si>
  <si>
    <t>Reg ID</t>
  </si>
  <si>
    <t>Investment type</t>
  </si>
  <si>
    <t>Project</t>
  </si>
  <si>
    <t>Investment area</t>
  </si>
  <si>
    <t>Network</t>
  </si>
  <si>
    <t>Need date</t>
  </si>
  <si>
    <t>Investment driver</t>
  </si>
  <si>
    <t>Brief project/program description</t>
  </si>
  <si>
    <t>Investment overview and details</t>
  </si>
  <si>
    <t>Standard network project / AER category</t>
  </si>
  <si>
    <t>Type</t>
  </si>
  <si>
    <t>Asset</t>
  </si>
  <si>
    <t>Asset life</t>
  </si>
  <si>
    <t>Asset description</t>
  </si>
  <si>
    <t>Regulatory</t>
  </si>
  <si>
    <t>Distribution</t>
  </si>
  <si>
    <t>IT systems</t>
  </si>
  <si>
    <t>Manual asset life input</t>
  </si>
  <si>
    <t>Asset life used in calculations</t>
  </si>
  <si>
    <t>Last year</t>
  </si>
  <si>
    <t>Last year of longest useful asset life option</t>
  </si>
  <si>
    <t>NPV inputs</t>
  </si>
  <si>
    <t>Description (if required)</t>
  </si>
  <si>
    <t>year index vs current year</t>
  </si>
  <si>
    <t>Component 1</t>
  </si>
  <si>
    <t>Direct labour</t>
  </si>
  <si>
    <t>Materials</t>
  </si>
  <si>
    <t>Contracted services</t>
  </si>
  <si>
    <t>Indirect labour / overheads</t>
  </si>
  <si>
    <t>Other</t>
  </si>
  <si>
    <t>Used for QuickCalc, override if using full inputs</t>
  </si>
  <si>
    <t>Component 2 (if required)</t>
  </si>
  <si>
    <t>Component 3 (if required)</t>
  </si>
  <si>
    <t>Component 4 (if required)</t>
  </si>
  <si>
    <t>Proceeds of sale</t>
  </si>
  <si>
    <t>Contingency</t>
  </si>
  <si>
    <t>Land</t>
  </si>
  <si>
    <t>Sunk cost</t>
  </si>
  <si>
    <t>Previous capex costs excl land</t>
  </si>
  <si>
    <t>Phase 1</t>
  </si>
  <si>
    <t>Phase 2 (if required)</t>
  </si>
  <si>
    <t>Phase 3 (if required)</t>
  </si>
  <si>
    <t>Phase 4 (if required)</t>
  </si>
  <si>
    <t>Phase 5 (if required)</t>
  </si>
  <si>
    <t>Benefit 1</t>
  </si>
  <si>
    <t>Benefit 2</t>
  </si>
  <si>
    <t>Benefit 3</t>
  </si>
  <si>
    <t>Regulated revenue - Incentive schemes</t>
  </si>
  <si>
    <t>STPIS</t>
  </si>
  <si>
    <t xml:space="preserve"> </t>
  </si>
  <si>
    <t>DMIS</t>
  </si>
  <si>
    <t>DMIS incentive %</t>
  </si>
  <si>
    <t>ACS revenue</t>
  </si>
  <si>
    <t>Unregulatory revenue subject to SAG?</t>
  </si>
  <si>
    <t>Yes</t>
  </si>
  <si>
    <t>Opex investment</t>
  </si>
  <si>
    <t>Shareholder/customer switch</t>
  </si>
  <si>
    <t>See note above - Shareholder = 1, Customer = 0</t>
  </si>
  <si>
    <t>Component 2</t>
  </si>
  <si>
    <t>Component 3</t>
  </si>
  <si>
    <t>EBSS years of customer benefits</t>
  </si>
  <si>
    <t>Leave as 50 unless there is a specific reason to curtail opex cost/benefit</t>
  </si>
  <si>
    <t>Repairs &amp; maintenance (Planned &amp; unplanned)</t>
  </si>
  <si>
    <t>Demand management opex</t>
  </si>
  <si>
    <t>Opex benefit 1</t>
  </si>
  <si>
    <t>Opex cost 1</t>
  </si>
  <si>
    <t>Probabilistic cost &amp; benefits</t>
  </si>
  <si>
    <t>Error checks</t>
  </si>
  <si>
    <t>Total depreciation &lt; Total capex excl land + Total future capex excl land</t>
  </si>
  <si>
    <t>All capex &amp; future capex negative. Check if positive cash flow is correct</t>
  </si>
  <si>
    <t>Checks all NPV table checks (Investment NPV perspective summary tables and tables behind graphs in NPV graphing)</t>
  </si>
  <si>
    <t>EBSS switch</t>
  </si>
  <si>
    <t>CESS switch</t>
  </si>
  <si>
    <t>Switch</t>
  </si>
  <si>
    <t>WACC</t>
  </si>
  <si>
    <t>Low</t>
  </si>
  <si>
    <t>Use longest useful asset life valuation period</t>
  </si>
  <si>
    <t>Off</t>
  </si>
  <si>
    <t>Automatic STPIS EUE calculation</t>
  </si>
  <si>
    <t>No</t>
  </si>
  <si>
    <t>Avg WACC</t>
  </si>
  <si>
    <t>Summary for prioritisation</t>
  </si>
  <si>
    <t>VIR</t>
  </si>
  <si>
    <t>Investment</t>
  </si>
  <si>
    <t>w/o prob.</t>
  </si>
  <si>
    <t>Probabilistic</t>
  </si>
  <si>
    <t>Capex</t>
  </si>
  <si>
    <t>Future</t>
  </si>
  <si>
    <t>Opex</t>
  </si>
  <si>
    <t>Additional investment cost breakdown</t>
  </si>
  <si>
    <t>Investment breakdown over time</t>
  </si>
  <si>
    <t>Capex cost excl Land</t>
  </si>
  <si>
    <t>Contingency ($)</t>
  </si>
  <si>
    <t>Contingency (% of total)</t>
  </si>
  <si>
    <t>Land Capex</t>
  </si>
  <si>
    <t>Future capex cost excl Land</t>
  </si>
  <si>
    <t>Future capex cost - Land</t>
  </si>
  <si>
    <t>Total investment</t>
  </si>
  <si>
    <t>Investment NPV perspective summary tables</t>
  </si>
  <si>
    <t>DUOS</t>
  </si>
  <si>
    <t>Incentive schemes</t>
  </si>
  <si>
    <t>Societal benefits</t>
  </si>
  <si>
    <t>Unregulated revenue (incl SAG)</t>
  </si>
  <si>
    <t>Customer NPV</t>
  </si>
  <si>
    <t>NPV Check</t>
  </si>
  <si>
    <t>Customer perspective</t>
  </si>
  <si>
    <t>$ million</t>
  </si>
  <si>
    <t>Future capex</t>
  </si>
  <si>
    <t>Regulatory revenue</t>
  </si>
  <si>
    <t>Shareholder NPV</t>
  </si>
  <si>
    <t>Shareholder perspective</t>
  </si>
  <si>
    <t>NPV graphing</t>
  </si>
  <si>
    <t xml:space="preserve">Notes: </t>
  </si>
  <si>
    <t>Where rise and fall labels return #N/A, this is formula driven and is not a model calculation error</t>
  </si>
  <si>
    <t>Values have been divided by 1,000,000 to convert into $ millions</t>
  </si>
  <si>
    <t xml:space="preserve">If adding/editing waterfall data/categories, be careful to ensure data labels are correct as these are hard coded and may need to be relinked if additional rows are inserted
</t>
  </si>
  <si>
    <t xml:space="preserve">To change graph x-axis labels, edit content in column AH (highlighted in yellow - inputs)
</t>
  </si>
  <si>
    <t>Data for bridge bar chart - do not alter</t>
  </si>
  <si>
    <t>$</t>
  </si>
  <si>
    <t>Calc</t>
  </si>
  <si>
    <t>Cum</t>
  </si>
  <si>
    <t>Bridge</t>
  </si>
  <si>
    <t>Base above 0</t>
  </si>
  <si>
    <t>Rise above 0</t>
  </si>
  <si>
    <t>Fall Above 0</t>
  </si>
  <si>
    <t>Rise below 0</t>
  </si>
  <si>
    <t>Fall Below 0</t>
  </si>
  <si>
    <t>Rise labels</t>
  </si>
  <si>
    <t>Fall labels</t>
  </si>
  <si>
    <t>EBSS</t>
  </si>
  <si>
    <t>CESS</t>
  </si>
  <si>
    <t>Cash cost &amp; benefit NPV</t>
  </si>
  <si>
    <t>Total shareholder NPV</t>
  </si>
  <si>
    <t>NPV Check:</t>
  </si>
  <si>
    <t>Scale adjustment for labels (default: zero) ----&gt;</t>
  </si>
  <si>
    <t>Suggested scale adjustment (estimate only) ---&gt;</t>
  </si>
  <si>
    <t>Mapping naming</t>
  </si>
  <si>
    <t>Total customer NPV</t>
  </si>
  <si>
    <t>Total market NPV</t>
  </si>
  <si>
    <t>Chart labels</t>
  </si>
  <si>
    <t>Capex benefits (CESS)</t>
  </si>
  <si>
    <t>Development opex</t>
  </si>
  <si>
    <t>Opex (EBSS)</t>
  </si>
  <si>
    <t>Other incentives</t>
  </si>
  <si>
    <t>Other incentives (CESS, DMIS)</t>
  </si>
  <si>
    <t>Cash  NPV</t>
  </si>
  <si>
    <t>Probabilistic benefits</t>
  </si>
  <si>
    <t>Total Shareholder</t>
  </si>
  <si>
    <t>Other costs</t>
  </si>
  <si>
    <t xml:space="preserve">Other cost impacts </t>
  </si>
  <si>
    <t>Unreg revenue</t>
  </si>
  <si>
    <t>Cash NPV</t>
  </si>
  <si>
    <t>Regulatory  revenue</t>
  </si>
  <si>
    <t>Net opex</t>
  </si>
  <si>
    <t>Other opex</t>
  </si>
  <si>
    <t>Deferral graph</t>
  </si>
  <si>
    <t>Mapping</t>
  </si>
  <si>
    <t>Benefit/cost</t>
  </si>
  <si>
    <t>Reduced safety risk</t>
  </si>
  <si>
    <t>Reduced reactive replacement risk</t>
  </si>
  <si>
    <t>Reduced other risk</t>
  </si>
  <si>
    <t>Reduce network asset failure EUE</t>
  </si>
  <si>
    <t>Annualised deferral benefit</t>
  </si>
  <si>
    <t>Total check</t>
  </si>
  <si>
    <t>Year indexing</t>
  </si>
  <si>
    <t>Model year number</t>
  </si>
  <si>
    <t>Index</t>
  </si>
  <si>
    <t>Shareholder discount factor</t>
  </si>
  <si>
    <t>Cash flow summary</t>
  </si>
  <si>
    <t>Note: Sunk costs not shown/included in cash flow summary table as pre-date current year</t>
  </si>
  <si>
    <t>Note: When copy and pasting into business cases, only use the 5 year period outlined for simplicity (i.e. do not copy the pattern fill section of the table)</t>
  </si>
  <si>
    <t>Note: Capex benefits include return on/of capital</t>
  </si>
  <si>
    <t>Item ($M)</t>
  </si>
  <si>
    <t>Ongoing opex</t>
  </si>
  <si>
    <t>Unregulated revenue - Shareholder</t>
  </si>
  <si>
    <t>Regulatory revenue - Return on capital</t>
  </si>
  <si>
    <t>Regulatory revenue - Return of capital</t>
  </si>
  <si>
    <t>Regulatory revenue - Terminal value of total capex</t>
  </si>
  <si>
    <t>Net cashflow</t>
  </si>
  <si>
    <t>NPV (life of project)</t>
  </si>
  <si>
    <t>Check</t>
  </si>
  <si>
    <t>Capex summary</t>
  </si>
  <si>
    <t>Note: Sunk costs not shown/included in capex summary table as pre-date current year</t>
  </si>
  <si>
    <t>Total invested capex</t>
  </si>
  <si>
    <t>Net capex</t>
  </si>
  <si>
    <t>Opex summary</t>
  </si>
  <si>
    <t>Ongoing/new opex</t>
  </si>
  <si>
    <t>Opex benefits</t>
  </si>
  <si>
    <t>Key information for the model user</t>
  </si>
  <si>
    <t>Sheet descriptions</t>
  </si>
  <si>
    <t>Model overview</t>
  </si>
  <si>
    <r>
      <t>Provides an overview of the model logic (</t>
    </r>
    <r>
      <rPr>
        <b/>
        <i/>
        <sz val="8"/>
        <color theme="1"/>
        <rFont val="Calibri"/>
        <family val="2"/>
        <scheme val="minor"/>
      </rPr>
      <t>for information only</t>
    </r>
    <r>
      <rPr>
        <sz val="8"/>
        <color theme="1"/>
        <rFont val="Calibri"/>
        <family val="2"/>
        <scheme val="minor"/>
      </rPr>
      <t>)</t>
    </r>
  </si>
  <si>
    <t>NPV overview</t>
  </si>
  <si>
    <r>
      <t>Provides an overview of the NPV methodology used in the model (</t>
    </r>
    <r>
      <rPr>
        <b/>
        <i/>
        <sz val="8"/>
        <color theme="1"/>
        <rFont val="Calibri"/>
        <family val="2"/>
        <scheme val="minor"/>
      </rPr>
      <t>for information only</t>
    </r>
    <r>
      <rPr>
        <sz val="8"/>
        <color theme="1"/>
        <rFont val="Calibri"/>
        <family val="2"/>
        <scheme val="minor"/>
      </rPr>
      <t>)</t>
    </r>
  </si>
  <si>
    <t>QuickCalc</t>
  </si>
  <si>
    <r>
      <t xml:space="preserve">Provides a faster and easier calculation approach for the purpose of initial estimates only (sense-checking etc.) - </t>
    </r>
    <r>
      <rPr>
        <b/>
        <i/>
        <sz val="8"/>
        <color theme="1"/>
        <rFont val="Calibri"/>
        <family val="2"/>
      </rPr>
      <t>to be filled by the user</t>
    </r>
    <r>
      <rPr>
        <sz val="8"/>
        <color theme="1"/>
        <rFont val="Calibri"/>
        <family val="2"/>
        <scheme val="minor"/>
      </rPr>
      <t xml:space="preserve">. </t>
    </r>
    <r>
      <rPr>
        <b/>
        <sz val="8"/>
        <color theme="1"/>
        <rFont val="Calibri"/>
        <family val="2"/>
        <scheme val="minor"/>
      </rPr>
      <t>This sheet should be left blank if the dedicated input sheet is being used</t>
    </r>
    <r>
      <rPr>
        <sz val="8"/>
        <color theme="1"/>
        <rFont val="Calibri"/>
        <family val="2"/>
        <scheme val="minor"/>
      </rPr>
      <t>.</t>
    </r>
  </si>
  <si>
    <r>
      <t>Inputs to be entered by the model owner (</t>
    </r>
    <r>
      <rPr>
        <b/>
        <i/>
        <sz val="8"/>
        <color theme="1"/>
        <rFont val="Calibri"/>
        <family val="2"/>
        <scheme val="minor"/>
      </rPr>
      <t>to be filled by the user</t>
    </r>
    <r>
      <rPr>
        <sz val="8"/>
        <color theme="1"/>
        <rFont val="Calibri"/>
        <family val="2"/>
        <scheme val="minor"/>
      </rPr>
      <t>) for the proposed business case</t>
    </r>
  </si>
  <si>
    <t>Output</t>
  </si>
  <si>
    <r>
      <t xml:space="preserve">Outputs </t>
    </r>
    <r>
      <rPr>
        <b/>
        <i/>
        <sz val="8"/>
        <color theme="1"/>
        <rFont val="Calibri"/>
        <family val="2"/>
        <scheme val="minor"/>
      </rPr>
      <t>(customer NPV chart, shareholder NPV chart and market NPV chart)</t>
    </r>
    <r>
      <rPr>
        <sz val="8"/>
        <color theme="1"/>
        <rFont val="Calibri"/>
        <family val="2"/>
        <scheme val="minor"/>
      </rPr>
      <t xml:space="preserve"> to be copied and pasted in the business case document</t>
    </r>
  </si>
  <si>
    <t>Tables_Business Case</t>
  </si>
  <si>
    <t>Table(s) to be inserted in the business case template</t>
  </si>
  <si>
    <t>Calcs</t>
  </si>
  <si>
    <r>
      <t>Calculations underpinned by the inputs and assumptions entered in the model (</t>
    </r>
    <r>
      <rPr>
        <b/>
        <sz val="8"/>
        <color theme="1"/>
        <rFont val="Calibri"/>
        <family val="2"/>
        <scheme val="minor"/>
      </rPr>
      <t>for review purposes only</t>
    </r>
    <r>
      <rPr>
        <sz val="8"/>
        <color theme="1"/>
        <rFont val="Calibri"/>
        <family val="2"/>
        <scheme val="minor"/>
      </rPr>
      <t>)</t>
    </r>
  </si>
  <si>
    <r>
      <t>Assumptions entered by the finance team (</t>
    </r>
    <r>
      <rPr>
        <b/>
        <i/>
        <sz val="8"/>
        <color theme="1"/>
        <rFont val="Calibri"/>
        <family val="2"/>
        <scheme val="minor"/>
      </rPr>
      <t>for review purposes only and can only be edited post discussions with finance</t>
    </r>
    <r>
      <rPr>
        <sz val="8"/>
        <color theme="1"/>
        <rFont val="Calibri"/>
        <family val="2"/>
        <scheme val="minor"/>
      </rPr>
      <t>)</t>
    </r>
  </si>
  <si>
    <t>EBSS_CESS</t>
  </si>
  <si>
    <r>
      <t>Supports calculation of EBSS and CESS (</t>
    </r>
    <r>
      <rPr>
        <b/>
        <i/>
        <sz val="8"/>
        <color theme="1"/>
        <rFont val="Calibri"/>
        <family val="2"/>
        <scheme val="minor"/>
      </rPr>
      <t>for review purposes only</t>
    </r>
    <r>
      <rPr>
        <sz val="8"/>
        <color theme="1"/>
        <rFont val="Calibri"/>
        <family val="2"/>
        <scheme val="minor"/>
      </rPr>
      <t>)</t>
    </r>
  </si>
  <si>
    <t>Colour coding of cells</t>
  </si>
  <si>
    <t>Indicate that an input or decision is required by the model owner</t>
  </si>
  <si>
    <t>Automatically calculated - not to be updated</t>
  </si>
  <si>
    <t>Drop down allowing selection from different options</t>
  </si>
  <si>
    <t>Calculated by the model based on inputs</t>
  </si>
  <si>
    <t>Pre-populated assumptions underpinning the model. These cells should not be amended and finance will update as and when required</t>
  </si>
  <si>
    <t>Comment boxes which provide user specific instructions</t>
  </si>
  <si>
    <t>Formula is discontinued from the previous cells</t>
  </si>
  <si>
    <t>Sheet &gt;&gt; Input</t>
  </si>
  <si>
    <t>Cash inputs</t>
  </si>
  <si>
    <t>Financial years (row 67) are updated based on the base year entered in the assumptions tab (row 19 column L). The base year is set as 2022 but the user can change the base year manually in the assumptions tab if necessary.</t>
  </si>
  <si>
    <r>
      <t xml:space="preserve">Cash outflows (costs) should be entered as </t>
    </r>
    <r>
      <rPr>
        <b/>
        <i/>
        <sz val="8"/>
        <color rgb="FFFF0000"/>
        <rFont val="Calibri"/>
        <family val="2"/>
        <scheme val="minor"/>
      </rPr>
      <t>negative</t>
    </r>
    <r>
      <rPr>
        <sz val="8"/>
        <color theme="1"/>
        <rFont val="Calibri"/>
        <family val="2"/>
        <scheme val="minor"/>
      </rPr>
      <t xml:space="preserve"> values</t>
    </r>
  </si>
  <si>
    <r>
      <t xml:space="preserve">Cash inflows (benefits or revenues) should be entered as </t>
    </r>
    <r>
      <rPr>
        <b/>
        <i/>
        <sz val="8"/>
        <color rgb="FFFF0000"/>
        <rFont val="Calibri"/>
        <family val="2"/>
        <scheme val="minor"/>
      </rPr>
      <t>positive</t>
    </r>
    <r>
      <rPr>
        <sz val="8"/>
        <color rgb="FFFF0000"/>
        <rFont val="Calibri"/>
        <family val="2"/>
        <scheme val="minor"/>
      </rPr>
      <t xml:space="preserve"> </t>
    </r>
    <r>
      <rPr>
        <sz val="8"/>
        <color theme="1"/>
        <rFont val="Calibri"/>
        <family val="2"/>
        <scheme val="minor"/>
      </rPr>
      <t>values</t>
    </r>
  </si>
  <si>
    <r>
      <t xml:space="preserve">Capex cost of the project is entered in </t>
    </r>
    <r>
      <rPr>
        <b/>
        <i/>
        <sz val="8"/>
        <color theme="1"/>
        <rFont val="Calibri"/>
        <family val="2"/>
        <scheme val="minor"/>
      </rPr>
      <t>rows  70 to 75</t>
    </r>
    <r>
      <rPr>
        <sz val="8"/>
        <color theme="1"/>
        <rFont val="Calibri"/>
        <family val="2"/>
        <scheme val="minor"/>
      </rPr>
      <t xml:space="preserve"> (only "component 1" is required in most instances)</t>
    </r>
  </si>
  <si>
    <r>
      <t xml:space="preserve">Any ongoing opex (positive and negative) to be entered in </t>
    </r>
    <r>
      <rPr>
        <b/>
        <i/>
        <sz val="8"/>
        <color theme="1"/>
        <rFont val="Calibri"/>
        <family val="2"/>
        <scheme val="minor"/>
      </rPr>
      <t xml:space="preserve">rows 218 to 260. </t>
    </r>
    <r>
      <rPr>
        <sz val="8"/>
        <color theme="1"/>
        <rFont val="Calibri"/>
        <family val="2"/>
        <scheme val="minor"/>
      </rPr>
      <t>Note that any opex forecasts after 5 years from the first year of cash flow is not accounted in the calculations due to the EBSS modelling period</t>
    </r>
  </si>
  <si>
    <r>
      <t xml:space="preserve">The period of NPV calculation should be in line with the life of the asset shown in </t>
    </r>
    <r>
      <rPr>
        <b/>
        <i/>
        <sz val="8"/>
        <color theme="1"/>
        <rFont val="Calibri"/>
        <family val="2"/>
        <scheme val="minor"/>
      </rPr>
      <t>rows 34 to 56</t>
    </r>
  </si>
  <si>
    <t>Any STPIS benefit/dis-benefit (row 163) should be entered such that it starts 2 years post completion of the project and continues for a 5 year period. The model owner needs to establish whether the proposed investment impacts STPIS, and these impacts must be calculated outside of the model</t>
  </si>
  <si>
    <r>
      <t xml:space="preserve">EBSS is calculated if any incremental opex cost/benefits is entered in row 218 to 260. EBSS is calculated automatically and should always be </t>
    </r>
    <r>
      <rPr>
        <b/>
        <sz val="8"/>
        <color theme="1"/>
        <rFont val="Calibri"/>
        <family val="2"/>
        <scheme val="minor"/>
      </rPr>
      <t>"on"</t>
    </r>
  </si>
  <si>
    <r>
      <t>EBSS should be turned</t>
    </r>
    <r>
      <rPr>
        <b/>
        <sz val="8"/>
        <color theme="1"/>
        <rFont val="Calibri"/>
        <family val="2"/>
        <scheme val="minor"/>
      </rPr>
      <t xml:space="preserve"> off (sheet output column H row 17)</t>
    </r>
    <r>
      <rPr>
        <sz val="8"/>
        <color theme="1"/>
        <rFont val="Calibri"/>
        <family val="2"/>
        <scheme val="minor"/>
      </rPr>
      <t xml:space="preserve"> if the project comprises multiple line of business costs/benefits i.e. SCS and ACS. Model owner should liaise with finance for proper financial treatment</t>
    </r>
  </si>
  <si>
    <r>
      <t>CESS calculation is by default turned</t>
    </r>
    <r>
      <rPr>
        <b/>
        <sz val="8"/>
        <color theme="1"/>
        <rFont val="Calibri"/>
        <family val="2"/>
        <scheme val="minor"/>
      </rPr>
      <t xml:space="preserve"> off</t>
    </r>
    <r>
      <rPr>
        <sz val="8"/>
        <color theme="1"/>
        <rFont val="Calibri"/>
        <family val="2"/>
        <scheme val="minor"/>
      </rPr>
      <t xml:space="preserve"> in the model (sheet output row 17 column I). Finance business partner will confirm whether the CESS benefit/dis-benefit applies to the proposed investment</t>
    </r>
  </si>
  <si>
    <t>DMIS is automatically calculated if any demand management opex is entered in rows 227 to 232. The model owner needs to establish whether the proposed investment qualifies for DMIS</t>
  </si>
  <si>
    <r>
      <t xml:space="preserve">Any unregulated opex/costs (only applicable for Plus ES investments) should be entered as a net value </t>
    </r>
    <r>
      <rPr>
        <b/>
        <sz val="8"/>
        <color theme="1"/>
        <rFont val="Calibri"/>
        <family val="2"/>
        <scheme val="minor"/>
      </rPr>
      <t>(cost - benefits)</t>
    </r>
    <r>
      <rPr>
        <sz val="8"/>
        <color theme="1"/>
        <rFont val="Calibri"/>
        <family val="2"/>
        <scheme val="minor"/>
      </rPr>
      <t xml:space="preserve"> in row 187. For all other investments, only unregulated revenue should be entered in this category. Please contact your finance business partner for proper financial treatement </t>
    </r>
  </si>
  <si>
    <t>Enter probabilistic cost and benefits in rows 278 to 303</t>
  </si>
  <si>
    <t>Use the probabilistic NPV tool, or other existing methodologies (for network investments) for calculation of probabilistic cashflows</t>
  </si>
  <si>
    <t>Refer to the matrix included in the probabilistic NPV tool to assess whether a particular probabilistic input applies to the proposed investment</t>
  </si>
  <si>
    <r>
      <t xml:space="preserve">Service target performance incentive scheme </t>
    </r>
    <r>
      <rPr>
        <b/>
        <sz val="8"/>
        <color theme="1"/>
        <rFont val="Calibri"/>
        <family val="2"/>
        <scheme val="minor"/>
      </rPr>
      <t xml:space="preserve">(STPIS) </t>
    </r>
    <r>
      <rPr>
        <sz val="8"/>
        <color theme="1"/>
        <rFont val="Calibri"/>
        <family val="2"/>
        <scheme val="minor"/>
      </rPr>
      <t>rewards/penalties are provided to Ausgrid based on the performance against network reliability targets i.e. unplanned outages and rewarded or penalised based on actual outcome</t>
    </r>
  </si>
  <si>
    <r>
      <t xml:space="preserve">Efficiency benefit sharing scheme </t>
    </r>
    <r>
      <rPr>
        <b/>
        <sz val="8"/>
        <color theme="1"/>
        <rFont val="Calibri"/>
        <family val="2"/>
        <scheme val="minor"/>
      </rPr>
      <t xml:space="preserve">(EBSS) </t>
    </r>
    <r>
      <rPr>
        <sz val="8"/>
        <color theme="1"/>
        <rFont val="Calibri"/>
        <family val="2"/>
        <scheme val="minor"/>
      </rPr>
      <t>allows Ausgrid to retain any underspend in opex and bear the cost of any overspend - for a total of six years.  Ausgrid receives a carryover rewards/penalties in the next regulatory period's revenue determination</t>
    </r>
  </si>
  <si>
    <r>
      <t xml:space="preserve">Under capital expenditure sharing scheme </t>
    </r>
    <r>
      <rPr>
        <b/>
        <sz val="8"/>
        <color theme="1"/>
        <rFont val="Calibri"/>
        <family val="2"/>
        <scheme val="minor"/>
      </rPr>
      <t xml:space="preserve">(CESS) </t>
    </r>
    <r>
      <rPr>
        <sz val="8"/>
        <color theme="1"/>
        <rFont val="Calibri"/>
        <family val="2"/>
        <scheme val="minor"/>
      </rPr>
      <t>Ausgrid is entitled to retain 30% of any capex underspend relative to the allowance set by the AER. Ausgrid receives a reward/penalty in the next period's revenue determination</t>
    </r>
  </si>
  <si>
    <r>
      <t xml:space="preserve">Demand management incentive scheme </t>
    </r>
    <r>
      <rPr>
        <b/>
        <sz val="8"/>
        <color theme="1"/>
        <rFont val="Calibri"/>
        <family val="2"/>
        <scheme val="minor"/>
      </rPr>
      <t xml:space="preserve">(DMIS) </t>
    </r>
    <r>
      <rPr>
        <sz val="8"/>
        <color theme="1"/>
        <rFont val="Calibri"/>
        <family val="2"/>
        <scheme val="minor"/>
      </rPr>
      <t>provides an incentive to Ausgrid for undertaking demand management projects that have the potential to reduce long term capital costs</t>
    </r>
  </si>
  <si>
    <t>Sheet&gt;&gt; Output_Tables</t>
  </si>
  <si>
    <t>Relevant tables are included in the tab which can be copied and pasted in the business case template. User should amend the table as and when required as per the business case need</t>
  </si>
  <si>
    <t>MODEL LOGIC</t>
  </si>
  <si>
    <r>
      <t xml:space="preserve">The purpose of this model is to evaluate proposed investments. A net present value is calculated from both a shareholder perspective as well as a customer perspective (and a combined market perspective) to ensure that investments are reviewed from both key stakeholder perspectives. This sheet explains how the two components of the model, the NPV model and the ProbNPV tool (which is an optional and standalone component), relate to one another. It also shows the sheet structure of the model with respect to the flow of data between assumption, input, calculation, and output sheets. Assumption sheets are only to be edited by the </t>
    </r>
    <r>
      <rPr>
        <b/>
        <sz val="8"/>
        <rFont val="Calibri"/>
        <family val="2"/>
      </rPr>
      <t xml:space="preserve">model owner, </t>
    </r>
    <r>
      <rPr>
        <sz val="8"/>
        <rFont val="Calibri"/>
        <family val="2"/>
      </rPr>
      <t xml:space="preserve">with </t>
    </r>
    <r>
      <rPr>
        <b/>
        <sz val="8"/>
        <rFont val="Calibri"/>
        <family val="2"/>
      </rPr>
      <t xml:space="preserve">business case owners to provide input into input data sheets only. 
Note: </t>
    </r>
    <r>
      <rPr>
        <sz val="8"/>
        <rFont val="Calibri"/>
        <family val="2"/>
      </rPr>
      <t>The value of future optionality can be valued using real option analysis which the model can assist with but not perform. When selecting a valuation period for this option, you should select a valuation period equal to the option being considered with the longest useful asset life.</t>
    </r>
  </si>
  <si>
    <t>Overall model structure</t>
  </si>
  <si>
    <t>This sheet explains the logic behind the model for each cost and benefit category (NPV cost and benefit buckets), followed by how they relate to NPV from shareholder, customer, and market perspectives</t>
  </si>
  <si>
    <t>Assumption</t>
  </si>
  <si>
    <t xml:space="preserve">Summary measure </t>
  </si>
  <si>
    <t>NPV cost and financial performance buckets</t>
  </si>
  <si>
    <t>Cost - Capex</t>
  </si>
  <si>
    <t>Cost - Future Capex</t>
  </si>
  <si>
    <t>Cost - Investment opex</t>
  </si>
  <si>
    <t>Benefit - Capex benefits</t>
  </si>
  <si>
    <t>Financial performance - Regulatory revenue</t>
  </si>
  <si>
    <t>Financial performance - Non-regulatory revenue</t>
  </si>
  <si>
    <t>Financial performance - Opex impact</t>
  </si>
  <si>
    <t>Financial performance - Incentive schemes</t>
  </si>
  <si>
    <t>Probabilistic cashflows</t>
  </si>
  <si>
    <t>NPV perspectives</t>
  </si>
  <si>
    <t>FY</t>
  </si>
  <si>
    <t>NPV</t>
  </si>
  <si>
    <t>Total value</t>
  </si>
  <si>
    <t>NPV calculations</t>
  </si>
  <si>
    <t>Discount factor shareholder WACC</t>
  </si>
  <si>
    <t>Discount factor customer WACC</t>
  </si>
  <si>
    <t>Discount factor inflation rate</t>
  </si>
  <si>
    <t>Nominal value</t>
  </si>
  <si>
    <t>Real value</t>
  </si>
  <si>
    <t>Total excl Land</t>
  </si>
  <si>
    <t>Total capex cost</t>
  </si>
  <si>
    <t>Last year of capex investment</t>
  </si>
  <si>
    <t>Total future capex cost</t>
  </si>
  <si>
    <t>Last year of future capex investment</t>
  </si>
  <si>
    <t>Last year of capex benefits</t>
  </si>
  <si>
    <t>Depreciation</t>
  </si>
  <si>
    <t>Capex depreciation</t>
  </si>
  <si>
    <t>Annual capex depreciation</t>
  </si>
  <si>
    <t>Reverse annual capex depreciation after asset life</t>
  </si>
  <si>
    <t>Part-year capex depreciation</t>
  </si>
  <si>
    <t>Reverse part-year capex depreciation after asset life</t>
  </si>
  <si>
    <t>Sunk cost depreciation</t>
  </si>
  <si>
    <t>Annual sunk cost depreciation</t>
  </si>
  <si>
    <t>Reverse annual sunk cost depreciation after asset life</t>
  </si>
  <si>
    <t>Part-year sunk cost depreciation</t>
  </si>
  <si>
    <t>Reverse part-year sunk cost depreciation after asset life</t>
  </si>
  <si>
    <t>Future capex depreciation</t>
  </si>
  <si>
    <t>Annual future capex depreciation</t>
  </si>
  <si>
    <t>Reverse annual future capex depreciation after asset life</t>
  </si>
  <si>
    <t>Part-year future capex depreciation</t>
  </si>
  <si>
    <t>Reverse part-year future capex depreciation after asset life</t>
  </si>
  <si>
    <t>Capex benefits depreciation</t>
  </si>
  <si>
    <t>Annual capex benefits depreciation</t>
  </si>
  <si>
    <t>Reverse annual capex benefits depreciation after asset life</t>
  </si>
  <si>
    <t>Part-year capex benefits depreciation</t>
  </si>
  <si>
    <t>Reverse part-year capex benefits depreciation after asset life</t>
  </si>
  <si>
    <t>Book value</t>
  </si>
  <si>
    <t>Book value capex cost</t>
  </si>
  <si>
    <t>Book value sunk cost</t>
  </si>
  <si>
    <t>Book value future capex cost</t>
  </si>
  <si>
    <t>Total book value</t>
  </si>
  <si>
    <t>Book value capex benefits</t>
  </si>
  <si>
    <t>Capex benefits - Return on capital</t>
  </si>
  <si>
    <t>Return on capital - Capex cost</t>
  </si>
  <si>
    <t>Return on capital - Sunk cost</t>
  </si>
  <si>
    <t>Return on capital - Future capex cost</t>
  </si>
  <si>
    <t>Total return on capital</t>
  </si>
  <si>
    <t>Capex benefits - Return of capital</t>
  </si>
  <si>
    <t>Return of capital - Capex cost</t>
  </si>
  <si>
    <t>Return of capital - Sunk cost</t>
  </si>
  <si>
    <t>Return of capital - Future capex cost</t>
  </si>
  <si>
    <t>Total return of capital</t>
  </si>
  <si>
    <t>Capex benefits - Terminal value</t>
  </si>
  <si>
    <t>Total capex terminal value (if full model valuation period)</t>
  </si>
  <si>
    <t>Total capex terminal value (if restricted valuation period)</t>
  </si>
  <si>
    <t>Total unregulated revenue</t>
  </si>
  <si>
    <t>Unregulated revenue - Customer</t>
  </si>
  <si>
    <t>Total investment opex</t>
  </si>
  <si>
    <t>First  year of ongoing new opex</t>
  </si>
  <si>
    <t>Total ongoing new opex</t>
  </si>
  <si>
    <t>Min EBSS year</t>
  </si>
  <si>
    <t>Max EBSS year</t>
  </si>
  <si>
    <t>CESS per $ invested</t>
  </si>
  <si>
    <t>Total incentive schemes</t>
  </si>
  <si>
    <t>STPIS first year</t>
  </si>
  <si>
    <t>Starting year</t>
  </si>
  <si>
    <t>Total probailistic cost &amp; benefits</t>
  </si>
  <si>
    <t>NPV calculations summary</t>
  </si>
  <si>
    <t>Longest useful asset life switch (for NPV/IRR valuation period)</t>
  </si>
  <si>
    <t>NPV perspective mapping</t>
  </si>
  <si>
    <t>Output category</t>
  </si>
  <si>
    <t>-</t>
  </si>
  <si>
    <t>Total capex benefits</t>
  </si>
  <si>
    <t>Total capex terminal value</t>
  </si>
  <si>
    <t>STPIS - incremental increase</t>
  </si>
  <si>
    <t>CHECK</t>
  </si>
  <si>
    <t>Total Customer</t>
  </si>
  <si>
    <t>Total Market</t>
  </si>
  <si>
    <t>Annual defferal benefit</t>
  </si>
  <si>
    <t>Currently calculated in Output worksheet.</t>
  </si>
  <si>
    <t>Various</t>
  </si>
  <si>
    <t>Value</t>
  </si>
  <si>
    <t>Current year (FY)</t>
  </si>
  <si>
    <t>year</t>
  </si>
  <si>
    <t>SAG factor</t>
  </si>
  <si>
    <t>Source: AER</t>
  </si>
  <si>
    <t>%</t>
  </si>
  <si>
    <t>RAB multiple</t>
  </si>
  <si>
    <t xml:space="preserve">Source: </t>
  </si>
  <si>
    <t>factor</t>
  </si>
  <si>
    <t>Inflation rate</t>
  </si>
  <si>
    <t>Source: ABS cat. 6401 All Australia</t>
  </si>
  <si>
    <t>Note: For 2015 column, it contains the inflation from Jun '14 to Jun '15</t>
  </si>
  <si>
    <t>Shareholder WACC</t>
  </si>
  <si>
    <t>Source: Corporate model</t>
  </si>
  <si>
    <t>Note: Assumed real pre-tax</t>
  </si>
  <si>
    <t>High</t>
  </si>
  <si>
    <t>Average</t>
  </si>
  <si>
    <t>Output setting</t>
  </si>
  <si>
    <t>Avg</t>
  </si>
  <si>
    <t>Customer WACC</t>
  </si>
  <si>
    <t>Asset life and grouping assumptions</t>
  </si>
  <si>
    <t>Categories</t>
  </si>
  <si>
    <t>Standard network</t>
  </si>
  <si>
    <t>See check breakdown in standard network table below</t>
  </si>
  <si>
    <t>Major projects</t>
  </si>
  <si>
    <t>Transmission</t>
  </si>
  <si>
    <t>Augmentation</t>
  </si>
  <si>
    <t>Replacement</t>
  </si>
  <si>
    <t>Customer connections</t>
  </si>
  <si>
    <t>Asset type</t>
  </si>
  <si>
    <t>Source: Regulatory team (Fiona McAnally 21 Feb 2020)</t>
  </si>
  <si>
    <t>Sub-transmission lines and cables</t>
  </si>
  <si>
    <t>Cable tunnel (dx)</t>
  </si>
  <si>
    <t>Distribution lines and cables</t>
  </si>
  <si>
    <t>Substations</t>
  </si>
  <si>
    <t>Transformers</t>
  </si>
  <si>
    <t>Low Voltage Lines and Cables</t>
  </si>
  <si>
    <t>Customer Metering and Load Control</t>
  </si>
  <si>
    <t>Customer Metering (digital)</t>
  </si>
  <si>
    <t>Communications (digital) - dx</t>
  </si>
  <si>
    <t>Total Communications</t>
  </si>
  <si>
    <t>System IT (dx)</t>
  </si>
  <si>
    <t>Ancillary substation equipment (dx)</t>
  </si>
  <si>
    <t>Land and Easements</t>
  </si>
  <si>
    <t>Furniture, fittings, plant and equipment</t>
  </si>
  <si>
    <t>Land (non-system)</t>
  </si>
  <si>
    <t>Other non system assets</t>
  </si>
  <si>
    <t>Motor vehicles</t>
  </si>
  <si>
    <t>Buildings (system)</t>
  </si>
  <si>
    <t>Buildings (non-system)</t>
  </si>
  <si>
    <t>In-house software</t>
  </si>
  <si>
    <t>Equity raising costs</t>
  </si>
  <si>
    <t>Zone buildings 132/66kV</t>
  </si>
  <si>
    <t>Transmission transformers 132/66kV</t>
  </si>
  <si>
    <t>Zone transformers 132/66kV</t>
  </si>
  <si>
    <t>Transmission substation equip 132/66kV</t>
  </si>
  <si>
    <t>Zone substation equip 132/66kV</t>
  </si>
  <si>
    <t>Ancillary substation equipment (tx)</t>
  </si>
  <si>
    <t>132kV tower lines</t>
  </si>
  <si>
    <t>132kV concrete &amp; steel pole lines</t>
  </si>
  <si>
    <t>132kV wood pole lines</t>
  </si>
  <si>
    <t>132kV feeders underground</t>
  </si>
  <si>
    <t>Cable tunnel (tx)</t>
  </si>
  <si>
    <t>Network control &amp; com systems</t>
  </si>
  <si>
    <t>Communications (digital) - tx</t>
  </si>
  <si>
    <t>System IT (tx)</t>
  </si>
  <si>
    <t>Transmission Leases (Network)</t>
  </si>
  <si>
    <t>Project type</t>
  </si>
  <si>
    <t>Weighted average
(yrs)</t>
  </si>
  <si>
    <t>Category</t>
  </si>
  <si>
    <t>Total %</t>
  </si>
  <si>
    <t>Total % check</t>
  </si>
  <si>
    <t>Source: Asset Investment team (Matt Cooper, 5 Mar 2020)</t>
  </si>
  <si>
    <t>11kV S/G Replacement</t>
  </si>
  <si>
    <t>Note: Some project life component weightings were inflated to account for the exclusion of land (to avoid material impact of land on weighting due to having no asset life)</t>
  </si>
  <si>
    <t>11kV Switchroom</t>
  </si>
  <si>
    <t>132kV Switchroom</t>
  </si>
  <si>
    <t>33kV SG Replacement</t>
  </si>
  <si>
    <t>Load Transfer</t>
  </si>
  <si>
    <t>New ST Switchroom</t>
  </si>
  <si>
    <t>New Zone</t>
  </si>
  <si>
    <t>ST Connection</t>
  </si>
  <si>
    <t>ST Feeder</t>
  </si>
  <si>
    <t>STS</t>
  </si>
  <si>
    <t>Transformer</t>
  </si>
  <si>
    <t>Distribution Centre Capacity Program</t>
  </si>
  <si>
    <t>High Community Impact Assets Reliability Program</t>
  </si>
  <si>
    <t>HV Network Reinforcement Program</t>
  </si>
  <si>
    <t>LV Distributor Capacity Program</t>
  </si>
  <si>
    <t>LV Load Survey</t>
  </si>
  <si>
    <t>Reliability</t>
  </si>
  <si>
    <t>Asset Security Risk</t>
  </si>
  <si>
    <t>Distribution Mains Network</t>
  </si>
  <si>
    <t>Distribution Substations</t>
  </si>
  <si>
    <t>Fire Prevention and Mgt</t>
  </si>
  <si>
    <t>Network Infrastructure Safety</t>
  </si>
  <si>
    <t>Replace/Update Switchgear</t>
  </si>
  <si>
    <t>Sub-transmission Feeders</t>
  </si>
  <si>
    <t>Zone &amp; STS Ancillary Equipment</t>
  </si>
  <si>
    <t>Zone &amp; STS Transformer</t>
  </si>
  <si>
    <t>Refurb Buildings/Civils</t>
  </si>
  <si>
    <t>Ancillary</t>
  </si>
  <si>
    <t>Compliance risk Sub</t>
  </si>
  <si>
    <t>Other Safety Programs DM</t>
  </si>
  <si>
    <t>Other Safety Programs Subs</t>
  </si>
  <si>
    <t>Asbestos Removal and Mgt Sub</t>
  </si>
  <si>
    <t>Asbestos Removal and Mgt DM</t>
  </si>
  <si>
    <t>Compliance risk DM</t>
  </si>
  <si>
    <t>Zone/STS Equipment</t>
  </si>
  <si>
    <t>SYSTEM SPARE Subs</t>
  </si>
  <si>
    <t>SYSTEM SPARE DM</t>
  </si>
  <si>
    <t>Check all</t>
  </si>
  <si>
    <t>Check sums</t>
  </si>
  <si>
    <t>Output cat.</t>
  </si>
  <si>
    <t>Benefit switch year</t>
  </si>
  <si>
    <t>Split</t>
  </si>
  <si>
    <t>STPIS - ongoing customer benefit</t>
  </si>
  <si>
    <t>Shareholder benefit period (years from first year of cashflow)</t>
  </si>
  <si>
    <t>Switch: STPIS customer EUE benefit</t>
  </si>
  <si>
    <t>Assumption is average customer WACC as calculated in assumptions sheet</t>
  </si>
  <si>
    <t>Counter</t>
  </si>
  <si>
    <t>Year Counter</t>
  </si>
  <si>
    <t>CESS discounting</t>
  </si>
  <si>
    <t>Discount</t>
  </si>
  <si>
    <t>Incentives</t>
  </si>
  <si>
    <t>Yr1</t>
  </si>
  <si>
    <t>Yr2</t>
  </si>
  <si>
    <t>Yr3</t>
  </si>
  <si>
    <t>Yr4</t>
  </si>
  <si>
    <t>Yr5</t>
  </si>
  <si>
    <t>Yr6</t>
  </si>
  <si>
    <t>Yr7</t>
  </si>
  <si>
    <t>Yr8</t>
  </si>
  <si>
    <t>Yr9</t>
  </si>
  <si>
    <t>Yr10</t>
  </si>
  <si>
    <t>Yr11</t>
  </si>
  <si>
    <t>Financing cost</t>
  </si>
  <si>
    <t>CESS adjustment</t>
  </si>
  <si>
    <t>Total CESS - Shareholder</t>
  </si>
  <si>
    <t>Financing cost - N/A not borne by customers</t>
  </si>
  <si>
    <t>Total CESS - Customer</t>
  </si>
  <si>
    <t>First year of new ongoing opex</t>
  </si>
  <si>
    <t>Opex saving</t>
  </si>
  <si>
    <t>Pull in first 5 years of new ongoing opex from Calculations worksheet</t>
  </si>
  <si>
    <t>Incremental gain/loss</t>
  </si>
  <si>
    <t>Carryover from Y1</t>
  </si>
  <si>
    <t>Carryover from Y2</t>
  </si>
  <si>
    <t>Carryover from Y3</t>
  </si>
  <si>
    <t>Carryover from Y4</t>
  </si>
  <si>
    <t>Carryover from Y5</t>
  </si>
  <si>
    <t>Total EBSS</t>
  </si>
  <si>
    <t>Carry the final year cash flow forward for defined number of years (user input)</t>
  </si>
  <si>
    <t>Shareholder EBSS</t>
  </si>
  <si>
    <t>Customer EBSS</t>
  </si>
  <si>
    <t>NPV CESS - Shareholder</t>
  </si>
  <si>
    <t>Apply to all capex and future capex in Calcs worksheet</t>
  </si>
  <si>
    <t>NPV CESS - Customer</t>
  </si>
  <si>
    <t>Apply to capex for customer NPV</t>
  </si>
  <si>
    <t>NPV EBSS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</si>
</sst>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0">
    <numFmt numFmtId="164" formatCode="&quot;$&quot;#,##0.00_);[Red]\(&quot;$&quot;#,##0.00\)"/>
    <numFmt numFmtId="165" formatCode="_(&quot;$&quot;* #,##0.00_);_(&quot;$&quot;* \(#,##0.00\);_(&quot;$&quot;* &quot;-&quot;??_);_(@_)"/>
    <numFmt numFmtId="166" formatCode="_(#,##0_);\(#,##0\);_(&quot;-&quot;_)"/>
    <numFmt numFmtId="167" formatCode="0.0"/>
    <numFmt numFmtId="168" formatCode="_(#,##0.00_);\(#,##0.00\);_(&quot;-&quot;_)"/>
    <numFmt numFmtId="169" formatCode="_-* #,##0_-;\(#,##0\);_-* &quot;-&quot;??_-;_-@_-"/>
    <numFmt numFmtId="170" formatCode="_-* #,##0.0_-;\(#,##0.0\);_-* &quot;-&quot;??_-;_-@_-"/>
    <numFmt numFmtId="171" formatCode="0.0%"/>
    <numFmt numFmtId="172" formatCode="&quot;$&quot;#,##0.0000;[Red]\-&quot;$&quot;#,##0.0000"/>
    <numFmt numFmtId="173" formatCode="_-&quot;$&quot;* #,##0.0000_-;\-&quot;$&quot;* #,##0.0000_-;_-&quot;$&quot;* &quot;-&quot;??_-;_-@_-"/>
    <numFmt numFmtId="174" formatCode="_-&quot;$&quot;* #,##0.000_-;\-&quot;$&quot;* #,##0.000_-;_-&quot;$&quot;* &quot;-&quot;??_-;_-@_-"/>
    <numFmt numFmtId="175" formatCode="0.0000"/>
    <numFmt numFmtId="176" formatCode="_-&quot;$&quot;* #,##0_-;\-&quot;$&quot;* #,##0_-;_-&quot;$&quot;* &quot;-&quot;??_-;_-@_-"/>
    <numFmt numFmtId="177" formatCode="mmm\-yyyy"/>
    <numFmt numFmtId="178" formatCode="0.0;\-0.0;0.0;@"/>
    <numFmt numFmtId="179" formatCode="#,##0.0"/>
    <numFmt numFmtId="180" formatCode="_-* #,##0.000_-;\(#,##0.000\);_-* &quot;-&quot;??_-;_-@_-"/>
    <numFmt numFmtId="181" formatCode="_(#,##0.000_);\(#,##0.000\);_(&quot;-&quot;_)"/>
    <numFmt numFmtId="182" formatCode="_(#,##0.0,,_);\(#,##0.0,,\);_(&quot;-&quot;_)"/>
    <numFmt numFmtId="183" formatCode="_(#,##0.0_);\(#,##0.0\);_(&quot;-&quot;_)"/>
  </numFmts>
  <fonts count="60" x14ac:knownFonts="1">
    <font>
      <sz val="8"/>
      <color theme="1"/>
      <name val="Calibri"/>
      <family val="2"/>
      <scheme val="minor"/>
    </font>
    <font>
      <sz val="11"/>
      <color theme="1"/>
      <name val="Calibri"/>
      <family val="2"/>
      <scheme val="minor"/>
    </font>
    <font>
      <sz val="11"/>
      <color theme="1"/>
      <name val="Calibri"/>
      <family val="2"/>
      <scheme val="minor"/>
    </font>
    <font>
      <sz val="8"/>
      <color theme="1"/>
      <name val="Calibri"/>
      <family val="2"/>
      <scheme val="minor"/>
    </font>
    <font>
      <b/>
      <sz val="8"/>
      <color theme="0"/>
      <name val="Calibri"/>
      <family val="2"/>
      <scheme val="minor"/>
    </font>
    <font>
      <sz val="8"/>
      <color theme="1"/>
      <name val="Calibri"/>
      <family val="2"/>
      <scheme val="minor"/>
    </font>
    <font>
      <sz val="8"/>
      <color theme="0"/>
      <name val="Calibri"/>
      <family val="2"/>
      <scheme val="minor"/>
    </font>
    <font>
      <i/>
      <sz val="8"/>
      <color theme="0"/>
      <name val="Calibri"/>
      <family val="2"/>
      <scheme val="minor"/>
    </font>
    <font>
      <b/>
      <sz val="8"/>
      <color theme="1"/>
      <name val="Calibri"/>
      <family val="2"/>
      <scheme val="minor"/>
    </font>
    <font>
      <sz val="8"/>
      <name val="Calibri"/>
      <family val="2"/>
      <scheme val="minor"/>
    </font>
    <font>
      <i/>
      <sz val="8"/>
      <color theme="1"/>
      <name val="Calibri"/>
      <family val="2"/>
      <scheme val="minor"/>
    </font>
    <font>
      <sz val="9"/>
      <color indexed="81"/>
      <name val="Tahoma"/>
      <family val="2"/>
    </font>
    <font>
      <b/>
      <sz val="8"/>
      <name val="Calibri"/>
      <family val="2"/>
      <scheme val="minor"/>
    </font>
    <font>
      <sz val="10"/>
      <name val="Arial"/>
      <family val="2"/>
    </font>
    <font>
      <b/>
      <i/>
      <sz val="10"/>
      <color indexed="9"/>
      <name val="Arial"/>
      <family val="2"/>
    </font>
    <font>
      <b/>
      <sz val="10"/>
      <color indexed="9"/>
      <name val="Arial"/>
      <family val="2"/>
    </font>
    <font>
      <sz val="10"/>
      <color indexed="9"/>
      <name val="Arial"/>
      <family val="2"/>
    </font>
    <font>
      <b/>
      <i/>
      <sz val="10"/>
      <name val="Arial"/>
      <family val="2"/>
    </font>
    <font>
      <sz val="8"/>
      <name val="Arial"/>
      <family val="2"/>
    </font>
    <font>
      <b/>
      <sz val="8"/>
      <color indexed="9"/>
      <name val="Calibri"/>
      <family val="2"/>
      <scheme val="minor"/>
    </font>
    <font>
      <b/>
      <sz val="11"/>
      <color theme="3"/>
      <name val="Calibri"/>
      <family val="2"/>
      <scheme val="minor"/>
    </font>
    <font>
      <b/>
      <sz val="11"/>
      <color theme="0"/>
      <name val="Calibri"/>
      <family val="2"/>
      <scheme val="minor"/>
    </font>
    <font>
      <sz val="11"/>
      <color rgb="FFFF0000"/>
      <name val="Calibri"/>
      <family val="2"/>
      <scheme val="minor"/>
    </font>
    <font>
      <sz val="11"/>
      <color theme="0" tint="-0.14999847407452621"/>
      <name val="Calibri"/>
      <family val="2"/>
      <scheme val="minor"/>
    </font>
    <font>
      <sz val="8"/>
      <color rgb="FFFF0000"/>
      <name val="Calibri"/>
      <family val="2"/>
      <scheme val="minor"/>
    </font>
    <font>
      <sz val="8"/>
      <color theme="1"/>
      <name val="Arial"/>
      <family val="2"/>
    </font>
    <font>
      <sz val="8"/>
      <color rgb="FF000000"/>
      <name val="Calibri"/>
      <family val="2"/>
      <scheme val="minor"/>
    </font>
    <font>
      <b/>
      <sz val="8"/>
      <name val="Calibri"/>
      <family val="2"/>
    </font>
    <font>
      <sz val="8"/>
      <name val="Calibri"/>
      <family val="2"/>
    </font>
    <font>
      <b/>
      <i/>
      <sz val="8"/>
      <color theme="1"/>
      <name val="Calibri"/>
      <family val="2"/>
      <scheme val="minor"/>
    </font>
    <font>
      <b/>
      <sz val="10"/>
      <color theme="1"/>
      <name val="Calibri"/>
      <family val="2"/>
      <scheme val="minor"/>
    </font>
    <font>
      <b/>
      <sz val="14"/>
      <color theme="1"/>
      <name val="Calibri"/>
      <family val="2"/>
      <scheme val="minor"/>
    </font>
    <font>
      <b/>
      <sz val="11"/>
      <color theme="1"/>
      <name val="Calibri"/>
      <family val="2"/>
      <scheme val="minor"/>
    </font>
    <font>
      <b/>
      <sz val="10"/>
      <color theme="0"/>
      <name val="Calibri"/>
      <family val="2"/>
      <scheme val="minor"/>
    </font>
    <font>
      <sz val="10"/>
      <color theme="1"/>
      <name val="Calibri"/>
      <family val="2"/>
      <scheme val="minor"/>
    </font>
    <font>
      <sz val="10"/>
      <name val="Calibri"/>
      <family val="2"/>
      <scheme val="minor"/>
    </font>
    <font>
      <i/>
      <sz val="10"/>
      <color theme="0" tint="-0.249977111117893"/>
      <name val="Calibri"/>
      <family val="2"/>
      <scheme val="minor"/>
    </font>
    <font>
      <b/>
      <sz val="10"/>
      <name val="Calibri"/>
      <family val="2"/>
      <scheme val="minor"/>
    </font>
    <font>
      <i/>
      <sz val="10"/>
      <color rgb="FF7F878D"/>
      <name val="Calibri"/>
      <family val="2"/>
      <scheme val="minor"/>
    </font>
    <font>
      <sz val="10"/>
      <color rgb="FF0070C0"/>
      <name val="Calibri"/>
      <family val="2"/>
      <scheme val="minor"/>
    </font>
    <font>
      <i/>
      <sz val="10"/>
      <color theme="1"/>
      <name val="Calibri"/>
      <family val="2"/>
      <scheme val="minor"/>
    </font>
    <font>
      <b/>
      <sz val="11"/>
      <color rgb="FFFFFFFF"/>
      <name val="Calibri"/>
      <family val="2"/>
      <scheme val="minor"/>
    </font>
    <font>
      <b/>
      <sz val="11"/>
      <name val="Calibri"/>
      <family val="2"/>
      <scheme val="minor"/>
    </font>
    <font>
      <sz val="11"/>
      <name val="Calibri"/>
      <family val="2"/>
      <scheme val="minor"/>
    </font>
    <font>
      <b/>
      <sz val="9"/>
      <color theme="1"/>
      <name val="Calibri"/>
      <family val="2"/>
      <scheme val="minor"/>
    </font>
    <font>
      <b/>
      <sz val="14"/>
      <color theme="0"/>
      <name val="Calibri"/>
      <family val="2"/>
      <scheme val="minor"/>
    </font>
    <font>
      <sz val="14"/>
      <color theme="1"/>
      <name val="Calibri"/>
      <family val="2"/>
      <scheme val="minor"/>
    </font>
    <font>
      <sz val="14"/>
      <color theme="0"/>
      <name val="Calibri"/>
      <family val="2"/>
      <scheme val="minor"/>
    </font>
    <font>
      <i/>
      <sz val="14"/>
      <color theme="0"/>
      <name val="Calibri"/>
      <family val="2"/>
      <scheme val="minor"/>
    </font>
    <font>
      <sz val="14"/>
      <name val="Calibri"/>
      <family val="2"/>
      <scheme val="minor"/>
    </font>
    <font>
      <i/>
      <sz val="14"/>
      <color theme="0" tint="-0.249977111117893"/>
      <name val="Calibri"/>
      <family val="2"/>
      <scheme val="minor"/>
    </font>
    <font>
      <b/>
      <sz val="16"/>
      <color theme="0"/>
      <name val="Calibri"/>
      <family val="2"/>
      <scheme val="minor"/>
    </font>
    <font>
      <sz val="16"/>
      <color theme="1"/>
      <name val="Calibri"/>
      <family val="2"/>
      <scheme val="minor"/>
    </font>
    <font>
      <b/>
      <sz val="8"/>
      <color rgb="FFFF0000"/>
      <name val="Calibri"/>
      <family val="2"/>
      <scheme val="minor"/>
    </font>
    <font>
      <b/>
      <sz val="8"/>
      <color rgb="FFFF0000"/>
      <name val="Calibri"/>
      <family val="2"/>
    </font>
    <font>
      <b/>
      <i/>
      <sz val="8"/>
      <color theme="0"/>
      <name val="Calibri"/>
      <family val="2"/>
      <scheme val="minor"/>
    </font>
    <font>
      <b/>
      <i/>
      <sz val="8"/>
      <color theme="1"/>
      <name val="Calibri"/>
      <family val="2"/>
    </font>
    <font>
      <b/>
      <i/>
      <sz val="8"/>
      <color rgb="FFFF0000"/>
      <name val="Calibri"/>
      <family val="2"/>
      <scheme val="minor"/>
    </font>
    <font>
      <b/>
      <sz val="9"/>
      <color indexed="81"/>
      <name val="Tahoma"/>
      <family val="2"/>
    </font>
    <font>
      <sz val="12"/>
      <color theme="1"/>
      <name val="Calibri"/>
      <family val="2"/>
      <scheme val="minor"/>
    </font>
  </fonts>
  <fills count="32">
    <fill>
      <patternFill patternType="none"/>
    </fill>
    <fill>
      <patternFill patternType="gray125"/>
    </fill>
    <fill>
      <patternFill patternType="solid">
        <fgColor rgb="FF13294B"/>
        <bgColor indexed="64"/>
      </patternFill>
    </fill>
    <fill>
      <patternFill patternType="solid">
        <fgColor theme="7" tint="0.79998168889431442"/>
        <bgColor indexed="64"/>
      </patternFill>
    </fill>
    <fill>
      <patternFill patternType="solid">
        <fgColor theme="4" tint="0.79998168889431442"/>
        <bgColor indexed="64"/>
      </patternFill>
    </fill>
    <fill>
      <patternFill patternType="solid">
        <fgColor theme="2"/>
        <bgColor indexed="64"/>
      </patternFill>
    </fill>
    <fill>
      <patternFill patternType="solid">
        <fgColor theme="5" tint="0.79998168889431442"/>
        <bgColor indexed="64"/>
      </patternFill>
    </fill>
    <fill>
      <patternFill patternType="solid">
        <fgColor rgb="FF0065A6"/>
        <bgColor indexed="64"/>
      </patternFill>
    </fill>
    <fill>
      <patternFill patternType="solid">
        <fgColor rgb="FF209AD2"/>
        <bgColor indexed="64"/>
      </patternFill>
    </fill>
    <fill>
      <patternFill patternType="solid">
        <fgColor theme="0"/>
        <bgColor indexed="64"/>
      </patternFill>
    </fill>
    <fill>
      <patternFill patternType="solid">
        <fgColor theme="9" tint="0.79998168889431442"/>
        <bgColor indexed="64"/>
      </patternFill>
    </fill>
    <fill>
      <patternFill patternType="solid">
        <fgColor theme="1"/>
        <bgColor indexed="64"/>
      </patternFill>
    </fill>
    <fill>
      <patternFill patternType="solid">
        <fgColor indexed="9"/>
        <bgColor indexed="64"/>
      </patternFill>
    </fill>
    <fill>
      <patternFill patternType="solid">
        <fgColor rgb="FFFFFFFF"/>
        <bgColor indexed="64"/>
      </patternFill>
    </fill>
    <fill>
      <patternFill patternType="solid">
        <fgColor rgb="FF0070C0"/>
        <bgColor indexed="64"/>
      </patternFill>
    </fill>
    <fill>
      <patternFill patternType="solid">
        <fgColor rgb="FFFFFF00"/>
        <bgColor indexed="64"/>
      </patternFill>
    </fill>
    <fill>
      <patternFill patternType="lightUp">
        <fgColor theme="0" tint="-0.24994659260841701"/>
        <bgColor theme="0"/>
      </patternFill>
    </fill>
    <fill>
      <patternFill patternType="lightUp">
        <fgColor theme="0" tint="-0.24994659260841701"/>
        <bgColor auto="1"/>
      </patternFill>
    </fill>
    <fill>
      <patternFill patternType="lightUp">
        <fgColor theme="0" tint="-0.14996795556505021"/>
        <bgColor indexed="65"/>
      </patternFill>
    </fill>
    <fill>
      <patternFill patternType="lightUp">
        <fgColor theme="0" tint="-0.24994659260841701"/>
        <bgColor indexed="65"/>
      </patternFill>
    </fill>
    <fill>
      <patternFill patternType="lightUp">
        <fgColor theme="0" tint="-0.24994659260841701"/>
        <bgColor theme="9" tint="0.79998168889431442"/>
      </patternFill>
    </fill>
    <fill>
      <patternFill patternType="solid">
        <fgColor theme="9"/>
        <bgColor indexed="64"/>
      </patternFill>
    </fill>
    <fill>
      <patternFill patternType="solid">
        <fgColor theme="7" tint="0.79998168889431442"/>
        <bgColor indexed="65"/>
      </patternFill>
    </fill>
    <fill>
      <patternFill patternType="solid">
        <fgColor rgb="FF00B0F0"/>
        <bgColor indexed="64"/>
      </patternFill>
    </fill>
    <fill>
      <patternFill patternType="solid">
        <fgColor rgb="FF4472C4"/>
        <bgColor indexed="64"/>
      </patternFill>
    </fill>
    <fill>
      <patternFill patternType="solid">
        <fgColor rgb="FF7F7F7F"/>
        <bgColor indexed="64"/>
      </patternFill>
    </fill>
    <fill>
      <patternFill patternType="gray125">
        <fgColor theme="0" tint="-0.499984740745262"/>
        <bgColor indexed="65"/>
      </patternFill>
    </fill>
    <fill>
      <patternFill patternType="solid">
        <fgColor theme="0" tint="-0.14999847407452621"/>
        <bgColor indexed="64"/>
      </patternFill>
    </fill>
    <fill>
      <patternFill patternType="solid">
        <fgColor theme="0" tint="-0.499984740745262"/>
        <bgColor indexed="64"/>
      </patternFill>
    </fill>
    <fill>
      <patternFill patternType="lightUp">
        <fgColor theme="0" tint="-0.24994659260841701"/>
        <bgColor theme="0" tint="-0.499984740745262"/>
      </patternFill>
    </fill>
    <fill>
      <patternFill patternType="solid">
        <fgColor theme="3" tint="0.79998168889431442"/>
        <bgColor indexed="64"/>
      </patternFill>
    </fill>
    <fill>
      <patternFill patternType="solid">
        <fgColor rgb="FFFF0000"/>
        <bgColor indexed="64"/>
      </patternFill>
    </fill>
  </fills>
  <borders count="43">
    <border>
      <left/>
      <right/>
      <top/>
      <bottom/>
      <diagonal/>
    </border>
    <border>
      <left/>
      <right/>
      <top/>
      <bottom style="thin">
        <color indexed="64"/>
      </bottom>
      <diagonal/>
    </border>
    <border>
      <left/>
      <right/>
      <top style="thin">
        <color indexed="64"/>
      </top>
      <bottom/>
      <diagonal/>
    </border>
    <border>
      <left/>
      <right/>
      <top/>
      <bottom style="thin">
        <color theme="0" tint="-0.249977111117893"/>
      </bottom>
      <diagonal/>
    </border>
    <border>
      <left/>
      <right style="thin">
        <color auto="1"/>
      </right>
      <top/>
      <bottom/>
      <diagonal/>
    </border>
    <border>
      <left/>
      <right style="thin">
        <color auto="1"/>
      </right>
      <top style="thin">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thin">
        <color rgb="FF999999"/>
      </left>
      <right/>
      <top style="thin">
        <color rgb="FF999999"/>
      </top>
      <bottom/>
      <diagonal/>
    </border>
    <border>
      <left/>
      <right/>
      <top style="thin">
        <color rgb="FF999999"/>
      </top>
      <bottom/>
      <diagonal/>
    </border>
    <border>
      <left/>
      <right/>
      <top/>
      <bottom style="thin">
        <color indexed="22"/>
      </bottom>
      <diagonal/>
    </border>
    <border>
      <left style="thin">
        <color rgb="FF999999"/>
      </left>
      <right/>
      <top/>
      <bottom style="thin">
        <color indexed="22"/>
      </bottom>
      <diagonal/>
    </border>
    <border>
      <left style="thin">
        <color rgb="FF999999"/>
      </left>
      <right/>
      <top/>
      <bottom/>
      <diagonal/>
    </border>
    <border>
      <left/>
      <right/>
      <top style="thin">
        <color theme="0" tint="-0.24994659260841701"/>
      </top>
      <bottom/>
      <diagonal/>
    </border>
    <border>
      <left style="thin">
        <color indexed="64"/>
      </left>
      <right style="thin">
        <color indexed="64"/>
      </right>
      <top style="thin">
        <color indexed="64"/>
      </top>
      <bottom style="thin">
        <color indexed="64"/>
      </bottom>
      <diagonal/>
    </border>
    <border>
      <left/>
      <right/>
      <top style="thin">
        <color theme="0" tint="-0.249977111117893"/>
      </top>
      <bottom/>
      <diagonal/>
    </border>
    <border>
      <left style="thin">
        <color auto="1"/>
      </left>
      <right/>
      <top style="thin">
        <color indexed="64"/>
      </top>
      <bottom/>
      <diagonal/>
    </border>
    <border>
      <left style="thin">
        <color indexed="64"/>
      </left>
      <right/>
      <top/>
      <bottom/>
      <diagonal/>
    </border>
    <border>
      <left style="thick">
        <color indexed="64"/>
      </left>
      <right/>
      <top/>
      <bottom/>
      <diagonal/>
    </border>
    <border>
      <left style="thick">
        <color indexed="64"/>
      </left>
      <right/>
      <top style="thin">
        <color indexed="64"/>
      </top>
      <bottom/>
      <diagonal/>
    </border>
    <border>
      <left/>
      <right/>
      <top style="thick">
        <color auto="1"/>
      </top>
      <bottom/>
      <diagonal/>
    </border>
    <border>
      <left/>
      <right/>
      <top/>
      <bottom style="medium">
        <color theme="4" tint="0.39997558519241921"/>
      </bottom>
      <diagonal/>
    </border>
    <border>
      <left/>
      <right/>
      <top style="thin">
        <color indexed="64"/>
      </top>
      <bottom style="double">
        <color indexed="64"/>
      </bottom>
      <diagonal/>
    </border>
    <border>
      <left/>
      <right style="thin">
        <color theme="0" tint="-0.24994659260841701"/>
      </right>
      <top/>
      <bottom/>
      <diagonal/>
    </border>
    <border>
      <left style="thin">
        <color theme="0" tint="-0.24994659260841701"/>
      </left>
      <right/>
      <top/>
      <bottom/>
      <diagonal/>
    </border>
    <border>
      <left/>
      <right style="thin">
        <color theme="0" tint="-0.24994659260841701"/>
      </right>
      <top style="thin">
        <color theme="0" tint="-0.249977111117893"/>
      </top>
      <bottom/>
      <diagonal/>
    </border>
    <border>
      <left style="thin">
        <color theme="0" tint="-0.24994659260841701"/>
      </left>
      <right/>
      <top style="thin">
        <color theme="0" tint="-0.249977111117893"/>
      </top>
      <bottom/>
      <diagonal/>
    </border>
    <border>
      <left/>
      <right style="thin">
        <color theme="0" tint="-0.24994659260841701"/>
      </right>
      <top style="thick">
        <color auto="1"/>
      </top>
      <bottom/>
      <diagonal/>
    </border>
    <border>
      <left style="thin">
        <color theme="0" tint="-0.24994659260841701"/>
      </left>
      <right/>
      <top style="thick">
        <color auto="1"/>
      </top>
      <bottom/>
      <diagonal/>
    </border>
    <border>
      <left/>
      <right/>
      <top style="thin">
        <color indexed="64"/>
      </top>
      <bottom style="medium">
        <color indexed="64"/>
      </bottom>
      <diagonal/>
    </border>
    <border>
      <left/>
      <right style="thin">
        <color theme="0" tint="-0.249977111117893"/>
      </right>
      <top/>
      <bottom style="thin">
        <color indexed="64"/>
      </bottom>
      <diagonal/>
    </border>
    <border>
      <left style="thin">
        <color indexed="64"/>
      </left>
      <right style="thin">
        <color theme="0" tint="-0.249977111117893"/>
      </right>
      <top style="thin">
        <color indexed="64"/>
      </top>
      <bottom/>
      <diagonal/>
    </border>
    <border>
      <left style="thin">
        <color auto="1"/>
      </left>
      <right style="thin">
        <color indexed="64"/>
      </right>
      <top style="thin">
        <color indexed="64"/>
      </top>
      <bottom/>
      <diagonal/>
    </border>
    <border>
      <left style="thin">
        <color indexed="64"/>
      </left>
      <right style="thin">
        <color indexed="64"/>
      </right>
      <top style="thick">
        <color indexed="64"/>
      </top>
      <bottom style="thin">
        <color indexed="64"/>
      </bottom>
      <diagonal/>
    </border>
    <border>
      <left/>
      <right style="thin">
        <color theme="0"/>
      </right>
      <top/>
      <bottom/>
      <diagonal/>
    </border>
    <border>
      <left style="thin">
        <color indexed="64"/>
      </left>
      <right style="thin">
        <color auto="1"/>
      </right>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top style="thick">
        <color indexed="64"/>
      </top>
      <bottom style="thin">
        <color indexed="64"/>
      </bottom>
      <diagonal/>
    </border>
  </borders>
  <cellStyleXfs count="5">
    <xf numFmtId="0" fontId="0" fillId="0" borderId="0"/>
    <xf numFmtId="0" fontId="20" fillId="0" borderId="25" applyNumberFormat="0" applyFill="0" applyAlignment="0" applyProtection="0"/>
    <xf numFmtId="0" fontId="2" fillId="22" borderId="0" applyNumberFormat="0" applyBorder="0" applyAlignment="0" applyProtection="0"/>
    <xf numFmtId="9" fontId="2" fillId="0" borderId="0" applyFont="0" applyFill="0" applyBorder="0" applyAlignment="0" applyProtection="0"/>
    <xf numFmtId="165" fontId="2" fillId="0" borderId="0" applyFont="0" applyFill="0" applyBorder="0" applyAlignment="0" applyProtection="0"/>
  </cellStyleXfs>
  <cellXfs count="525">
    <xf numFmtId="0" fontId="0" fillId="0" borderId="0" xfId="0"/>
    <xf numFmtId="0" fontId="4" fillId="2" borderId="0" xfId="0" applyFont="1" applyFill="1"/>
    <xf numFmtId="0" fontId="5" fillId="2" borderId="0" xfId="0" applyFont="1" applyFill="1"/>
    <xf numFmtId="0" fontId="6" fillId="2" borderId="0" xfId="0" applyFont="1" applyFill="1" applyAlignment="1">
      <alignment horizontal="right" indent="1"/>
    </xf>
    <xf numFmtId="0" fontId="4" fillId="2" borderId="0" xfId="0" applyFont="1" applyFill="1" applyAlignment="1">
      <alignment horizontal="left"/>
    </xf>
    <xf numFmtId="0" fontId="6" fillId="2" borderId="0" xfId="0" applyFont="1" applyFill="1" applyAlignment="1">
      <alignment horizontal="left"/>
    </xf>
    <xf numFmtId="0" fontId="6" fillId="2" borderId="0" xfId="0" applyFont="1" applyFill="1"/>
    <xf numFmtId="0" fontId="7" fillId="2" borderId="0" xfId="0" applyFont="1" applyFill="1"/>
    <xf numFmtId="0" fontId="5" fillId="0" borderId="0" xfId="0" applyFont="1"/>
    <xf numFmtId="0" fontId="5" fillId="0" borderId="0" xfId="0" applyFont="1" applyAlignment="1">
      <alignment horizontal="center"/>
    </xf>
    <xf numFmtId="0" fontId="8" fillId="0" borderId="0" xfId="0" applyFont="1"/>
    <xf numFmtId="166" fontId="6" fillId="2" borderId="0" xfId="0" applyNumberFormat="1" applyFont="1" applyFill="1" applyAlignment="1">
      <alignment horizontal="right" indent="1"/>
    </xf>
    <xf numFmtId="166" fontId="5" fillId="0" borderId="0" xfId="0" applyNumberFormat="1" applyFont="1"/>
    <xf numFmtId="166" fontId="5" fillId="0" borderId="0" xfId="0" applyNumberFormat="1" applyFont="1" applyAlignment="1">
      <alignment horizontal="center"/>
    </xf>
    <xf numFmtId="0" fontId="5" fillId="7" borderId="0" xfId="0" applyFont="1" applyFill="1"/>
    <xf numFmtId="0" fontId="6" fillId="7" borderId="0" xfId="0" applyFont="1" applyFill="1"/>
    <xf numFmtId="0" fontId="4" fillId="7" borderId="0" xfId="0" applyFont="1" applyFill="1"/>
    <xf numFmtId="0" fontId="8" fillId="0" borderId="0" xfId="0" applyFont="1" applyAlignment="1">
      <alignment horizontal="center"/>
    </xf>
    <xf numFmtId="0" fontId="5" fillId="8" borderId="0" xfId="0" applyFont="1" applyFill="1"/>
    <xf numFmtId="0" fontId="4" fillId="8" borderId="0" xfId="0" applyFont="1" applyFill="1"/>
    <xf numFmtId="0" fontId="4" fillId="0" borderId="0" xfId="0" applyFont="1"/>
    <xf numFmtId="0" fontId="6" fillId="0" borderId="0" xfId="0" applyFont="1" applyAlignment="1">
      <alignment horizontal="left"/>
    </xf>
    <xf numFmtId="0" fontId="6" fillId="0" borderId="0" xfId="0" applyFont="1"/>
    <xf numFmtId="0" fontId="10" fillId="0" borderId="0" xfId="0" applyFont="1" applyAlignment="1">
      <alignment horizontal="center"/>
    </xf>
    <xf numFmtId="0" fontId="8" fillId="10" borderId="0" xfId="0" applyFont="1" applyFill="1" applyAlignment="1">
      <alignment horizontal="center"/>
    </xf>
    <xf numFmtId="0" fontId="8" fillId="7" borderId="0" xfId="0" applyFont="1" applyFill="1" applyAlignment="1">
      <alignment horizontal="center"/>
    </xf>
    <xf numFmtId="0" fontId="6" fillId="7" borderId="0" xfId="0" applyFont="1" applyFill="1" applyAlignment="1">
      <alignment horizontal="left"/>
    </xf>
    <xf numFmtId="0" fontId="10" fillId="0" borderId="0" xfId="0" applyFont="1"/>
    <xf numFmtId="166" fontId="9" fillId="3" borderId="0" xfId="0" applyNumberFormat="1" applyFont="1" applyFill="1" applyAlignment="1">
      <alignment horizontal="center"/>
    </xf>
    <xf numFmtId="166" fontId="9" fillId="0" borderId="0" xfId="0" applyNumberFormat="1" applyFont="1" applyAlignment="1">
      <alignment horizontal="center"/>
    </xf>
    <xf numFmtId="166" fontId="9" fillId="8" borderId="0" xfId="0" applyNumberFormat="1" applyFont="1" applyFill="1" applyAlignment="1">
      <alignment horizontal="center"/>
    </xf>
    <xf numFmtId="166" fontId="9" fillId="10" borderId="0" xfId="0" applyNumberFormat="1" applyFont="1" applyFill="1" applyAlignment="1">
      <alignment horizontal="center"/>
    </xf>
    <xf numFmtId="0" fontId="8" fillId="0" borderId="0" xfId="0" applyFont="1" applyAlignment="1">
      <alignment horizontal="left"/>
    </xf>
    <xf numFmtId="166" fontId="12" fillId="0" borderId="0" xfId="0" applyNumberFormat="1" applyFont="1" applyAlignment="1">
      <alignment horizontal="center"/>
    </xf>
    <xf numFmtId="166" fontId="8" fillId="0" borderId="0" xfId="0" applyNumberFormat="1" applyFont="1" applyAlignment="1">
      <alignment horizontal="center"/>
    </xf>
    <xf numFmtId="0" fontId="9" fillId="0" borderId="0" xfId="0" applyFont="1" applyAlignment="1">
      <alignment horizontal="center"/>
    </xf>
    <xf numFmtId="0" fontId="5" fillId="9" borderId="0" xfId="0" applyFont="1" applyFill="1"/>
    <xf numFmtId="0" fontId="4" fillId="9" borderId="0" xfId="0" applyFont="1" applyFill="1"/>
    <xf numFmtId="0" fontId="7" fillId="8" borderId="0" xfId="0" applyFont="1" applyFill="1"/>
    <xf numFmtId="9" fontId="8" fillId="0" borderId="0" xfId="0" applyNumberFormat="1" applyFont="1" applyAlignment="1">
      <alignment horizontal="center"/>
    </xf>
    <xf numFmtId="0" fontId="8" fillId="0" borderId="24" xfId="0" applyFont="1" applyBorder="1"/>
    <xf numFmtId="166" fontId="8" fillId="0" borderId="24" xfId="0" applyNumberFormat="1" applyFont="1" applyBorder="1" applyAlignment="1">
      <alignment horizontal="center"/>
    </xf>
    <xf numFmtId="0" fontId="16" fillId="0" borderId="0" xfId="0" applyFont="1"/>
    <xf numFmtId="0" fontId="14" fillId="0" borderId="0" xfId="0" applyFont="1"/>
    <xf numFmtId="0" fontId="15" fillId="0" borderId="0" xfId="0" applyFont="1"/>
    <xf numFmtId="0" fontId="17" fillId="0" borderId="0" xfId="0" applyFont="1"/>
    <xf numFmtId="0" fontId="13" fillId="0" borderId="0" xfId="0" applyFont="1" applyAlignment="1">
      <alignment vertical="top" wrapText="1"/>
    </xf>
    <xf numFmtId="0" fontId="13" fillId="0" borderId="0" xfId="0" applyFont="1"/>
    <xf numFmtId="0" fontId="13" fillId="0" borderId="0" xfId="0" applyFont="1" applyAlignment="1">
      <alignment horizontal="left" vertical="center" wrapText="1"/>
    </xf>
    <xf numFmtId="0" fontId="14" fillId="2" borderId="0" xfId="0" applyFont="1" applyFill="1"/>
    <xf numFmtId="0" fontId="16" fillId="2" borderId="0" xfId="0" applyFont="1" applyFill="1"/>
    <xf numFmtId="0" fontId="0" fillId="2" borderId="0" xfId="0" applyFill="1"/>
    <xf numFmtId="0" fontId="0" fillId="0" borderId="0" xfId="0" applyAlignment="1">
      <alignment horizontal="center"/>
    </xf>
    <xf numFmtId="0" fontId="14" fillId="7" borderId="0" xfId="0" applyFont="1" applyFill="1"/>
    <xf numFmtId="0" fontId="15" fillId="7" borderId="0" xfId="0" applyFont="1" applyFill="1"/>
    <xf numFmtId="0" fontId="16" fillId="7" borderId="0" xfId="0" applyFont="1" applyFill="1"/>
    <xf numFmtId="0" fontId="13" fillId="7" borderId="0" xfId="0" applyFont="1" applyFill="1" applyAlignment="1">
      <alignment vertical="top" wrapText="1"/>
    </xf>
    <xf numFmtId="0" fontId="13" fillId="7" borderId="0" xfId="0" applyFont="1" applyFill="1"/>
    <xf numFmtId="0" fontId="19" fillId="7" borderId="0" xfId="0" applyFont="1" applyFill="1" applyAlignment="1">
      <alignment vertical="center"/>
    </xf>
    <xf numFmtId="0" fontId="19" fillId="2" borderId="0" xfId="0" applyFont="1" applyFill="1" applyAlignment="1">
      <alignment vertical="center"/>
    </xf>
    <xf numFmtId="0" fontId="0" fillId="8" borderId="0" xfId="0" applyFill="1"/>
    <xf numFmtId="0" fontId="19" fillId="8" borderId="0" xfId="0" applyFont="1" applyFill="1" applyAlignment="1">
      <alignment vertical="center"/>
    </xf>
    <xf numFmtId="0" fontId="0" fillId="0" borderId="0" xfId="0" applyAlignment="1">
      <alignment horizontal="center" vertical="center"/>
    </xf>
    <xf numFmtId="0" fontId="0" fillId="0" borderId="0" xfId="0" applyAlignment="1">
      <alignment horizontal="left" vertical="center"/>
    </xf>
    <xf numFmtId="0" fontId="0" fillId="0" borderId="0" xfId="0" applyAlignment="1">
      <alignment horizontal="left" vertical="center" indent="1"/>
    </xf>
    <xf numFmtId="0" fontId="19" fillId="0" borderId="0" xfId="0" applyFont="1" applyAlignment="1">
      <alignment vertical="center"/>
    </xf>
    <xf numFmtId="0" fontId="0" fillId="0" borderId="0" xfId="0" applyAlignment="1">
      <alignment horizontal="left" indent="1"/>
    </xf>
    <xf numFmtId="0" fontId="22" fillId="0" borderId="0" xfId="0" applyFont="1"/>
    <xf numFmtId="0" fontId="21" fillId="14" borderId="0" xfId="0" applyFont="1" applyFill="1"/>
    <xf numFmtId="0" fontId="23" fillId="0" borderId="0" xfId="0" applyFont="1"/>
    <xf numFmtId="0" fontId="20" fillId="0" borderId="25" xfId="1"/>
    <xf numFmtId="165" fontId="0" fillId="0" borderId="0" xfId="0" applyNumberFormat="1"/>
    <xf numFmtId="164" fontId="0" fillId="0" borderId="0" xfId="0" applyNumberFormat="1"/>
    <xf numFmtId="172" fontId="0" fillId="0" borderId="0" xfId="0" applyNumberFormat="1"/>
    <xf numFmtId="173" fontId="0" fillId="0" borderId="0" xfId="0" applyNumberFormat="1"/>
    <xf numFmtId="165" fontId="0" fillId="0" borderId="26" xfId="0" applyNumberFormat="1" applyBorder="1"/>
    <xf numFmtId="174" fontId="0" fillId="0" borderId="0" xfId="0" applyNumberFormat="1"/>
    <xf numFmtId="175" fontId="0" fillId="0" borderId="0" xfId="0" applyNumberFormat="1"/>
    <xf numFmtId="0" fontId="3" fillId="17" borderId="0" xfId="0" applyFont="1" applyFill="1" applyAlignment="1">
      <alignment horizontal="center"/>
    </xf>
    <xf numFmtId="0" fontId="3" fillId="0" borderId="0" xfId="0" applyFont="1" applyAlignment="1">
      <alignment horizontal="right"/>
    </xf>
    <xf numFmtId="0" fontId="3" fillId="0" borderId="0" xfId="0" applyFont="1"/>
    <xf numFmtId="0" fontId="3" fillId="0" borderId="0" xfId="0" applyFont="1" applyAlignment="1">
      <alignment horizontal="left" indent="1"/>
    </xf>
    <xf numFmtId="166" fontId="9" fillId="18" borderId="0" xfId="0" applyNumberFormat="1" applyFont="1" applyFill="1" applyAlignment="1">
      <alignment horizontal="center"/>
    </xf>
    <xf numFmtId="0" fontId="3" fillId="0" borderId="0" xfId="0" applyFont="1" applyAlignment="1">
      <alignment horizontal="center"/>
    </xf>
    <xf numFmtId="2" fontId="3" fillId="0" borderId="0" xfId="0" applyNumberFormat="1" applyFont="1" applyAlignment="1">
      <alignment horizontal="center"/>
    </xf>
    <xf numFmtId="0" fontId="3" fillId="0" borderId="0" xfId="0" applyFont="1" applyAlignment="1">
      <alignment horizontal="left"/>
    </xf>
    <xf numFmtId="0" fontId="0" fillId="0" borderId="19" xfId="0" applyBorder="1" applyAlignment="1">
      <alignment horizontal="left" indent="1"/>
    </xf>
    <xf numFmtId="166" fontId="9" fillId="19" borderId="0" xfId="0" applyNumberFormat="1" applyFont="1" applyFill="1" applyAlignment="1">
      <alignment horizontal="center"/>
    </xf>
    <xf numFmtId="0" fontId="0" fillId="0" borderId="19" xfId="0" applyBorder="1" applyAlignment="1">
      <alignment horizontal="left"/>
    </xf>
    <xf numFmtId="0" fontId="9" fillId="0" borderId="0" xfId="0" applyFont="1" applyAlignment="1">
      <alignment horizontal="left" indent="1"/>
    </xf>
    <xf numFmtId="0" fontId="0" fillId="0" borderId="0" xfId="0" applyAlignment="1">
      <alignment horizontal="right"/>
    </xf>
    <xf numFmtId="10" fontId="3" fillId="0" borderId="0" xfId="0" applyNumberFormat="1" applyFont="1" applyAlignment="1">
      <alignment horizontal="center"/>
    </xf>
    <xf numFmtId="0" fontId="0" fillId="0" borderId="0" xfId="0" applyAlignment="1">
      <alignment horizontal="left" indent="2"/>
    </xf>
    <xf numFmtId="0" fontId="8" fillId="20" borderId="0" xfId="0" applyFont="1" applyFill="1" applyAlignment="1">
      <alignment horizontal="center"/>
    </xf>
    <xf numFmtId="0" fontId="10" fillId="19" borderId="0" xfId="0" applyFont="1" applyFill="1" applyAlignment="1">
      <alignment horizontal="center"/>
    </xf>
    <xf numFmtId="166" fontId="10" fillId="0" borderId="0" xfId="0" applyNumberFormat="1" applyFont="1" applyAlignment="1">
      <alignment horizontal="center"/>
    </xf>
    <xf numFmtId="0" fontId="10" fillId="0" borderId="0" xfId="0" applyFont="1" applyAlignment="1">
      <alignment horizontal="right"/>
    </xf>
    <xf numFmtId="166" fontId="8" fillId="19" borderId="24" xfId="0" applyNumberFormat="1" applyFont="1" applyFill="1" applyBorder="1" applyAlignment="1">
      <alignment horizontal="center"/>
    </xf>
    <xf numFmtId="166" fontId="0" fillId="0" borderId="0" xfId="0" applyNumberFormat="1" applyAlignment="1">
      <alignment horizontal="left"/>
    </xf>
    <xf numFmtId="0" fontId="0" fillId="3" borderId="0" xfId="0" applyFill="1"/>
    <xf numFmtId="0" fontId="6" fillId="2" borderId="27" xfId="0" applyFont="1" applyFill="1" applyBorder="1" applyAlignment="1">
      <alignment horizontal="right" indent="1"/>
    </xf>
    <xf numFmtId="0" fontId="6" fillId="2" borderId="28" xfId="0" applyFont="1" applyFill="1" applyBorder="1" applyAlignment="1">
      <alignment horizontal="right" indent="1"/>
    </xf>
    <xf numFmtId="0" fontId="5" fillId="0" borderId="27" xfId="0" applyFont="1" applyBorder="1"/>
    <xf numFmtId="0" fontId="5" fillId="0" borderId="28" xfId="0" applyFont="1" applyBorder="1"/>
    <xf numFmtId="0" fontId="8" fillId="0" borderId="27" xfId="0" applyFont="1" applyBorder="1" applyAlignment="1">
      <alignment horizontal="center"/>
    </xf>
    <xf numFmtId="0" fontId="8" fillId="0" borderId="28" xfId="0" applyFont="1" applyBorder="1" applyAlignment="1">
      <alignment horizontal="center"/>
    </xf>
    <xf numFmtId="0" fontId="10" fillId="0" borderId="27" xfId="0" applyFont="1" applyBorder="1" applyAlignment="1">
      <alignment horizontal="center"/>
    </xf>
    <xf numFmtId="0" fontId="10" fillId="0" borderId="28" xfId="0" applyFont="1" applyBorder="1" applyAlignment="1">
      <alignment horizontal="center"/>
    </xf>
    <xf numFmtId="9" fontId="9" fillId="3" borderId="27" xfId="0" applyNumberFormat="1" applyFont="1" applyFill="1" applyBorder="1" applyAlignment="1">
      <alignment horizontal="center"/>
    </xf>
    <xf numFmtId="166" fontId="9" fillId="0" borderId="27" xfId="0" applyNumberFormat="1" applyFont="1" applyBorder="1" applyAlignment="1">
      <alignment horizontal="center"/>
    </xf>
    <xf numFmtId="166" fontId="9" fillId="0" borderId="28" xfId="0" applyNumberFormat="1" applyFont="1" applyBorder="1" applyAlignment="1">
      <alignment horizontal="center"/>
    </xf>
    <xf numFmtId="166" fontId="9" fillId="3" borderId="28" xfId="0" applyNumberFormat="1" applyFont="1" applyFill="1" applyBorder="1" applyAlignment="1">
      <alignment horizontal="center"/>
    </xf>
    <xf numFmtId="0" fontId="0" fillId="0" borderId="27" xfId="0" applyBorder="1"/>
    <xf numFmtId="0" fontId="0" fillId="0" borderId="28" xfId="0" applyBorder="1"/>
    <xf numFmtId="166" fontId="9" fillId="4" borderId="27" xfId="0" applyNumberFormat="1" applyFont="1" applyFill="1" applyBorder="1" applyAlignment="1">
      <alignment horizontal="center"/>
    </xf>
    <xf numFmtId="0" fontId="0" fillId="10" borderId="0" xfId="0" applyFill="1" applyAlignment="1">
      <alignment horizontal="center"/>
    </xf>
    <xf numFmtId="0" fontId="24" fillId="0" borderId="0" xfId="0" applyFont="1" applyAlignment="1">
      <alignment horizontal="left"/>
    </xf>
    <xf numFmtId="0" fontId="24" fillId="0" borderId="0" xfId="0" applyFont="1"/>
    <xf numFmtId="172" fontId="9" fillId="0" borderId="0" xfId="0" applyNumberFormat="1" applyFont="1"/>
    <xf numFmtId="176" fontId="0" fillId="10" borderId="0" xfId="0" applyNumberFormat="1" applyFill="1"/>
    <xf numFmtId="176" fontId="0" fillId="0" borderId="0" xfId="0" applyNumberFormat="1"/>
    <xf numFmtId="176" fontId="0" fillId="4" borderId="0" xfId="0" applyNumberFormat="1" applyFill="1"/>
    <xf numFmtId="176" fontId="0" fillId="0" borderId="26" xfId="0" applyNumberFormat="1" applyBorder="1"/>
    <xf numFmtId="0" fontId="0" fillId="0" borderId="0" xfId="0" applyAlignment="1">
      <alignment horizontal="left"/>
    </xf>
    <xf numFmtId="0" fontId="10" fillId="19" borderId="28" xfId="0" applyFont="1" applyFill="1" applyBorder="1" applyAlignment="1">
      <alignment horizontal="center"/>
    </xf>
    <xf numFmtId="166" fontId="9" fillId="18" borderId="28" xfId="0" applyNumberFormat="1" applyFont="1" applyFill="1" applyBorder="1" applyAlignment="1">
      <alignment horizontal="center"/>
    </xf>
    <xf numFmtId="166" fontId="8" fillId="0" borderId="27" xfId="0" applyNumberFormat="1" applyFont="1" applyBorder="1" applyAlignment="1">
      <alignment horizontal="center"/>
    </xf>
    <xf numFmtId="166" fontId="8" fillId="0" borderId="28" xfId="0" applyNumberFormat="1" applyFont="1" applyBorder="1" applyAlignment="1">
      <alignment horizontal="center"/>
    </xf>
    <xf numFmtId="166" fontId="8" fillId="0" borderId="31" xfId="0" applyNumberFormat="1" applyFont="1" applyBorder="1" applyAlignment="1">
      <alignment horizontal="center"/>
    </xf>
    <xf numFmtId="166" fontId="8" fillId="19" borderId="32" xfId="0" applyNumberFormat="1" applyFont="1" applyFill="1" applyBorder="1" applyAlignment="1">
      <alignment horizontal="center"/>
    </xf>
    <xf numFmtId="166" fontId="9" fillId="19" borderId="28" xfId="0" applyNumberFormat="1" applyFont="1" applyFill="1" applyBorder="1" applyAlignment="1">
      <alignment horizontal="center"/>
    </xf>
    <xf numFmtId="166" fontId="10" fillId="0" borderId="27" xfId="0" applyNumberFormat="1" applyFont="1" applyBorder="1" applyAlignment="1">
      <alignment horizontal="center"/>
    </xf>
    <xf numFmtId="166" fontId="8" fillId="0" borderId="32" xfId="0" applyNumberFormat="1" applyFont="1" applyBorder="1" applyAlignment="1">
      <alignment horizontal="center"/>
    </xf>
    <xf numFmtId="0" fontId="3" fillId="4" borderId="0" xfId="0" applyFont="1" applyFill="1" applyAlignment="1">
      <alignment horizontal="center"/>
    </xf>
    <xf numFmtId="0" fontId="12" fillId="0" borderId="0" xfId="0" applyFont="1" applyAlignment="1">
      <alignment horizontal="center"/>
    </xf>
    <xf numFmtId="0" fontId="9" fillId="4" borderId="0" xfId="0" applyFont="1" applyFill="1" applyAlignment="1">
      <alignment horizontal="center"/>
    </xf>
    <xf numFmtId="0" fontId="8" fillId="0" borderId="1" xfId="0" applyFont="1" applyBorder="1"/>
    <xf numFmtId="0" fontId="8" fillId="0" borderId="1" xfId="0" applyFont="1" applyBorder="1" applyAlignment="1">
      <alignment horizontal="center" wrapText="1"/>
    </xf>
    <xf numFmtId="167" fontId="3" fillId="0" borderId="0" xfId="0" applyNumberFormat="1" applyFont="1" applyAlignment="1">
      <alignment horizontal="center" vertical="center"/>
    </xf>
    <xf numFmtId="0" fontId="8" fillId="0" borderId="1" xfId="0" applyFont="1" applyBorder="1" applyAlignment="1">
      <alignment horizontal="center"/>
    </xf>
    <xf numFmtId="0" fontId="3" fillId="4" borderId="0" xfId="0" applyFont="1" applyFill="1" applyAlignment="1">
      <alignment horizontal="right"/>
    </xf>
    <xf numFmtId="0" fontId="0" fillId="3" borderId="0" xfId="0" applyFill="1" applyAlignment="1">
      <alignment horizontal="left"/>
    </xf>
    <xf numFmtId="0" fontId="3" fillId="0" borderId="1" xfId="0" applyFont="1" applyBorder="1"/>
    <xf numFmtId="177" fontId="25" fillId="0" borderId="0" xfId="0" applyNumberFormat="1" applyFont="1" applyAlignment="1">
      <alignment horizontal="left"/>
    </xf>
    <xf numFmtId="178" fontId="25" fillId="0" borderId="0" xfId="0" applyNumberFormat="1" applyFont="1"/>
    <xf numFmtId="17" fontId="0" fillId="0" borderId="0" xfId="0" applyNumberFormat="1"/>
    <xf numFmtId="167" fontId="3" fillId="6" borderId="0" xfId="0" applyNumberFormat="1" applyFont="1" applyFill="1" applyAlignment="1">
      <alignment horizontal="center" vertical="center"/>
    </xf>
    <xf numFmtId="171" fontId="3" fillId="6" borderId="0" xfId="2" applyNumberFormat="1" applyFont="1" applyFill="1" applyBorder="1" applyAlignment="1">
      <alignment horizontal="center"/>
    </xf>
    <xf numFmtId="179" fontId="3" fillId="3" borderId="0" xfId="0" applyNumberFormat="1" applyFont="1" applyFill="1" applyAlignment="1">
      <alignment horizontal="center"/>
    </xf>
    <xf numFmtId="0" fontId="3" fillId="6" borderId="2" xfId="0" applyFont="1" applyFill="1" applyBorder="1"/>
    <xf numFmtId="0" fontId="3" fillId="6" borderId="0" xfId="0" applyFont="1" applyFill="1"/>
    <xf numFmtId="0" fontId="0" fillId="6" borderId="0" xfId="0" applyFill="1"/>
    <xf numFmtId="167" fontId="3" fillId="0" borderId="1" xfId="0" applyNumberFormat="1" applyFont="1" applyBorder="1" applyAlignment="1">
      <alignment horizontal="center" vertical="center"/>
    </xf>
    <xf numFmtId="167" fontId="3" fillId="0" borderId="1" xfId="0" applyNumberFormat="1" applyFont="1" applyBorder="1" applyAlignment="1">
      <alignment horizontal="center"/>
    </xf>
    <xf numFmtId="9" fontId="0" fillId="0" borderId="0" xfId="0" applyNumberFormat="1" applyAlignment="1">
      <alignment horizontal="center"/>
    </xf>
    <xf numFmtId="0" fontId="0" fillId="6" borderId="0" xfId="0" applyFill="1" applyAlignment="1">
      <alignment horizontal="left"/>
    </xf>
    <xf numFmtId="9" fontId="0" fillId="6" borderId="0" xfId="0" applyNumberFormat="1" applyFill="1" applyAlignment="1">
      <alignment horizontal="center"/>
    </xf>
    <xf numFmtId="0" fontId="3" fillId="6" borderId="0" xfId="0" applyFont="1" applyFill="1" applyAlignment="1">
      <alignment horizontal="left"/>
    </xf>
    <xf numFmtId="0" fontId="3" fillId="0" borderId="2" xfId="0" applyFont="1" applyBorder="1" applyAlignment="1">
      <alignment horizontal="center"/>
    </xf>
    <xf numFmtId="0" fontId="0" fillId="6" borderId="0" xfId="0" applyFill="1" applyAlignment="1">
      <alignment horizontal="center"/>
    </xf>
    <xf numFmtId="0" fontId="6" fillId="2" borderId="0" xfId="0" applyFont="1" applyFill="1" applyAlignment="1">
      <alignment horizontal="left" vertical="center"/>
    </xf>
    <xf numFmtId="10" fontId="0" fillId="10" borderId="0" xfId="3" applyNumberFormat="1" applyFont="1" applyFill="1"/>
    <xf numFmtId="165" fontId="0" fillId="0" borderId="0" xfId="4" applyFont="1"/>
    <xf numFmtId="171" fontId="23" fillId="0" borderId="0" xfId="3" applyNumberFormat="1" applyFont="1"/>
    <xf numFmtId="10" fontId="0" fillId="0" borderId="0" xfId="3" applyNumberFormat="1" applyFont="1"/>
    <xf numFmtId="174" fontId="0" fillId="15" borderId="0" xfId="4" applyNumberFormat="1" applyFont="1" applyFill="1"/>
    <xf numFmtId="167" fontId="26" fillId="10" borderId="0" xfId="0" applyNumberFormat="1" applyFont="1" applyFill="1" applyAlignment="1">
      <alignment horizontal="center"/>
    </xf>
    <xf numFmtId="167" fontId="3" fillId="10" borderId="0" xfId="0" applyNumberFormat="1" applyFont="1" applyFill="1" applyAlignment="1">
      <alignment horizontal="center"/>
    </xf>
    <xf numFmtId="171" fontId="3" fillId="0" borderId="0" xfId="0" applyNumberFormat="1" applyFont="1" applyAlignment="1">
      <alignment horizontal="center"/>
    </xf>
    <xf numFmtId="0" fontId="8" fillId="0" borderId="0" xfId="0" applyFont="1" applyAlignment="1">
      <alignment horizontal="right" indent="1"/>
    </xf>
    <xf numFmtId="165" fontId="0" fillId="0" borderId="0" xfId="4" applyFont="1" applyFill="1"/>
    <xf numFmtId="165" fontId="0" fillId="0" borderId="26" xfId="4" applyFont="1" applyBorder="1"/>
    <xf numFmtId="167" fontId="3" fillId="0" borderId="0" xfId="0" applyNumberFormat="1" applyFont="1" applyAlignment="1">
      <alignment horizontal="center"/>
    </xf>
    <xf numFmtId="0" fontId="3" fillId="3" borderId="0" xfId="0" applyFont="1" applyFill="1" applyAlignment="1">
      <alignment horizontal="center"/>
    </xf>
    <xf numFmtId="167" fontId="8" fillId="0" borderId="0" xfId="0" applyNumberFormat="1" applyFont="1" applyAlignment="1">
      <alignment horizontal="center"/>
    </xf>
    <xf numFmtId="0" fontId="8" fillId="0" borderId="34" xfId="0" applyFont="1" applyBorder="1" applyAlignment="1">
      <alignment horizontal="center"/>
    </xf>
    <xf numFmtId="10" fontId="3" fillId="10" borderId="0" xfId="0" applyNumberFormat="1" applyFont="1" applyFill="1" applyAlignment="1">
      <alignment horizontal="center"/>
    </xf>
    <xf numFmtId="166" fontId="9" fillId="0" borderId="19" xfId="0" applyNumberFormat="1" applyFont="1" applyBorder="1" applyAlignment="1">
      <alignment horizontal="center"/>
    </xf>
    <xf numFmtId="0" fontId="9" fillId="0" borderId="0" xfId="0" applyFont="1"/>
    <xf numFmtId="0" fontId="6" fillId="0" borderId="0" xfId="0" applyFont="1" applyAlignment="1">
      <alignment horizontal="right" indent="1"/>
    </xf>
    <xf numFmtId="0" fontId="4" fillId="0" borderId="0" xfId="0" applyFont="1" applyAlignment="1">
      <alignment horizontal="left"/>
    </xf>
    <xf numFmtId="0" fontId="6" fillId="0" borderId="0" xfId="0" applyFont="1" applyAlignment="1">
      <alignment horizontal="left" vertical="center"/>
    </xf>
    <xf numFmtId="0" fontId="7" fillId="0" borderId="0" xfId="0" applyFont="1"/>
    <xf numFmtId="0" fontId="16" fillId="0" borderId="0" xfId="0" quotePrefix="1" applyFont="1"/>
    <xf numFmtId="0" fontId="31" fillId="0" borderId="0" xfId="0" applyFont="1" applyAlignment="1">
      <alignment horizontal="left"/>
    </xf>
    <xf numFmtId="0" fontId="30" fillId="0" borderId="6" xfId="0" applyFont="1" applyBorder="1"/>
    <xf numFmtId="0" fontId="0" fillId="0" borderId="9" xfId="0" applyBorder="1"/>
    <xf numFmtId="0" fontId="0" fillId="0" borderId="11" xfId="0" applyBorder="1"/>
    <xf numFmtId="0" fontId="0" fillId="0" borderId="7" xfId="0" applyBorder="1"/>
    <xf numFmtId="0" fontId="3" fillId="17" borderId="10" xfId="0" applyFont="1" applyFill="1" applyBorder="1" applyAlignment="1">
      <alignment horizontal="center"/>
    </xf>
    <xf numFmtId="0" fontId="30" fillId="0" borderId="8" xfId="0" applyFont="1" applyBorder="1"/>
    <xf numFmtId="0" fontId="30" fillId="0" borderId="10" xfId="0" applyFont="1" applyBorder="1"/>
    <xf numFmtId="0" fontId="34" fillId="0" borderId="0" xfId="0" applyFont="1"/>
    <xf numFmtId="169" fontId="35" fillId="12" borderId="0" xfId="0" applyNumberFormat="1" applyFont="1" applyFill="1" applyAlignment="1">
      <alignment horizontal="center"/>
    </xf>
    <xf numFmtId="0" fontId="34" fillId="0" borderId="0" xfId="0" applyFont="1" applyAlignment="1">
      <alignment horizontal="right"/>
    </xf>
    <xf numFmtId="0" fontId="34" fillId="0" borderId="0" xfId="0" applyFont="1" applyAlignment="1">
      <alignment horizontal="left"/>
    </xf>
    <xf numFmtId="166" fontId="34" fillId="0" borderId="0" xfId="0" applyNumberFormat="1" applyFont="1" applyAlignment="1">
      <alignment horizontal="center"/>
    </xf>
    <xf numFmtId="0" fontId="33" fillId="8" borderId="0" xfId="0" applyFont="1" applyFill="1"/>
    <xf numFmtId="0" fontId="34" fillId="8" borderId="0" xfId="0" applyFont="1" applyFill="1"/>
    <xf numFmtId="0" fontId="30" fillId="0" borderId="0" xfId="0" applyFont="1"/>
    <xf numFmtId="0" fontId="36" fillId="0" borderId="0" xfId="0" applyFont="1"/>
    <xf numFmtId="169" fontId="37" fillId="0" borderId="0" xfId="0" applyNumberFormat="1" applyFont="1" applyAlignment="1">
      <alignment horizontal="right"/>
    </xf>
    <xf numFmtId="169" fontId="35" fillId="0" borderId="0" xfId="0" applyNumberFormat="1" applyFont="1" applyAlignment="1">
      <alignment horizontal="right"/>
    </xf>
    <xf numFmtId="0" fontId="38" fillId="13" borderId="17" xfId="0" applyFont="1" applyFill="1" applyBorder="1"/>
    <xf numFmtId="169" fontId="35" fillId="12" borderId="17" xfId="0" applyNumberFormat="1" applyFont="1" applyFill="1" applyBorder="1"/>
    <xf numFmtId="169" fontId="35" fillId="12" borderId="0" xfId="0" applyNumberFormat="1" applyFont="1" applyFill="1"/>
    <xf numFmtId="0" fontId="35" fillId="12" borderId="0" xfId="0" applyFont="1" applyFill="1" applyAlignment="1">
      <alignment horizontal="right"/>
    </xf>
    <xf numFmtId="169" fontId="35" fillId="12" borderId="0" xfId="0" applyNumberFormat="1" applyFont="1" applyFill="1" applyAlignment="1">
      <alignment horizontal="right"/>
    </xf>
    <xf numFmtId="170" fontId="35" fillId="9" borderId="18" xfId="0" applyNumberFormat="1" applyFont="1" applyFill="1" applyBorder="1"/>
    <xf numFmtId="169" fontId="39" fillId="12" borderId="0" xfId="0" applyNumberFormat="1" applyFont="1" applyFill="1" applyAlignment="1">
      <alignment horizontal="right"/>
    </xf>
    <xf numFmtId="169" fontId="39" fillId="9" borderId="18" xfId="0" applyNumberFormat="1" applyFont="1" applyFill="1" applyBorder="1"/>
    <xf numFmtId="180" fontId="34" fillId="0" borderId="0" xfId="0" applyNumberFormat="1" applyFont="1"/>
    <xf numFmtId="0" fontId="36" fillId="0" borderId="0" xfId="0" applyFont="1" applyAlignment="1">
      <alignment horizontal="right"/>
    </xf>
    <xf numFmtId="170" fontId="35" fillId="12" borderId="17" xfId="0" applyNumberFormat="1" applyFont="1" applyFill="1" applyBorder="1"/>
    <xf numFmtId="170" fontId="35" fillId="12" borderId="0" xfId="0" applyNumberFormat="1" applyFont="1" applyFill="1"/>
    <xf numFmtId="0" fontId="34" fillId="7" borderId="0" xfId="0" applyFont="1" applyFill="1"/>
    <xf numFmtId="0" fontId="33" fillId="7" borderId="0" xfId="0" applyFont="1" applyFill="1"/>
    <xf numFmtId="0" fontId="30" fillId="0" borderId="0" xfId="0" applyFont="1" applyAlignment="1">
      <alignment horizontal="left"/>
    </xf>
    <xf numFmtId="0" fontId="37" fillId="10" borderId="0" xfId="0" applyFont="1" applyFill="1" applyAlignment="1">
      <alignment horizontal="center"/>
    </xf>
    <xf numFmtId="0" fontId="37" fillId="0" borderId="0" xfId="0" applyFont="1" applyAlignment="1">
      <alignment horizontal="center"/>
    </xf>
    <xf numFmtId="0" fontId="40" fillId="0" borderId="0" xfId="0" applyFont="1" applyAlignment="1">
      <alignment horizontal="center"/>
    </xf>
    <xf numFmtId="0" fontId="30" fillId="0" borderId="33" xfId="0" applyFont="1" applyBorder="1" applyAlignment="1">
      <alignment horizontal="left"/>
    </xf>
    <xf numFmtId="0" fontId="30" fillId="0" borderId="33" xfId="0" applyFont="1" applyBorder="1"/>
    <xf numFmtId="166" fontId="30" fillId="0" borderId="33" xfId="0" applyNumberFormat="1" applyFont="1" applyBorder="1" applyAlignment="1">
      <alignment horizontal="center"/>
    </xf>
    <xf numFmtId="166" fontId="30" fillId="0" borderId="0" xfId="0" applyNumberFormat="1" applyFont="1"/>
    <xf numFmtId="171" fontId="34" fillId="10" borderId="0" xfId="0" applyNumberFormat="1" applyFont="1" applyFill="1" applyAlignment="1">
      <alignment horizontal="center"/>
    </xf>
    <xf numFmtId="166" fontId="34" fillId="10" borderId="0" xfId="0" applyNumberFormat="1" applyFont="1" applyFill="1" applyAlignment="1">
      <alignment horizontal="center"/>
    </xf>
    <xf numFmtId="169" fontId="41" fillId="7" borderId="0" xfId="0" applyNumberFormat="1" applyFont="1" applyFill="1" applyAlignment="1">
      <alignment horizontal="left" vertical="center"/>
    </xf>
    <xf numFmtId="169" fontId="41" fillId="7" borderId="12" xfId="0" applyNumberFormat="1" applyFont="1" applyFill="1" applyBorder="1" applyAlignment="1">
      <alignment horizontal="left" vertical="center"/>
    </xf>
    <xf numFmtId="169" fontId="41" fillId="7" borderId="13" xfId="0" applyNumberFormat="1" applyFont="1" applyFill="1" applyBorder="1" applyAlignment="1">
      <alignment horizontal="left" vertical="center"/>
    </xf>
    <xf numFmtId="0" fontId="42" fillId="12" borderId="14" xfId="0" applyFont="1" applyFill="1" applyBorder="1"/>
    <xf numFmtId="169" fontId="42" fillId="12" borderId="14" xfId="0" applyNumberFormat="1" applyFont="1" applyFill="1" applyBorder="1" applyAlignment="1">
      <alignment horizontal="right"/>
    </xf>
    <xf numFmtId="169" fontId="42" fillId="0" borderId="15" xfId="0" applyNumberFormat="1" applyFont="1" applyBorder="1" applyAlignment="1">
      <alignment horizontal="right"/>
    </xf>
    <xf numFmtId="169" fontId="42" fillId="0" borderId="14" xfId="0" applyNumberFormat="1" applyFont="1" applyBorder="1" applyAlignment="1">
      <alignment horizontal="right" wrapText="1"/>
    </xf>
    <xf numFmtId="170" fontId="43" fillId="10" borderId="0" xfId="0" applyNumberFormat="1" applyFont="1" applyFill="1"/>
    <xf numFmtId="170" fontId="43" fillId="0" borderId="16" xfId="0" applyNumberFormat="1" applyFont="1" applyBorder="1"/>
    <xf numFmtId="170" fontId="43" fillId="11" borderId="16" xfId="0" applyNumberFormat="1" applyFont="1" applyFill="1" applyBorder="1"/>
    <xf numFmtId="170" fontId="42" fillId="11" borderId="0" xfId="0" applyNumberFormat="1" applyFont="1" applyFill="1" applyAlignment="1">
      <alignment horizontal="left" vertical="center"/>
    </xf>
    <xf numFmtId="170" fontId="43" fillId="0" borderId="0" xfId="0" applyNumberFormat="1" applyFont="1"/>
    <xf numFmtId="170" fontId="43" fillId="0" borderId="0" xfId="0" applyNumberFormat="1" applyFont="1" applyAlignment="1">
      <alignment horizontal="right"/>
    </xf>
    <xf numFmtId="170" fontId="43" fillId="11" borderId="0" xfId="0" applyNumberFormat="1" applyFont="1" applyFill="1"/>
    <xf numFmtId="170" fontId="43" fillId="6" borderId="0" xfId="0" applyNumberFormat="1" applyFont="1" applyFill="1" applyAlignment="1">
      <alignment horizontal="right"/>
    </xf>
    <xf numFmtId="170" fontId="43" fillId="5" borderId="16" xfId="0" applyNumberFormat="1" applyFont="1" applyFill="1" applyBorder="1"/>
    <xf numFmtId="170" fontId="43" fillId="10" borderId="16" xfId="0" applyNumberFormat="1" applyFont="1" applyFill="1" applyBorder="1"/>
    <xf numFmtId="0" fontId="42" fillId="12" borderId="0" xfId="0" applyFont="1" applyFill="1"/>
    <xf numFmtId="0" fontId="0" fillId="9" borderId="0" xfId="0" applyFill="1"/>
    <xf numFmtId="0" fontId="8" fillId="0" borderId="8" xfId="0" applyFont="1" applyBorder="1"/>
    <xf numFmtId="0" fontId="8" fillId="0" borderId="10" xfId="0" applyFont="1" applyBorder="1"/>
    <xf numFmtId="0" fontId="0" fillId="0" borderId="10" xfId="0" applyBorder="1"/>
    <xf numFmtId="0" fontId="44" fillId="0" borderId="6" xfId="0" applyFont="1" applyBorder="1"/>
    <xf numFmtId="0" fontId="6" fillId="23" borderId="8" xfId="0" applyFont="1" applyFill="1" applyBorder="1"/>
    <xf numFmtId="0" fontId="6" fillId="24" borderId="8" xfId="0" applyFont="1" applyFill="1" applyBorder="1"/>
    <xf numFmtId="0" fontId="6" fillId="25" borderId="8" xfId="0" applyFont="1" applyFill="1" applyBorder="1"/>
    <xf numFmtId="0" fontId="45" fillId="2" borderId="0" xfId="0" applyFont="1" applyFill="1"/>
    <xf numFmtId="0" fontId="46" fillId="2" borderId="0" xfId="0" applyFont="1" applyFill="1"/>
    <xf numFmtId="0" fontId="47" fillId="2" borderId="0" xfId="0" applyFont="1" applyFill="1"/>
    <xf numFmtId="0" fontId="47" fillId="2" borderId="0" xfId="0" applyFont="1" applyFill="1" applyAlignment="1">
      <alignment horizontal="left" vertical="center"/>
    </xf>
    <xf numFmtId="0" fontId="48" fillId="2" borderId="0" xfId="0" applyFont="1" applyFill="1"/>
    <xf numFmtId="166" fontId="47" fillId="2" borderId="0" xfId="0" applyNumberFormat="1" applyFont="1" applyFill="1" applyAlignment="1">
      <alignment horizontal="right" indent="1"/>
    </xf>
    <xf numFmtId="166" fontId="46" fillId="3" borderId="0" xfId="0" applyNumberFormat="1" applyFont="1" applyFill="1" applyAlignment="1">
      <alignment horizontal="center" vertical="center"/>
    </xf>
    <xf numFmtId="166" fontId="46" fillId="9" borderId="0" xfId="0" applyNumberFormat="1" applyFont="1" applyFill="1" applyAlignment="1">
      <alignment horizontal="center" vertical="center"/>
    </xf>
    <xf numFmtId="0" fontId="46" fillId="4" borderId="0" xfId="0" applyFont="1" applyFill="1" applyAlignment="1">
      <alignment horizontal="center"/>
    </xf>
    <xf numFmtId="0" fontId="46" fillId="10" borderId="0" xfId="0" applyFont="1" applyFill="1" applyAlignment="1">
      <alignment horizontal="center"/>
    </xf>
    <xf numFmtId="0" fontId="46" fillId="6" borderId="0" xfId="0" applyFont="1" applyFill="1" applyAlignment="1">
      <alignment horizontal="center"/>
    </xf>
    <xf numFmtId="0" fontId="46" fillId="5" borderId="0" xfId="0" applyFont="1" applyFill="1" applyAlignment="1">
      <alignment horizontal="center"/>
    </xf>
    <xf numFmtId="0" fontId="46" fillId="0" borderId="0" xfId="0" applyFont="1"/>
    <xf numFmtId="0" fontId="31" fillId="0" borderId="0" xfId="0" applyFont="1"/>
    <xf numFmtId="169" fontId="49" fillId="12" borderId="0" xfId="0" applyNumberFormat="1" applyFont="1" applyFill="1" applyAlignment="1">
      <alignment horizontal="center"/>
    </xf>
    <xf numFmtId="0" fontId="46" fillId="0" borderId="0" xfId="0" applyFont="1" applyAlignment="1">
      <alignment horizontal="center"/>
    </xf>
    <xf numFmtId="0" fontId="46" fillId="0" borderId="0" xfId="0" applyFont="1" applyAlignment="1">
      <alignment horizontal="right"/>
    </xf>
    <xf numFmtId="0" fontId="46" fillId="0" borderId="0" xfId="0" applyFont="1" applyAlignment="1">
      <alignment horizontal="left"/>
    </xf>
    <xf numFmtId="0" fontId="31" fillId="0" borderId="0" xfId="0" applyFont="1" applyAlignment="1">
      <alignment horizontal="right" indent="1"/>
    </xf>
    <xf numFmtId="0" fontId="46" fillId="4" borderId="18" xfId="0" applyFont="1" applyFill="1" applyBorder="1" applyAlignment="1">
      <alignment horizontal="center"/>
    </xf>
    <xf numFmtId="0" fontId="50" fillId="0" borderId="0" xfId="0" applyFont="1" applyAlignment="1">
      <alignment horizontal="left" indent="1"/>
    </xf>
    <xf numFmtId="0" fontId="46" fillId="21" borderId="0" xfId="0" applyFont="1" applyFill="1"/>
    <xf numFmtId="0" fontId="45" fillId="21" borderId="0" xfId="0" applyFont="1" applyFill="1"/>
    <xf numFmtId="0" fontId="31" fillId="0" borderId="0" xfId="0" applyFont="1" applyAlignment="1">
      <alignment horizontal="center"/>
    </xf>
    <xf numFmtId="0" fontId="31" fillId="0" borderId="22" xfId="0" applyFont="1" applyBorder="1" applyAlignment="1">
      <alignment horizontal="center"/>
    </xf>
    <xf numFmtId="0" fontId="31" fillId="0" borderId="4" xfId="0" applyFont="1" applyBorder="1" applyAlignment="1">
      <alignment horizontal="center"/>
    </xf>
    <xf numFmtId="0" fontId="31" fillId="0" borderId="21" xfId="0" applyFont="1" applyBorder="1" applyAlignment="1">
      <alignment horizontal="center"/>
    </xf>
    <xf numFmtId="0" fontId="46" fillId="0" borderId="22" xfId="0" applyFont="1" applyBorder="1" applyAlignment="1">
      <alignment horizontal="center"/>
    </xf>
    <xf numFmtId="0" fontId="46" fillId="0" borderId="4" xfId="0" applyFont="1" applyBorder="1" applyAlignment="1">
      <alignment horizontal="center"/>
    </xf>
    <xf numFmtId="0" fontId="46" fillId="0" borderId="21" xfId="0" applyFont="1" applyBorder="1" applyAlignment="1">
      <alignment horizontal="center"/>
    </xf>
    <xf numFmtId="0" fontId="46" fillId="0" borderId="22" xfId="0" applyFont="1" applyBorder="1"/>
    <xf numFmtId="0" fontId="46" fillId="0" borderId="4" xfId="0" applyFont="1" applyBorder="1"/>
    <xf numFmtId="0" fontId="46" fillId="0" borderId="21" xfId="0" applyFont="1" applyBorder="1"/>
    <xf numFmtId="9" fontId="46" fillId="0" borderId="2" xfId="0" applyNumberFormat="1" applyFont="1" applyBorder="1" applyAlignment="1">
      <alignment horizontal="center"/>
    </xf>
    <xf numFmtId="10" fontId="46" fillId="0" borderId="2" xfId="0" applyNumberFormat="1" applyFont="1" applyBorder="1" applyAlignment="1">
      <alignment horizontal="center"/>
    </xf>
    <xf numFmtId="2" fontId="46" fillId="0" borderId="2" xfId="0" applyNumberFormat="1" applyFont="1" applyBorder="1" applyAlignment="1">
      <alignment horizontal="center"/>
    </xf>
    <xf numFmtId="166" fontId="46" fillId="0" borderId="23" xfId="0" applyNumberFormat="1" applyFont="1" applyBorder="1" applyAlignment="1">
      <alignment horizontal="center"/>
    </xf>
    <xf numFmtId="166" fontId="46" fillId="0" borderId="5" xfId="0" applyNumberFormat="1" applyFont="1" applyBorder="1" applyAlignment="1">
      <alignment horizontal="center"/>
    </xf>
    <xf numFmtId="166" fontId="46" fillId="10" borderId="20" xfId="0" applyNumberFormat="1" applyFont="1" applyFill="1" applyBorder="1" applyAlignment="1">
      <alignment horizontal="center"/>
    </xf>
    <xf numFmtId="166" fontId="46" fillId="10" borderId="2" xfId="0" applyNumberFormat="1" applyFont="1" applyFill="1" applyBorder="1" applyAlignment="1">
      <alignment horizontal="center"/>
    </xf>
    <xf numFmtId="166" fontId="46" fillId="0" borderId="2" xfId="0" applyNumberFormat="1" applyFont="1" applyBorder="1" applyAlignment="1">
      <alignment horizontal="center"/>
    </xf>
    <xf numFmtId="0" fontId="31" fillId="0" borderId="1" xfId="0" applyFont="1" applyBorder="1"/>
    <xf numFmtId="0" fontId="46" fillId="0" borderId="1" xfId="0" applyFont="1" applyBorder="1"/>
    <xf numFmtId="0" fontId="31" fillId="10" borderId="1" xfId="0" applyFont="1" applyFill="1" applyBorder="1" applyAlignment="1">
      <alignment horizontal="center"/>
    </xf>
    <xf numFmtId="166" fontId="46" fillId="0" borderId="0" xfId="0" applyNumberFormat="1" applyFont="1" applyAlignment="1">
      <alignment horizontal="center"/>
    </xf>
    <xf numFmtId="166" fontId="46" fillId="0" borderId="21" xfId="0" applyNumberFormat="1" applyFont="1" applyBorder="1" applyAlignment="1">
      <alignment horizontal="center"/>
    </xf>
    <xf numFmtId="166" fontId="46" fillId="0" borderId="0" xfId="0" applyNumberFormat="1" applyFont="1" applyAlignment="1">
      <alignment horizontal="left" indent="1"/>
    </xf>
    <xf numFmtId="166" fontId="46" fillId="0" borderId="0" xfId="0" applyNumberFormat="1" applyFont="1" applyAlignment="1">
      <alignment horizontal="left"/>
    </xf>
    <xf numFmtId="166" fontId="46" fillId="0" borderId="4" xfId="0" applyNumberFormat="1" applyFont="1" applyBorder="1" applyAlignment="1">
      <alignment horizontal="center"/>
    </xf>
    <xf numFmtId="9" fontId="46" fillId="0" borderId="4" xfId="0" applyNumberFormat="1" applyFont="1" applyBorder="1" applyAlignment="1">
      <alignment horizontal="center"/>
    </xf>
    <xf numFmtId="9" fontId="46" fillId="0" borderId="0" xfId="0" applyNumberFormat="1" applyFont="1" applyAlignment="1">
      <alignment horizontal="center"/>
    </xf>
    <xf numFmtId="166" fontId="31" fillId="0" borderId="4" xfId="0" applyNumberFormat="1" applyFont="1" applyBorder="1" applyAlignment="1">
      <alignment horizontal="center"/>
    </xf>
    <xf numFmtId="166" fontId="31" fillId="0" borderId="0" xfId="0" applyNumberFormat="1" applyFont="1" applyAlignment="1">
      <alignment horizontal="center"/>
    </xf>
    <xf numFmtId="0" fontId="45" fillId="8" borderId="0" xfId="0" applyFont="1" applyFill="1"/>
    <xf numFmtId="0" fontId="46" fillId="8" borderId="0" xfId="0" applyFont="1" applyFill="1"/>
    <xf numFmtId="0" fontId="45" fillId="0" borderId="0" xfId="0" applyFont="1"/>
    <xf numFmtId="0" fontId="46" fillId="0" borderId="0" xfId="0" applyFont="1" applyAlignment="1">
      <alignment horizontal="center" wrapText="1"/>
    </xf>
    <xf numFmtId="0" fontId="46" fillId="0" borderId="2" xfId="0" applyFont="1" applyBorder="1"/>
    <xf numFmtId="0" fontId="52" fillId="0" borderId="0" xfId="0" applyFont="1"/>
    <xf numFmtId="0" fontId="51" fillId="0" borderId="0" xfId="0" applyFont="1"/>
    <xf numFmtId="183" fontId="9" fillId="18" borderId="0" xfId="0" applyNumberFormat="1" applyFont="1" applyFill="1" applyAlignment="1">
      <alignment horizontal="center"/>
    </xf>
    <xf numFmtId="166" fontId="0" fillId="0" borderId="0" xfId="0" applyNumberFormat="1" applyAlignment="1">
      <alignment horizontal="center"/>
    </xf>
    <xf numFmtId="0" fontId="12" fillId="0" borderId="0" xfId="0" applyFont="1"/>
    <xf numFmtId="0" fontId="8" fillId="0" borderId="0" xfId="0" applyFont="1" applyAlignment="1">
      <alignment horizontal="left" indent="1"/>
    </xf>
    <xf numFmtId="0" fontId="0" fillId="4" borderId="0" xfId="0" applyFill="1" applyAlignment="1">
      <alignment horizontal="center"/>
    </xf>
    <xf numFmtId="0" fontId="3" fillId="3" borderId="0" xfId="0" applyFont="1" applyFill="1"/>
    <xf numFmtId="0" fontId="46" fillId="0" borderId="0" xfId="0" applyFont="1" applyAlignment="1">
      <alignment wrapText="1"/>
    </xf>
    <xf numFmtId="0" fontId="8" fillId="0" borderId="22" xfId="0" applyFont="1" applyBorder="1" applyAlignment="1">
      <alignment horizontal="center"/>
    </xf>
    <xf numFmtId="9" fontId="0" fillId="10" borderId="2" xfId="0" applyNumberFormat="1" applyFill="1" applyBorder="1" applyAlignment="1">
      <alignment horizontal="center"/>
    </xf>
    <xf numFmtId="0" fontId="4" fillId="8" borderId="0" xfId="0" applyFont="1" applyFill="1" applyAlignment="1">
      <alignment vertical="center"/>
    </xf>
    <xf numFmtId="0" fontId="4" fillId="0" borderId="0" xfId="0" applyFont="1" applyAlignment="1">
      <alignment vertical="center"/>
    </xf>
    <xf numFmtId="182" fontId="0" fillId="0" borderId="18" xfId="0" applyNumberFormat="1" applyBorder="1" applyAlignment="1">
      <alignment horizontal="center" vertical="center"/>
    </xf>
    <xf numFmtId="0" fontId="9" fillId="0" borderId="0" xfId="0" applyFont="1" applyAlignment="1">
      <alignment horizontal="left" indent="2"/>
    </xf>
    <xf numFmtId="0" fontId="9" fillId="0" borderId="0" xfId="0" applyFont="1" applyAlignment="1">
      <alignment horizontal="left" indent="3"/>
    </xf>
    <xf numFmtId="0" fontId="53" fillId="0" borderId="0" xfId="0" applyFont="1" applyAlignment="1">
      <alignment horizontal="left" indent="1"/>
    </xf>
    <xf numFmtId="0" fontId="53" fillId="0" borderId="0" xfId="0" applyFont="1"/>
    <xf numFmtId="0" fontId="54" fillId="0" borderId="0" xfId="0" applyFont="1"/>
    <xf numFmtId="0" fontId="24" fillId="0" borderId="0" xfId="0" applyFont="1" applyAlignment="1">
      <alignment horizontal="left" indent="1"/>
    </xf>
    <xf numFmtId="0" fontId="53" fillId="0" borderId="0" xfId="0" applyFont="1" applyAlignment="1">
      <alignment vertical="center"/>
    </xf>
    <xf numFmtId="166" fontId="49" fillId="0" borderId="0" xfId="0" applyNumberFormat="1" applyFont="1" applyAlignment="1">
      <alignment horizontal="left"/>
    </xf>
    <xf numFmtId="9" fontId="0" fillId="10" borderId="23" xfId="0" applyNumberFormat="1" applyFill="1" applyBorder="1" applyAlignment="1">
      <alignment horizontal="center"/>
    </xf>
    <xf numFmtId="0" fontId="12" fillId="0" borderId="22" xfId="0" applyFont="1" applyBorder="1" applyAlignment="1">
      <alignment horizontal="center"/>
    </xf>
    <xf numFmtId="0" fontId="12" fillId="0" borderId="21" xfId="0" applyFont="1" applyBorder="1" applyAlignment="1">
      <alignment horizontal="center"/>
    </xf>
    <xf numFmtId="2" fontId="0" fillId="0" borderId="0" xfId="0" applyNumberFormat="1"/>
    <xf numFmtId="182" fontId="0" fillId="0" borderId="0" xfId="0" applyNumberFormat="1" applyAlignment="1">
      <alignment horizontal="center" vertical="center"/>
    </xf>
    <xf numFmtId="182" fontId="8" fillId="0" borderId="0" xfId="0" applyNumberFormat="1" applyFont="1" applyAlignment="1">
      <alignment horizontal="center" vertical="center"/>
    </xf>
    <xf numFmtId="2" fontId="10" fillId="0" borderId="0" xfId="0" applyNumberFormat="1" applyFont="1" applyAlignment="1">
      <alignment horizontal="center"/>
    </xf>
    <xf numFmtId="0" fontId="0" fillId="0" borderId="0" xfId="0" applyAlignment="1">
      <alignment vertical="center"/>
    </xf>
    <xf numFmtId="0" fontId="8" fillId="0" borderId="18" xfId="0" applyFont="1" applyBorder="1" applyAlignment="1">
      <alignment vertical="center"/>
    </xf>
    <xf numFmtId="0" fontId="8" fillId="0" borderId="18" xfId="0" applyFont="1" applyBorder="1" applyAlignment="1">
      <alignment horizontal="center" vertical="center"/>
    </xf>
    <xf numFmtId="182" fontId="0" fillId="0" borderId="36" xfId="0" applyNumberFormat="1" applyBorder="1" applyAlignment="1">
      <alignment horizontal="center" vertical="center"/>
    </xf>
    <xf numFmtId="0" fontId="8" fillId="26" borderId="18" xfId="0" applyFont="1" applyFill="1" applyBorder="1" applyAlignment="1">
      <alignment horizontal="center" vertical="center"/>
    </xf>
    <xf numFmtId="182" fontId="0" fillId="26" borderId="18" xfId="0" applyNumberFormat="1" applyFill="1" applyBorder="1" applyAlignment="1">
      <alignment horizontal="center" vertical="center"/>
    </xf>
    <xf numFmtId="182" fontId="0" fillId="26" borderId="36" xfId="0" applyNumberFormat="1" applyFill="1" applyBorder="1" applyAlignment="1">
      <alignment horizontal="center" vertical="center"/>
    </xf>
    <xf numFmtId="182" fontId="8" fillId="26" borderId="37" xfId="0" applyNumberFormat="1" applyFont="1" applyFill="1" applyBorder="1" applyAlignment="1">
      <alignment horizontal="center" vertical="center"/>
    </xf>
    <xf numFmtId="0" fontId="4" fillId="2" borderId="0" xfId="0" applyFont="1" applyFill="1" applyAlignment="1">
      <alignment horizontal="center"/>
    </xf>
    <xf numFmtId="0" fontId="6" fillId="2" borderId="0" xfId="0" applyFont="1" applyFill="1" applyAlignment="1">
      <alignment horizontal="center"/>
    </xf>
    <xf numFmtId="0" fontId="55" fillId="2" borderId="38" xfId="0" applyFont="1" applyFill="1" applyBorder="1" applyAlignment="1">
      <alignment horizontal="right" indent="1"/>
    </xf>
    <xf numFmtId="0" fontId="6" fillId="11" borderId="8" xfId="0" applyFont="1" applyFill="1" applyBorder="1"/>
    <xf numFmtId="0" fontId="6" fillId="25" borderId="10" xfId="0" applyFont="1" applyFill="1" applyBorder="1"/>
    <xf numFmtId="0" fontId="32" fillId="6" borderId="0" xfId="0" applyFont="1" applyFill="1" applyAlignment="1">
      <alignment horizontal="right"/>
    </xf>
    <xf numFmtId="169" fontId="42" fillId="6" borderId="0" xfId="0" applyNumberFormat="1" applyFont="1" applyFill="1" applyAlignment="1">
      <alignment horizontal="right"/>
    </xf>
    <xf numFmtId="0" fontId="36" fillId="0" borderId="21" xfId="0" applyFont="1" applyBorder="1" applyAlignment="1">
      <alignment horizontal="left"/>
    </xf>
    <xf numFmtId="0" fontId="34" fillId="0" borderId="39" xfId="0" applyFont="1" applyBorder="1" applyAlignment="1">
      <alignment horizontal="left"/>
    </xf>
    <xf numFmtId="0" fontId="30" fillId="0" borderId="4" xfId="0" applyFont="1" applyBorder="1" applyAlignment="1">
      <alignment horizontal="right"/>
    </xf>
    <xf numFmtId="0" fontId="34" fillId="0" borderId="4" xfId="0" applyFont="1" applyBorder="1"/>
    <xf numFmtId="0" fontId="32" fillId="3" borderId="4" xfId="0" applyFont="1" applyFill="1" applyBorder="1" applyAlignment="1">
      <alignment horizontal="right"/>
    </xf>
    <xf numFmtId="169" fontId="42" fillId="3" borderId="4" xfId="0" applyNumberFormat="1" applyFont="1" applyFill="1" applyBorder="1" applyAlignment="1">
      <alignment horizontal="right"/>
    </xf>
    <xf numFmtId="0" fontId="4" fillId="2" borderId="28" xfId="0" applyFont="1" applyFill="1" applyBorder="1" applyAlignment="1">
      <alignment horizontal="center"/>
    </xf>
    <xf numFmtId="0" fontId="12" fillId="0" borderId="0" xfId="0" applyFont="1" applyAlignment="1">
      <alignment horizontal="left"/>
    </xf>
    <xf numFmtId="182" fontId="0" fillId="26" borderId="37" xfId="0" applyNumberFormat="1" applyFill="1" applyBorder="1" applyAlignment="1">
      <alignment horizontal="center" vertical="center"/>
    </xf>
    <xf numFmtId="182" fontId="0" fillId="0" borderId="20" xfId="0" applyNumberFormat="1" applyBorder="1" applyAlignment="1">
      <alignment horizontal="center" vertical="center"/>
    </xf>
    <xf numFmtId="182" fontId="8" fillId="0" borderId="40" xfId="0" applyNumberFormat="1" applyFont="1" applyBorder="1" applyAlignment="1">
      <alignment horizontal="center" vertical="center"/>
    </xf>
    <xf numFmtId="182" fontId="8" fillId="26" borderId="41" xfId="0" applyNumberFormat="1" applyFont="1" applyFill="1" applyBorder="1" applyAlignment="1">
      <alignment horizontal="center" vertical="center"/>
    </xf>
    <xf numFmtId="0" fontId="34" fillId="0" borderId="0" xfId="0" applyFont="1" applyAlignment="1">
      <alignment horizontal="center"/>
    </xf>
    <xf numFmtId="0" fontId="31" fillId="0" borderId="1" xfId="0" applyFont="1" applyBorder="1" applyAlignment="1">
      <alignment horizontal="center"/>
    </xf>
    <xf numFmtId="0" fontId="59" fillId="0" borderId="0" xfId="0" applyFont="1"/>
    <xf numFmtId="182" fontId="10" fillId="0" borderId="0" xfId="0" applyNumberFormat="1" applyFont="1" applyAlignment="1">
      <alignment horizontal="center" vertical="center"/>
    </xf>
    <xf numFmtId="182" fontId="8" fillId="27" borderId="37" xfId="0" applyNumberFormat="1" applyFont="1" applyFill="1" applyBorder="1" applyAlignment="1">
      <alignment horizontal="center" vertical="center"/>
    </xf>
    <xf numFmtId="182" fontId="8" fillId="27" borderId="42" xfId="0" applyNumberFormat="1" applyFont="1" applyFill="1" applyBorder="1" applyAlignment="1">
      <alignment horizontal="center" vertical="center"/>
    </xf>
    <xf numFmtId="0" fontId="0" fillId="0" borderId="18" xfId="0" applyBorder="1" applyAlignment="1">
      <alignment horizontal="left" vertical="center"/>
    </xf>
    <xf numFmtId="0" fontId="0" fillId="0" borderId="36" xfId="0" applyBorder="1" applyAlignment="1">
      <alignment horizontal="left" vertical="center"/>
    </xf>
    <xf numFmtId="0" fontId="8" fillId="0" borderId="40" xfId="0" applyFont="1" applyBorder="1" applyAlignment="1">
      <alignment horizontal="left" vertical="center"/>
    </xf>
    <xf numFmtId="0" fontId="8" fillId="27" borderId="37" xfId="0" applyFont="1" applyFill="1" applyBorder="1" applyAlignment="1">
      <alignment horizontal="left" vertical="center"/>
    </xf>
    <xf numFmtId="0" fontId="9" fillId="0" borderId="18" xfId="0" applyFont="1" applyBorder="1" applyAlignment="1">
      <alignment horizontal="left" vertical="center"/>
    </xf>
    <xf numFmtId="0" fontId="9" fillId="0" borderId="36" xfId="0" applyFont="1" applyBorder="1" applyAlignment="1">
      <alignment horizontal="left" vertical="center"/>
    </xf>
    <xf numFmtId="0" fontId="8" fillId="27" borderId="37" xfId="0" applyFont="1" applyFill="1" applyBorder="1" applyAlignment="1">
      <alignment vertical="center"/>
    </xf>
    <xf numFmtId="0" fontId="8" fillId="27" borderId="18" xfId="0" applyFont="1" applyFill="1" applyBorder="1" applyAlignment="1">
      <alignment horizontal="center" vertical="center"/>
    </xf>
    <xf numFmtId="182" fontId="8" fillId="27" borderId="18" xfId="0" applyNumberFormat="1" applyFont="1" applyFill="1" applyBorder="1" applyAlignment="1">
      <alignment horizontal="center" vertical="center"/>
    </xf>
    <xf numFmtId="182" fontId="8" fillId="27" borderId="36" xfId="0" applyNumberFormat="1" applyFont="1" applyFill="1" applyBorder="1" applyAlignment="1">
      <alignment horizontal="center" vertical="center"/>
    </xf>
    <xf numFmtId="182" fontId="8" fillId="27" borderId="40" xfId="0" applyNumberFormat="1" applyFont="1" applyFill="1" applyBorder="1" applyAlignment="1">
      <alignment horizontal="center" vertical="center"/>
    </xf>
    <xf numFmtId="166" fontId="9" fillId="28" borderId="0" xfId="0" applyNumberFormat="1" applyFont="1" applyFill="1" applyAlignment="1">
      <alignment horizontal="center"/>
    </xf>
    <xf numFmtId="0" fontId="46" fillId="0" borderId="18" xfId="0" applyFont="1" applyBorder="1" applyAlignment="1">
      <alignment horizontal="center"/>
    </xf>
    <xf numFmtId="0" fontId="30" fillId="0" borderId="0" xfId="0" applyFont="1" applyAlignment="1">
      <alignment horizontal="right"/>
    </xf>
    <xf numFmtId="0" fontId="32" fillId="0" borderId="0" xfId="0" applyFont="1" applyAlignment="1">
      <alignment horizontal="right"/>
    </xf>
    <xf numFmtId="169" fontId="42" fillId="0" borderId="0" xfId="0" applyNumberFormat="1" applyFont="1" applyAlignment="1">
      <alignment horizontal="right"/>
    </xf>
    <xf numFmtId="0" fontId="31" fillId="0" borderId="0" xfId="0" applyFont="1" applyAlignment="1">
      <alignment horizontal="right"/>
    </xf>
    <xf numFmtId="166" fontId="8" fillId="0" borderId="0" xfId="0" applyNumberFormat="1" applyFont="1"/>
    <xf numFmtId="166" fontId="24" fillId="3" borderId="0" xfId="0" applyNumberFormat="1" applyFont="1" applyFill="1" applyAlignment="1">
      <alignment horizontal="center"/>
    </xf>
    <xf numFmtId="0" fontId="3" fillId="2" borderId="0" xfId="0" applyFont="1" applyFill="1"/>
    <xf numFmtId="166" fontId="3" fillId="3" borderId="0" xfId="0" applyNumberFormat="1" applyFont="1" applyFill="1" applyAlignment="1">
      <alignment horizontal="center" vertical="center"/>
    </xf>
    <xf numFmtId="166" fontId="3" fillId="9" borderId="0" xfId="0" applyNumberFormat="1" applyFont="1" applyFill="1" applyAlignment="1">
      <alignment horizontal="center" vertical="center"/>
    </xf>
    <xf numFmtId="0" fontId="3" fillId="10" borderId="0" xfId="0" applyFont="1" applyFill="1" applyAlignment="1">
      <alignment horizontal="center"/>
    </xf>
    <xf numFmtId="0" fontId="3" fillId="6" borderId="0" xfId="0" applyFont="1" applyFill="1" applyAlignment="1">
      <alignment horizontal="center"/>
    </xf>
    <xf numFmtId="0" fontId="3" fillId="5" borderId="0" xfId="0" applyFont="1" applyFill="1" applyAlignment="1">
      <alignment horizontal="center"/>
    </xf>
    <xf numFmtId="0" fontId="3" fillId="7" borderId="0" xfId="0" applyFont="1" applyFill="1"/>
    <xf numFmtId="0" fontId="3" fillId="7" borderId="0" xfId="0" applyFont="1" applyFill="1" applyAlignment="1">
      <alignment horizontal="center"/>
    </xf>
    <xf numFmtId="166" fontId="3" fillId="3" borderId="0" xfId="0" applyNumberFormat="1" applyFont="1" applyFill="1" applyAlignment="1">
      <alignment horizontal="center"/>
    </xf>
    <xf numFmtId="166" fontId="3" fillId="0" borderId="0" xfId="0" applyNumberFormat="1" applyFont="1" applyAlignment="1">
      <alignment horizontal="center"/>
    </xf>
    <xf numFmtId="0" fontId="3" fillId="0" borderId="0" xfId="0" applyFont="1" applyAlignment="1">
      <alignment horizontal="left" indent="2"/>
    </xf>
    <xf numFmtId="0" fontId="3" fillId="0" borderId="0" xfId="0" applyFont="1" applyAlignment="1">
      <alignment horizontal="left" indent="3"/>
    </xf>
    <xf numFmtId="0" fontId="3" fillId="0" borderId="22" xfId="0" applyFont="1" applyBorder="1" applyAlignment="1">
      <alignment horizontal="center"/>
    </xf>
    <xf numFmtId="0" fontId="3" fillId="0" borderId="21" xfId="0" applyFont="1" applyBorder="1" applyAlignment="1">
      <alignment horizontal="center"/>
    </xf>
    <xf numFmtId="166" fontId="3" fillId="10" borderId="2" xfId="0" applyNumberFormat="1" applyFont="1" applyFill="1" applyBorder="1" applyAlignment="1">
      <alignment horizontal="center" vertical="center"/>
    </xf>
    <xf numFmtId="166" fontId="3" fillId="10" borderId="23" xfId="0" applyNumberFormat="1" applyFont="1" applyFill="1" applyBorder="1" applyAlignment="1">
      <alignment horizontal="center" vertical="center"/>
    </xf>
    <xf numFmtId="166" fontId="3" fillId="10" borderId="20" xfId="0" applyNumberFormat="1" applyFont="1" applyFill="1" applyBorder="1" applyAlignment="1">
      <alignment horizontal="center" vertical="center"/>
    </xf>
    <xf numFmtId="166" fontId="3" fillId="0" borderId="0" xfId="0" applyNumberFormat="1" applyFont="1" applyAlignment="1">
      <alignment horizontal="center" vertical="center"/>
    </xf>
    <xf numFmtId="0" fontId="3" fillId="2" borderId="27" xfId="0" applyFont="1" applyFill="1" applyBorder="1"/>
    <xf numFmtId="0" fontId="3" fillId="2" borderId="28" xfId="0" applyFont="1" applyFill="1" applyBorder="1"/>
    <xf numFmtId="0" fontId="3" fillId="0" borderId="27" xfId="0" applyFont="1" applyBorder="1"/>
    <xf numFmtId="0" fontId="3" fillId="0" borderId="28" xfId="0" applyFont="1" applyBorder="1"/>
    <xf numFmtId="0" fontId="3" fillId="3" borderId="0" xfId="0" applyFont="1" applyFill="1" applyAlignment="1">
      <alignment horizontal="left"/>
    </xf>
    <xf numFmtId="14" fontId="3" fillId="3" borderId="0" xfId="0" applyNumberFormat="1" applyFont="1" applyFill="1" applyAlignment="1">
      <alignment horizontal="left"/>
    </xf>
    <xf numFmtId="14" fontId="3" fillId="0" borderId="0" xfId="0" applyNumberFormat="1" applyFont="1"/>
    <xf numFmtId="0" fontId="3" fillId="0" borderId="0" xfId="0" applyFont="1" applyAlignment="1">
      <alignment vertical="top"/>
    </xf>
    <xf numFmtId="0" fontId="3" fillId="0" borderId="0" xfId="0" applyFont="1" applyAlignment="1">
      <alignment vertical="top" wrapText="1"/>
    </xf>
    <xf numFmtId="0" fontId="3" fillId="0" borderId="27" xfId="0" applyFont="1" applyBorder="1" applyAlignment="1">
      <alignment vertical="top"/>
    </xf>
    <xf numFmtId="0" fontId="3" fillId="0" borderId="28" xfId="0" applyFont="1" applyBorder="1" applyAlignment="1">
      <alignment vertical="top"/>
    </xf>
    <xf numFmtId="0" fontId="3" fillId="7" borderId="27" xfId="0" applyFont="1" applyFill="1" applyBorder="1"/>
    <xf numFmtId="0" fontId="3" fillId="7" borderId="28" xfId="0" applyFont="1" applyFill="1" applyBorder="1"/>
    <xf numFmtId="167" fontId="3" fillId="0" borderId="28" xfId="0" applyNumberFormat="1" applyFont="1" applyBorder="1" applyAlignment="1">
      <alignment horizontal="center"/>
    </xf>
    <xf numFmtId="0" fontId="3" fillId="0" borderId="27" xfId="0" applyFont="1" applyBorder="1" applyAlignment="1">
      <alignment horizontal="center"/>
    </xf>
    <xf numFmtId="0" fontId="3" fillId="0" borderId="28" xfId="0" applyFont="1" applyBorder="1" applyAlignment="1">
      <alignment horizontal="center"/>
    </xf>
    <xf numFmtId="0" fontId="3" fillId="8" borderId="0" xfId="0" applyFont="1" applyFill="1"/>
    <xf numFmtId="0" fontId="3" fillId="8" borderId="0" xfId="0" applyFont="1" applyFill="1" applyAlignment="1">
      <alignment horizontal="center"/>
    </xf>
    <xf numFmtId="0" fontId="3" fillId="8" borderId="27" xfId="0" applyFont="1" applyFill="1" applyBorder="1"/>
    <xf numFmtId="0" fontId="3" fillId="8" borderId="28" xfId="0" applyFont="1" applyFill="1" applyBorder="1"/>
    <xf numFmtId="166" fontId="3" fillId="0" borderId="27" xfId="0" applyNumberFormat="1" applyFont="1" applyBorder="1"/>
    <xf numFmtId="166" fontId="3" fillId="0" borderId="28" xfId="0" applyNumberFormat="1" applyFont="1" applyBorder="1"/>
    <xf numFmtId="166" fontId="3" fillId="0" borderId="0" xfId="0" applyNumberFormat="1" applyFont="1"/>
    <xf numFmtId="166" fontId="3" fillId="0" borderId="0" xfId="0" applyNumberFormat="1" applyFont="1" applyAlignment="1">
      <alignment horizontal="left" indent="1"/>
    </xf>
    <xf numFmtId="166" fontId="3" fillId="0" borderId="0" xfId="0" applyNumberFormat="1" applyFont="1" applyAlignment="1">
      <alignment horizontal="left" indent="2"/>
    </xf>
    <xf numFmtId="166" fontId="3" fillId="0" borderId="0" xfId="0" applyNumberFormat="1" applyFont="1" applyAlignment="1">
      <alignment horizontal="left"/>
    </xf>
    <xf numFmtId="166" fontId="3" fillId="0" borderId="27" xfId="0" applyNumberFormat="1" applyFont="1" applyBorder="1" applyAlignment="1">
      <alignment horizontal="center"/>
    </xf>
    <xf numFmtId="166" fontId="3" fillId="0" borderId="28" xfId="0" applyNumberFormat="1" applyFont="1" applyBorder="1" applyAlignment="1">
      <alignment horizontal="center"/>
    </xf>
    <xf numFmtId="166" fontId="3" fillId="3" borderId="8" xfId="0" applyNumberFormat="1" applyFont="1" applyFill="1" applyBorder="1" applyAlignment="1">
      <alignment horizontal="left" vertical="center"/>
    </xf>
    <xf numFmtId="166" fontId="3" fillId="3" borderId="8" xfId="0" applyNumberFormat="1" applyFont="1" applyFill="1" applyBorder="1" applyAlignment="1">
      <alignment horizontal="center" vertical="center"/>
    </xf>
    <xf numFmtId="166" fontId="3" fillId="9" borderId="8" xfId="0" applyNumberFormat="1" applyFont="1" applyFill="1" applyBorder="1" applyAlignment="1">
      <alignment horizontal="center" vertical="center"/>
    </xf>
    <xf numFmtId="0" fontId="3" fillId="4" borderId="8" xfId="0" applyFont="1" applyFill="1" applyBorder="1" applyAlignment="1">
      <alignment horizontal="center"/>
    </xf>
    <xf numFmtId="0" fontId="3" fillId="10" borderId="8" xfId="0" applyFont="1" applyFill="1" applyBorder="1" applyAlignment="1">
      <alignment horizontal="center"/>
    </xf>
    <xf numFmtId="0" fontId="3" fillId="6" borderId="8" xfId="0" applyFont="1" applyFill="1" applyBorder="1" applyAlignment="1">
      <alignment horizontal="center"/>
    </xf>
    <xf numFmtId="0" fontId="3" fillId="5" borderId="8" xfId="0" applyFont="1" applyFill="1" applyBorder="1" applyAlignment="1">
      <alignment horizontal="center"/>
    </xf>
    <xf numFmtId="0" fontId="3" fillId="0" borderId="7" xfId="0" applyFont="1" applyBorder="1"/>
    <xf numFmtId="0" fontId="3" fillId="0" borderId="0" xfId="0" applyFont="1" applyAlignment="1">
      <alignment horizontal="center" vertical="center"/>
    </xf>
    <xf numFmtId="9" fontId="3" fillId="0" borderId="0" xfId="0" applyNumberFormat="1" applyFont="1"/>
    <xf numFmtId="17" fontId="3" fillId="0" borderId="0" xfId="0" applyNumberFormat="1" applyFont="1"/>
    <xf numFmtId="9" fontId="3" fillId="0" borderId="35" xfId="0" applyNumberFormat="1" applyFont="1" applyBorder="1" applyAlignment="1">
      <alignment horizontal="center"/>
    </xf>
    <xf numFmtId="9" fontId="3" fillId="0" borderId="0" xfId="0" applyNumberFormat="1" applyFont="1" applyAlignment="1">
      <alignment horizontal="center"/>
    </xf>
    <xf numFmtId="171" fontId="3" fillId="10" borderId="28" xfId="0" applyNumberFormat="1" applyFont="1" applyFill="1" applyBorder="1" applyAlignment="1">
      <alignment horizontal="center"/>
    </xf>
    <xf numFmtId="171" fontId="3" fillId="10" borderId="0" xfId="0" applyNumberFormat="1" applyFont="1" applyFill="1" applyAlignment="1">
      <alignment horizontal="center"/>
    </xf>
    <xf numFmtId="4" fontId="3" fillId="0" borderId="28" xfId="0" applyNumberFormat="1" applyFont="1" applyBorder="1" applyAlignment="1">
      <alignment horizontal="center"/>
    </xf>
    <xf numFmtId="4" fontId="3" fillId="0" borderId="0" xfId="0" applyNumberFormat="1" applyFont="1" applyAlignment="1">
      <alignment horizontal="center"/>
    </xf>
    <xf numFmtId="166" fontId="3" fillId="19" borderId="0" xfId="0" applyNumberFormat="1" applyFont="1" applyFill="1" applyAlignment="1">
      <alignment horizontal="center"/>
    </xf>
    <xf numFmtId="166" fontId="3" fillId="19" borderId="27" xfId="0" applyNumberFormat="1" applyFont="1" applyFill="1" applyBorder="1" applyAlignment="1">
      <alignment horizontal="center"/>
    </xf>
    <xf numFmtId="166" fontId="3" fillId="19" borderId="28" xfId="0" applyNumberFormat="1" applyFont="1" applyFill="1" applyBorder="1" applyAlignment="1">
      <alignment horizontal="center"/>
    </xf>
    <xf numFmtId="0" fontId="3" fillId="0" borderId="19" xfId="0" applyFont="1" applyBorder="1"/>
    <xf numFmtId="0" fontId="3" fillId="0" borderId="19" xfId="0" applyFont="1" applyBorder="1" applyAlignment="1">
      <alignment horizontal="center"/>
    </xf>
    <xf numFmtId="166" fontId="3" fillId="0" borderId="19" xfId="0" applyNumberFormat="1" applyFont="1" applyBorder="1" applyAlignment="1">
      <alignment horizontal="center"/>
    </xf>
    <xf numFmtId="166" fontId="3" fillId="0" borderId="29" xfId="0" applyNumberFormat="1" applyFont="1" applyBorder="1" applyAlignment="1">
      <alignment horizontal="center"/>
    </xf>
    <xf numFmtId="166" fontId="3" fillId="19" borderId="30" xfId="0" applyNumberFormat="1" applyFont="1" applyFill="1" applyBorder="1" applyAlignment="1">
      <alignment horizontal="center"/>
    </xf>
    <xf numFmtId="166" fontId="3" fillId="19" borderId="19" xfId="0" applyNumberFormat="1" applyFont="1" applyFill="1" applyBorder="1" applyAlignment="1">
      <alignment horizontal="center"/>
    </xf>
    <xf numFmtId="166" fontId="3" fillId="0" borderId="3" xfId="0" applyNumberFormat="1" applyFont="1" applyBorder="1" applyAlignment="1">
      <alignment horizontal="center"/>
    </xf>
    <xf numFmtId="4" fontId="3" fillId="10" borderId="0" xfId="0" applyNumberFormat="1" applyFont="1" applyFill="1" applyAlignment="1">
      <alignment horizontal="center"/>
    </xf>
    <xf numFmtId="0" fontId="3" fillId="17" borderId="28" xfId="0" applyFont="1" applyFill="1" applyBorder="1"/>
    <xf numFmtId="0" fontId="3" fillId="17" borderId="0" xfId="0" applyFont="1" applyFill="1"/>
    <xf numFmtId="166" fontId="3" fillId="19" borderId="0" xfId="0" applyNumberFormat="1" applyFont="1" applyFill="1"/>
    <xf numFmtId="166" fontId="3" fillId="17" borderId="28" xfId="0" applyNumberFormat="1" applyFont="1" applyFill="1" applyBorder="1" applyAlignment="1">
      <alignment horizontal="center"/>
    </xf>
    <xf numFmtId="166" fontId="3" fillId="17" borderId="0" xfId="0" applyNumberFormat="1" applyFont="1" applyFill="1" applyAlignment="1">
      <alignment horizontal="center"/>
    </xf>
    <xf numFmtId="166" fontId="3" fillId="29" borderId="0" xfId="0" applyNumberFormat="1" applyFont="1" applyFill="1" applyAlignment="1">
      <alignment horizontal="center"/>
    </xf>
    <xf numFmtId="166" fontId="3" fillId="28" borderId="0" xfId="0" applyNumberFormat="1" applyFont="1" applyFill="1" applyAlignment="1">
      <alignment horizontal="center"/>
    </xf>
    <xf numFmtId="0" fontId="3" fillId="9" borderId="0" xfId="0" applyFont="1" applyFill="1"/>
    <xf numFmtId="166" fontId="3" fillId="9" borderId="0" xfId="0" applyNumberFormat="1" applyFont="1" applyFill="1" applyAlignment="1">
      <alignment horizontal="center"/>
    </xf>
    <xf numFmtId="166" fontId="3" fillId="16" borderId="0" xfId="0" applyNumberFormat="1" applyFont="1" applyFill="1" applyAlignment="1">
      <alignment horizontal="center"/>
    </xf>
    <xf numFmtId="166" fontId="3" fillId="10" borderId="0" xfId="0" applyNumberFormat="1" applyFont="1" applyFill="1" applyAlignment="1">
      <alignment horizontal="center"/>
    </xf>
    <xf numFmtId="9" fontId="3" fillId="10" borderId="0" xfId="0" applyNumberFormat="1" applyFont="1" applyFill="1" applyAlignment="1">
      <alignment horizontal="center"/>
    </xf>
    <xf numFmtId="166" fontId="3" fillId="0" borderId="30" xfId="0" applyNumberFormat="1" applyFont="1" applyBorder="1" applyAlignment="1">
      <alignment horizontal="center"/>
    </xf>
    <xf numFmtId="0" fontId="3" fillId="0" borderId="19" xfId="0" applyFont="1" applyBorder="1" applyAlignment="1">
      <alignment horizontal="left" indent="1"/>
    </xf>
    <xf numFmtId="166" fontId="3" fillId="17" borderId="30" xfId="0" applyNumberFormat="1" applyFont="1" applyFill="1" applyBorder="1" applyAlignment="1">
      <alignment horizontal="center"/>
    </xf>
    <xf numFmtId="166" fontId="3" fillId="17" borderId="19" xfId="0" applyNumberFormat="1" applyFont="1" applyFill="1" applyBorder="1" applyAlignment="1">
      <alignment horizontal="center"/>
    </xf>
    <xf numFmtId="168" fontId="3" fillId="10" borderId="0" xfId="0" applyNumberFormat="1" applyFont="1" applyFill="1" applyAlignment="1">
      <alignment horizontal="center"/>
    </xf>
    <xf numFmtId="0" fontId="3" fillId="0" borderId="0" xfId="0" applyFont="1" applyAlignment="1">
      <alignment horizontal="left" indent="4"/>
    </xf>
    <xf numFmtId="0" fontId="3" fillId="0" borderId="0" xfId="0" applyFont="1" applyAlignment="1">
      <alignment horizontal="right" indent="1"/>
    </xf>
    <xf numFmtId="0" fontId="3" fillId="10" borderId="27" xfId="0" applyFont="1" applyFill="1" applyBorder="1" applyAlignment="1">
      <alignment horizontal="center"/>
    </xf>
    <xf numFmtId="0" fontId="3" fillId="9" borderId="0" xfId="0" applyFont="1" applyFill="1" applyAlignment="1">
      <alignment horizontal="left"/>
    </xf>
    <xf numFmtId="0" fontId="3" fillId="0" borderId="24" xfId="0" applyFont="1" applyBorder="1"/>
    <xf numFmtId="0" fontId="3" fillId="9" borderId="0" xfId="0" applyFont="1" applyFill="1" applyAlignment="1">
      <alignment horizontal="center"/>
    </xf>
    <xf numFmtId="9" fontId="3" fillId="9" borderId="0" xfId="0" applyNumberFormat="1" applyFont="1" applyFill="1" applyAlignment="1">
      <alignment horizontal="left"/>
    </xf>
    <xf numFmtId="1" fontId="3" fillId="0" borderId="0" xfId="0" applyNumberFormat="1" applyFont="1"/>
    <xf numFmtId="0" fontId="3" fillId="8" borderId="0" xfId="0" applyFont="1" applyFill="1" applyAlignment="1">
      <alignment horizontal="left" indent="1"/>
    </xf>
    <xf numFmtId="3" fontId="3" fillId="8" borderId="27" xfId="0" applyNumberFormat="1" applyFont="1" applyFill="1" applyBorder="1" applyAlignment="1">
      <alignment horizontal="center"/>
    </xf>
    <xf numFmtId="3" fontId="3" fillId="8" borderId="28" xfId="0" applyNumberFormat="1" applyFont="1" applyFill="1" applyBorder="1" applyAlignment="1">
      <alignment horizontal="center"/>
    </xf>
    <xf numFmtId="3" fontId="3" fillId="8" borderId="0" xfId="0" applyNumberFormat="1" applyFont="1" applyFill="1" applyAlignment="1">
      <alignment horizontal="center"/>
    </xf>
    <xf numFmtId="9" fontId="3" fillId="8" borderId="0" xfId="0" applyNumberFormat="1" applyFont="1" applyFill="1" applyAlignment="1">
      <alignment horizontal="center"/>
    </xf>
    <xf numFmtId="0" fontId="3" fillId="7" borderId="0" xfId="0" applyFont="1" applyFill="1" applyAlignment="1">
      <alignment horizontal="left" indent="1"/>
    </xf>
    <xf numFmtId="166" fontId="3" fillId="7" borderId="27" xfId="0" applyNumberFormat="1" applyFont="1" applyFill="1" applyBorder="1" applyAlignment="1">
      <alignment horizontal="center"/>
    </xf>
    <xf numFmtId="166" fontId="3" fillId="7" borderId="28" xfId="0" applyNumberFormat="1" applyFont="1" applyFill="1" applyBorder="1" applyAlignment="1">
      <alignment horizontal="center"/>
    </xf>
    <xf numFmtId="166" fontId="3" fillId="7" borderId="0" xfId="0" applyNumberFormat="1" applyFont="1" applyFill="1" applyAlignment="1">
      <alignment horizontal="center"/>
    </xf>
    <xf numFmtId="181" fontId="3" fillId="0" borderId="0" xfId="0" applyNumberFormat="1" applyFont="1" applyAlignment="1">
      <alignment horizontal="center"/>
    </xf>
    <xf numFmtId="9" fontId="3" fillId="6" borderId="0" xfId="0" applyNumberFormat="1" applyFont="1" applyFill="1" applyAlignment="1">
      <alignment horizontal="center"/>
    </xf>
    <xf numFmtId="4" fontId="3" fillId="6" borderId="0" xfId="0" applyNumberFormat="1" applyFont="1" applyFill="1" applyAlignment="1">
      <alignment horizontal="center"/>
    </xf>
    <xf numFmtId="10" fontId="3" fillId="6" borderId="0" xfId="0" applyNumberFormat="1" applyFont="1" applyFill="1" applyAlignment="1">
      <alignment horizontal="center"/>
    </xf>
    <xf numFmtId="10" fontId="46" fillId="31" borderId="0" xfId="0" applyNumberFormat="1" applyFont="1" applyFill="1" applyAlignment="1">
      <alignment horizontal="center"/>
    </xf>
    <xf numFmtId="0" fontId="1" fillId="3" borderId="4" xfId="0" applyFont="1" applyFill="1" applyBorder="1" applyAlignment="1">
      <alignment horizontal="right"/>
    </xf>
    <xf numFmtId="0" fontId="1" fillId="0" borderId="0" xfId="0" applyFont="1" applyAlignment="1">
      <alignment horizontal="right"/>
    </xf>
    <xf numFmtId="0" fontId="1" fillId="6" borderId="0" xfId="0" applyFont="1" applyFill="1" applyAlignment="1">
      <alignment horizontal="right"/>
    </xf>
    <xf numFmtId="0" fontId="1" fillId="3" borderId="4" xfId="0" applyFont="1" applyFill="1" applyBorder="1" applyAlignment="1">
      <alignment horizontal="right" wrapText="1"/>
    </xf>
    <xf numFmtId="0" fontId="1" fillId="6" borderId="0" xfId="0" applyFont="1" applyFill="1" applyAlignment="1">
      <alignment horizontal="right" wrapText="1"/>
    </xf>
    <xf numFmtId="0" fontId="3" fillId="17" borderId="0" xfId="0" applyFont="1" applyFill="1" applyAlignment="1">
      <alignment horizontal="center"/>
    </xf>
    <xf numFmtId="0" fontId="3" fillId="3" borderId="0" xfId="0" applyFont="1" applyFill="1" applyAlignment="1">
      <alignment horizontal="center"/>
    </xf>
    <xf numFmtId="0" fontId="3" fillId="3" borderId="0" xfId="0" applyFont="1" applyFill="1" applyAlignment="1">
      <alignment horizontal="left"/>
    </xf>
    <xf numFmtId="0" fontId="3" fillId="0" borderId="0" xfId="0" applyFont="1" applyAlignment="1">
      <alignment horizontal="center"/>
    </xf>
    <xf numFmtId="0" fontId="3" fillId="30" borderId="0" xfId="0" applyFont="1" applyFill="1" applyAlignment="1">
      <alignment horizontal="left"/>
    </xf>
    <xf numFmtId="0" fontId="8" fillId="0" borderId="0" xfId="0" applyFont="1" applyAlignment="1">
      <alignment horizontal="left" vertical="center"/>
    </xf>
    <xf numFmtId="0" fontId="0" fillId="3" borderId="0" xfId="0" applyFill="1" applyAlignment="1">
      <alignment horizontal="left" vertical="top"/>
    </xf>
    <xf numFmtId="0" fontId="0" fillId="3" borderId="27" xfId="0" applyFill="1" applyBorder="1" applyAlignment="1">
      <alignment horizontal="left" vertical="top"/>
    </xf>
    <xf numFmtId="0" fontId="46" fillId="17" borderId="0" xfId="0" applyFont="1" applyFill="1" applyAlignment="1">
      <alignment horizontal="center"/>
    </xf>
    <xf numFmtId="0" fontId="9" fillId="0" borderId="0" xfId="0" applyFont="1" applyAlignment="1">
      <alignment horizontal="left" vertical="center" wrapText="1"/>
    </xf>
    <xf numFmtId="0" fontId="18" fillId="10" borderId="18" xfId="0" applyFont="1" applyFill="1" applyBorder="1" applyAlignment="1">
      <alignment horizontal="center" vertical="center" wrapText="1"/>
    </xf>
    <xf numFmtId="0" fontId="18" fillId="3" borderId="18" xfId="0" applyFont="1" applyFill="1" applyBorder="1" applyAlignment="1">
      <alignment horizontal="center" vertical="center" wrapText="1"/>
    </xf>
    <xf numFmtId="0" fontId="18" fillId="5" borderId="18" xfId="0" applyFont="1" applyFill="1" applyBorder="1" applyAlignment="1">
      <alignment horizontal="center" vertical="center" wrapText="1"/>
    </xf>
    <xf numFmtId="0" fontId="18" fillId="0" borderId="18" xfId="0" applyFont="1" applyBorder="1" applyAlignment="1">
      <alignment horizontal="center" vertical="center" wrapText="1"/>
    </xf>
    <xf numFmtId="0" fontId="9" fillId="0" borderId="18" xfId="0" applyFont="1" applyBorder="1" applyAlignment="1">
      <alignment horizontal="center" vertical="center" wrapText="1"/>
    </xf>
  </cellXfs>
  <cellStyles count="5">
    <cellStyle name="20% - Accent4" xfId="2" builtinId="42"/>
    <cellStyle name="Currency 2" xfId="4" xr:uid="{00000000-0005-0000-0000-000001000000}"/>
    <cellStyle name="Heading 3" xfId="1" builtinId="18"/>
    <cellStyle name="Normal" xfId="0" builtinId="0" customBuiltin="1"/>
    <cellStyle name="Percent 2" xfId="3" xr:uid="{00000000-0005-0000-0000-000005000000}"/>
  </cellStyles>
  <dxfs count="84">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s>
  <tableStyles count="0" defaultTableStyle="TableStyleMedium2" defaultPivotStyle="PivotStyleLight16"/>
  <colors>
    <mruColors>
      <color rgb="FF385723"/>
      <color rgb="FF7F7F7F"/>
      <color rgb="FFC00000"/>
      <color rgb="FF70AD50"/>
      <color rgb="FF4472C4"/>
      <color rgb="FF209AD2"/>
      <color rgb="FF0070C0"/>
      <color rgb="FF70AD47"/>
      <color rgb="FF70C0AD"/>
      <color rgb="FF13294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customXml" Target="../customXml/item3.xml"/><Relationship Id="rId7" Type="http://schemas.openxmlformats.org/officeDocument/2006/relationships/worksheet" Target="worksheets/sheet7.xml"/><Relationship Id="rId12" Type="http://schemas.openxmlformats.org/officeDocument/2006/relationships/worksheet" Target="worksheets/sheet12.xml"/><Relationship Id="rId17" Type="http://schemas.microsoft.com/office/2017/10/relationships/person" Target="persons/person.xml"/><Relationship Id="rId2" Type="http://schemas.openxmlformats.org/officeDocument/2006/relationships/worksheet" Target="worksheets/sheet2.xml"/><Relationship Id="rId16" Type="http://schemas.openxmlformats.org/officeDocument/2006/relationships/sharedStrings" Target="sharedStrings.xml"/><Relationship Id="rId20"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AU" b="1">
                <a:solidFill>
                  <a:sysClr val="windowText" lastClr="000000"/>
                </a:solidFill>
              </a:rPr>
              <a:t>Cost</a:t>
            </a:r>
            <a:r>
              <a:rPr lang="en-AU" b="1" baseline="0">
                <a:solidFill>
                  <a:sysClr val="windowText" lastClr="000000"/>
                </a:solidFill>
              </a:rPr>
              <a:t> vs defferal relationship</a:t>
            </a:r>
            <a:endParaRPr lang="en-AU" b="1">
              <a:solidFill>
                <a:sysClr val="windowText" lastClr="000000"/>
              </a:solidFill>
            </a:endParaRP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stacked"/>
        <c:varyColors val="0"/>
        <c:ser>
          <c:idx val="0"/>
          <c:order val="0"/>
          <c:tx>
            <c:strRef>
              <c:f>Output_charts!$AD$331</c:f>
              <c:strCache>
                <c:ptCount val="1"/>
                <c:pt idx="0">
                  <c:v>Reduce network asset failure EUE</c:v>
                </c:pt>
              </c:strCache>
            </c:strRef>
          </c:tx>
          <c:spPr>
            <a:solidFill>
              <a:schemeClr val="accent1"/>
            </a:solidFill>
            <a:ln>
              <a:noFill/>
            </a:ln>
            <a:effectLst/>
          </c:spPr>
          <c:invertIfNegative val="0"/>
          <c:val>
            <c:numRef>
              <c:f>Output_charts!$AG$331:$CE$331</c:f>
            </c:numRef>
          </c:val>
          <c:extLst>
            <c:ext xmlns:c15="http://schemas.microsoft.com/office/drawing/2012/chart" uri="{02D57815-91ED-43cb-92C2-25804820EDAC}">
              <c15:filteredCategoryTitle>
                <c15:cat>
                  <c:multiLvlStrRef>
                    <c:extLst>
                      <c:ext uri="{02D57815-91ED-43cb-92C2-25804820EDAC}">
                        <c15:formulaRef>
                          <c15:sqref>Output_charts!$AG$325:$CE$325</c15:sqref>
                        </c15:formulaRef>
                      </c:ext>
                    </c:extLst>
                  </c:multiLvlStrRef>
                </c15:cat>
              </c15:filteredCategoryTitle>
            </c:ext>
            <c:ext xmlns:c16="http://schemas.microsoft.com/office/drawing/2014/chart" uri="{C3380CC4-5D6E-409C-BE32-E72D297353CC}">
              <c16:uniqueId val="{00000000-713A-42E5-8609-CF29EACF2C58}"/>
            </c:ext>
          </c:extLst>
        </c:ser>
        <c:ser>
          <c:idx val="5"/>
          <c:order val="1"/>
          <c:tx>
            <c:strRef>
              <c:f>Output_charts!$AD$329</c:f>
              <c:strCache>
                <c:ptCount val="1"/>
                <c:pt idx="0">
                  <c:v>Reduced reactive replacement risk</c:v>
                </c:pt>
              </c:strCache>
            </c:strRef>
          </c:tx>
          <c:spPr>
            <a:solidFill>
              <a:schemeClr val="accent6"/>
            </a:solidFill>
            <a:ln>
              <a:noFill/>
            </a:ln>
            <a:effectLst/>
          </c:spPr>
          <c:invertIfNegative val="0"/>
          <c:val>
            <c:numRef>
              <c:f>Output_charts!$AG$329:$CE$329</c:f>
            </c:numRef>
          </c:val>
          <c:extLst>
            <c:ext xmlns:c15="http://schemas.microsoft.com/office/drawing/2012/chart" uri="{02D57815-91ED-43cb-92C2-25804820EDAC}">
              <c15:filteredCategoryTitle>
                <c15:cat>
                  <c:multiLvlStrRef>
                    <c:extLst>
                      <c:ext uri="{02D57815-91ED-43cb-92C2-25804820EDAC}">
                        <c15:formulaRef>
                          <c15:sqref>Output_charts!$AG$325:$CE$325</c15:sqref>
                        </c15:formulaRef>
                      </c:ext>
                    </c:extLst>
                  </c:multiLvlStrRef>
                </c15:cat>
              </c15:filteredCategoryTitle>
            </c:ext>
            <c:ext xmlns:c16="http://schemas.microsoft.com/office/drawing/2014/chart" uri="{C3380CC4-5D6E-409C-BE32-E72D297353CC}">
              <c16:uniqueId val="{00000001-713A-42E5-8609-CF29EACF2C58}"/>
            </c:ext>
          </c:extLst>
        </c:ser>
        <c:ser>
          <c:idx val="4"/>
          <c:order val="2"/>
          <c:tx>
            <c:strRef>
              <c:f>Output_charts!$AD$328</c:f>
              <c:strCache>
                <c:ptCount val="1"/>
                <c:pt idx="0">
                  <c:v>Reduced safety risk</c:v>
                </c:pt>
              </c:strCache>
            </c:strRef>
          </c:tx>
          <c:spPr>
            <a:solidFill>
              <a:schemeClr val="accent5"/>
            </a:solidFill>
            <a:ln>
              <a:noFill/>
            </a:ln>
            <a:effectLst/>
          </c:spPr>
          <c:invertIfNegative val="0"/>
          <c:val>
            <c:numRef>
              <c:f>Output_charts!$AG$328:$CE$328</c:f>
            </c:numRef>
          </c:val>
          <c:extLst>
            <c:ext xmlns:c15="http://schemas.microsoft.com/office/drawing/2012/chart" uri="{02D57815-91ED-43cb-92C2-25804820EDAC}">
              <c15:filteredCategoryTitle>
                <c15:cat>
                  <c:multiLvlStrRef>
                    <c:extLst>
                      <c:ext uri="{02D57815-91ED-43cb-92C2-25804820EDAC}">
                        <c15:formulaRef>
                          <c15:sqref>Output_charts!$AG$325:$CE$325</c15:sqref>
                        </c15:formulaRef>
                      </c:ext>
                    </c:extLst>
                  </c:multiLvlStrRef>
                </c15:cat>
              </c15:filteredCategoryTitle>
            </c:ext>
            <c:ext xmlns:c16="http://schemas.microsoft.com/office/drawing/2014/chart" uri="{C3380CC4-5D6E-409C-BE32-E72D297353CC}">
              <c16:uniqueId val="{00000002-713A-42E5-8609-CF29EACF2C58}"/>
            </c:ext>
          </c:extLst>
        </c:ser>
        <c:ser>
          <c:idx val="6"/>
          <c:order val="3"/>
          <c:tx>
            <c:strRef>
              <c:f>Output_charts!$AD$330</c:f>
              <c:strCache>
                <c:ptCount val="1"/>
                <c:pt idx="0">
                  <c:v>Reduced other risk</c:v>
                </c:pt>
              </c:strCache>
            </c:strRef>
          </c:tx>
          <c:spPr>
            <a:solidFill>
              <a:schemeClr val="accent1">
                <a:lumMod val="60000"/>
              </a:schemeClr>
            </a:solidFill>
            <a:ln>
              <a:noFill/>
            </a:ln>
            <a:effectLst/>
          </c:spPr>
          <c:invertIfNegative val="0"/>
          <c:val>
            <c:numRef>
              <c:f>Output_charts!$AG$330:$CE$330</c:f>
            </c:numRef>
          </c:val>
          <c:extLst>
            <c:ext xmlns:c15="http://schemas.microsoft.com/office/drawing/2012/chart" uri="{02D57815-91ED-43cb-92C2-25804820EDAC}">
              <c15:filteredCategoryTitle>
                <c15:cat>
                  <c:multiLvlStrRef>
                    <c:extLst>
                      <c:ext uri="{02D57815-91ED-43cb-92C2-25804820EDAC}">
                        <c15:formulaRef>
                          <c15:sqref>Output_charts!$AG$325:$CE$325</c15:sqref>
                        </c15:formulaRef>
                      </c:ext>
                    </c:extLst>
                  </c:multiLvlStrRef>
                </c15:cat>
              </c15:filteredCategoryTitle>
            </c:ext>
            <c:ext xmlns:c16="http://schemas.microsoft.com/office/drawing/2014/chart" uri="{C3380CC4-5D6E-409C-BE32-E72D297353CC}">
              <c16:uniqueId val="{00000003-713A-42E5-8609-CF29EACF2C58}"/>
            </c:ext>
          </c:extLst>
        </c:ser>
        <c:dLbls>
          <c:showLegendKey val="0"/>
          <c:showVal val="0"/>
          <c:showCatName val="0"/>
          <c:showSerName val="0"/>
          <c:showPercent val="0"/>
          <c:showBubbleSize val="0"/>
        </c:dLbls>
        <c:gapWidth val="150"/>
        <c:overlap val="100"/>
        <c:axId val="571760664"/>
        <c:axId val="571761448"/>
      </c:barChart>
      <c:lineChart>
        <c:grouping val="standard"/>
        <c:varyColors val="0"/>
        <c:ser>
          <c:idx val="7"/>
          <c:order val="4"/>
          <c:tx>
            <c:strRef>
              <c:f>Output_charts!$AD$337</c:f>
              <c:strCache>
                <c:ptCount val="1"/>
                <c:pt idx="0">
                  <c:v>Annualised deferral benefit</c:v>
                </c:pt>
              </c:strCache>
            </c:strRef>
          </c:tx>
          <c:spPr>
            <a:ln w="28575" cap="rnd">
              <a:solidFill>
                <a:schemeClr val="accent2">
                  <a:lumMod val="60000"/>
                </a:schemeClr>
              </a:solidFill>
              <a:round/>
            </a:ln>
            <a:effectLst/>
          </c:spPr>
          <c:marker>
            <c:symbol val="none"/>
          </c:marker>
          <c:val>
            <c:numRef>
              <c:f>Output_charts!$AG$337:$CE$337</c:f>
            </c:numRef>
          </c:val>
          <c:smooth val="0"/>
          <c:extLst>
            <c:ext xmlns:c16="http://schemas.microsoft.com/office/drawing/2014/chart" uri="{C3380CC4-5D6E-409C-BE32-E72D297353CC}">
              <c16:uniqueId val="{00000004-713A-42E5-8609-CF29EACF2C58}"/>
            </c:ext>
          </c:extLst>
        </c:ser>
        <c:dLbls>
          <c:showLegendKey val="0"/>
          <c:showVal val="0"/>
          <c:showCatName val="0"/>
          <c:showSerName val="0"/>
          <c:showPercent val="0"/>
          <c:showBubbleSize val="0"/>
        </c:dLbls>
        <c:marker val="1"/>
        <c:smooth val="0"/>
        <c:axId val="571760664"/>
        <c:axId val="571761448"/>
      </c:lineChart>
      <c:catAx>
        <c:axId val="57176066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2700000" spcFirstLastPara="1" vertOverflow="ellipsis"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71761448"/>
        <c:crosses val="autoZero"/>
        <c:auto val="1"/>
        <c:lblAlgn val="ctr"/>
        <c:lblOffset val="100"/>
        <c:tickMarkSkip val="1"/>
        <c:noMultiLvlLbl val="0"/>
      </c:catAx>
      <c:valAx>
        <c:axId val="571761448"/>
        <c:scaling>
          <c:orientation val="minMax"/>
          <c:min val="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AU" b="1">
                    <a:solidFill>
                      <a:sysClr val="windowText" lastClr="000000"/>
                    </a:solidFill>
                  </a:rPr>
                  <a:t>Costs ($)</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_(#,##0_);\(#,##0\);_(&quot;-&quot;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71760664"/>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0880000000000049E-3"/>
          <c:y val="5.3866697756174566E-2"/>
          <c:w val="0.98714033333333329"/>
          <c:h val="0.75027604166666662"/>
        </c:manualLayout>
      </c:layout>
      <c:barChart>
        <c:barDir val="col"/>
        <c:grouping val="stacked"/>
        <c:varyColors val="0"/>
        <c:ser>
          <c:idx val="0"/>
          <c:order val="0"/>
          <c:tx>
            <c:strRef>
              <c:f>Output_charts!$AP$281</c:f>
              <c:strCache>
                <c:ptCount val="1"/>
                <c:pt idx="0">
                  <c:v> Bridge </c:v>
                </c:pt>
              </c:strCache>
            </c:strRef>
          </c:tx>
          <c:spPr>
            <a:solidFill>
              <a:srgbClr val="7F7F7F"/>
            </a:solidFill>
          </c:spPr>
          <c:invertIfNegative val="0"/>
          <c:cat>
            <c:strRef>
              <c:f>Output_charts!$AH$282:$AH$293</c:f>
              <c:strCache>
                <c:ptCount val="12"/>
                <c:pt idx="0">
                  <c:v>Capex</c:v>
                </c:pt>
                <c:pt idx="1">
                  <c:v>Regulatory  revenue</c:v>
                </c:pt>
                <c:pt idx="2">
                  <c:v>DUOS</c:v>
                </c:pt>
                <c:pt idx="3">
                  <c:v>Capex benefits</c:v>
                </c:pt>
                <c:pt idx="4">
                  <c:v>Net opex</c:v>
                </c:pt>
                <c:pt idx="5">
                  <c:v>Other opex</c:v>
                </c:pt>
                <c:pt idx="6">
                  <c:v>STPIS</c:v>
                </c:pt>
                <c:pt idx="7">
                  <c:v>Other incentives</c:v>
                </c:pt>
                <c:pt idx="8">
                  <c:v>Unreg revenue</c:v>
                </c:pt>
                <c:pt idx="9">
                  <c:v>Cash NPV</c:v>
                </c:pt>
                <c:pt idx="10">
                  <c:v>Probabilistic benefits</c:v>
                </c:pt>
                <c:pt idx="11">
                  <c:v> Total market NPV </c:v>
                </c:pt>
              </c:strCache>
            </c:strRef>
          </c:cat>
          <c:val>
            <c:numRef>
              <c:f>Output_charts!$AP$282:$AP$293</c:f>
              <c:numCache>
                <c:formatCode>_-* #,##0.0_-;\(#,##0.0\);_-* "-"??_-;_-@_-</c:formatCode>
                <c:ptCount val="12"/>
                <c:pt idx="9">
                  <c:v>-6.7748026542742323</c:v>
                </c:pt>
                <c:pt idx="11">
                  <c:v>26.479600106396305</c:v>
                </c:pt>
              </c:numCache>
            </c:numRef>
          </c:val>
          <c:extLst>
            <c:ext xmlns:c16="http://schemas.microsoft.com/office/drawing/2014/chart" uri="{C3380CC4-5D6E-409C-BE32-E72D297353CC}">
              <c16:uniqueId val="{00000000-30D5-4FCE-8316-FD23DA265545}"/>
            </c:ext>
          </c:extLst>
        </c:ser>
        <c:ser>
          <c:idx val="1"/>
          <c:order val="1"/>
          <c:tx>
            <c:strRef>
              <c:f>Output_charts!$AQ$281</c:f>
              <c:strCache>
                <c:ptCount val="1"/>
                <c:pt idx="0">
                  <c:v> Base above 0 </c:v>
                </c:pt>
              </c:strCache>
            </c:strRef>
          </c:tx>
          <c:spPr>
            <a:noFill/>
          </c:spPr>
          <c:invertIfNegative val="0"/>
          <c:cat>
            <c:strRef>
              <c:f>Output_charts!$AH$282:$AH$293</c:f>
              <c:strCache>
                <c:ptCount val="12"/>
                <c:pt idx="0">
                  <c:v>Capex</c:v>
                </c:pt>
                <c:pt idx="1">
                  <c:v>Regulatory  revenue</c:v>
                </c:pt>
                <c:pt idx="2">
                  <c:v>DUOS</c:v>
                </c:pt>
                <c:pt idx="3">
                  <c:v>Capex benefits</c:v>
                </c:pt>
                <c:pt idx="4">
                  <c:v>Net opex</c:v>
                </c:pt>
                <c:pt idx="5">
                  <c:v>Other opex</c:v>
                </c:pt>
                <c:pt idx="6">
                  <c:v>STPIS</c:v>
                </c:pt>
                <c:pt idx="7">
                  <c:v>Other incentives</c:v>
                </c:pt>
                <c:pt idx="8">
                  <c:v>Unreg revenue</c:v>
                </c:pt>
                <c:pt idx="9">
                  <c:v>Cash NPV</c:v>
                </c:pt>
                <c:pt idx="10">
                  <c:v>Probabilistic benefits</c:v>
                </c:pt>
                <c:pt idx="11">
                  <c:v> Total market NPV </c:v>
                </c:pt>
              </c:strCache>
            </c:strRef>
          </c:cat>
          <c:val>
            <c:numRef>
              <c:f>Output_charts!$AQ$282:$AQ$293</c:f>
              <c:numCache>
                <c:formatCode>_-* #,##0.0_-;\(#,##0.0\);_-* "-"??_-;_-@_-</c:formatCode>
                <c:ptCount val="12"/>
                <c:pt idx="1">
                  <c:v>0</c:v>
                </c:pt>
                <c:pt idx="2">
                  <c:v>0</c:v>
                </c:pt>
                <c:pt idx="3">
                  <c:v>-12.395928397323274</c:v>
                </c:pt>
                <c:pt idx="4">
                  <c:v>-6.7748026542742323</c:v>
                </c:pt>
                <c:pt idx="5">
                  <c:v>-6.7748026542742323</c:v>
                </c:pt>
                <c:pt idx="6">
                  <c:v>-6.7748026542742323</c:v>
                </c:pt>
                <c:pt idx="7">
                  <c:v>-6.7748026542742323</c:v>
                </c:pt>
                <c:pt idx="8">
                  <c:v>-6.7748026542742323</c:v>
                </c:pt>
                <c:pt idx="10">
                  <c:v>0</c:v>
                </c:pt>
              </c:numCache>
            </c:numRef>
          </c:val>
          <c:extLst>
            <c:ext xmlns:c16="http://schemas.microsoft.com/office/drawing/2014/chart" uri="{C3380CC4-5D6E-409C-BE32-E72D297353CC}">
              <c16:uniqueId val="{00000001-30D5-4FCE-8316-FD23DA265545}"/>
            </c:ext>
          </c:extLst>
        </c:ser>
        <c:ser>
          <c:idx val="2"/>
          <c:order val="2"/>
          <c:tx>
            <c:strRef>
              <c:f>Output_charts!$AR$281</c:f>
              <c:strCache>
                <c:ptCount val="1"/>
                <c:pt idx="0">
                  <c:v> Rise above 0 </c:v>
                </c:pt>
              </c:strCache>
            </c:strRef>
          </c:tx>
          <c:spPr>
            <a:solidFill>
              <a:srgbClr val="70AD47"/>
            </a:solidFill>
          </c:spPr>
          <c:invertIfNegative val="0"/>
          <c:cat>
            <c:strRef>
              <c:f>Output_charts!$AH$282:$AH$293</c:f>
              <c:strCache>
                <c:ptCount val="12"/>
                <c:pt idx="0">
                  <c:v>Capex</c:v>
                </c:pt>
                <c:pt idx="1">
                  <c:v>Regulatory  revenue</c:v>
                </c:pt>
                <c:pt idx="2">
                  <c:v>DUOS</c:v>
                </c:pt>
                <c:pt idx="3">
                  <c:v>Capex benefits</c:v>
                </c:pt>
                <c:pt idx="4">
                  <c:v>Net opex</c:v>
                </c:pt>
                <c:pt idx="5">
                  <c:v>Other opex</c:v>
                </c:pt>
                <c:pt idx="6">
                  <c:v>STPIS</c:v>
                </c:pt>
                <c:pt idx="7">
                  <c:v>Other incentives</c:v>
                </c:pt>
                <c:pt idx="8">
                  <c:v>Unreg revenue</c:v>
                </c:pt>
                <c:pt idx="9">
                  <c:v>Cash NPV</c:v>
                </c:pt>
                <c:pt idx="10">
                  <c:v>Probabilistic benefits</c:v>
                </c:pt>
                <c:pt idx="11">
                  <c:v> Total market NPV </c:v>
                </c:pt>
              </c:strCache>
            </c:strRef>
          </c:cat>
          <c:val>
            <c:numRef>
              <c:f>Output_charts!$AR$282:$AR$293</c:f>
              <c:numCache>
                <c:formatCode>_-* #,##0.0_-;\(#,##0.0\);_-* "-"??_-;_-@_-</c:formatCode>
                <c:ptCount val="12"/>
                <c:pt idx="0">
                  <c:v>0</c:v>
                </c:pt>
                <c:pt idx="1">
                  <c:v>0.49380327212313802</c:v>
                </c:pt>
                <c:pt idx="2">
                  <c:v>0</c:v>
                </c:pt>
                <c:pt idx="3">
                  <c:v>0</c:v>
                </c:pt>
                <c:pt idx="4">
                  <c:v>0</c:v>
                </c:pt>
                <c:pt idx="5">
                  <c:v>0</c:v>
                </c:pt>
                <c:pt idx="6">
                  <c:v>0</c:v>
                </c:pt>
                <c:pt idx="7">
                  <c:v>0</c:v>
                </c:pt>
                <c:pt idx="8">
                  <c:v>0</c:v>
                </c:pt>
                <c:pt idx="10">
                  <c:v>26.479600106396305</c:v>
                </c:pt>
              </c:numCache>
            </c:numRef>
          </c:val>
          <c:extLst>
            <c:ext xmlns:c16="http://schemas.microsoft.com/office/drawing/2014/chart" uri="{C3380CC4-5D6E-409C-BE32-E72D297353CC}">
              <c16:uniqueId val="{00000002-30D5-4FCE-8316-FD23DA265545}"/>
            </c:ext>
          </c:extLst>
        </c:ser>
        <c:ser>
          <c:idx val="3"/>
          <c:order val="3"/>
          <c:tx>
            <c:strRef>
              <c:f>Output_charts!$AS$281</c:f>
              <c:strCache>
                <c:ptCount val="1"/>
                <c:pt idx="0">
                  <c:v> Fall Above 0 </c:v>
                </c:pt>
              </c:strCache>
            </c:strRef>
          </c:tx>
          <c:spPr>
            <a:solidFill>
              <a:srgbClr val="C00000"/>
            </a:solidFill>
          </c:spPr>
          <c:invertIfNegative val="0"/>
          <c:cat>
            <c:strRef>
              <c:f>Output_charts!$AH$282:$AH$293</c:f>
              <c:strCache>
                <c:ptCount val="12"/>
                <c:pt idx="0">
                  <c:v>Capex</c:v>
                </c:pt>
                <c:pt idx="1">
                  <c:v>Regulatory  revenue</c:v>
                </c:pt>
                <c:pt idx="2">
                  <c:v>DUOS</c:v>
                </c:pt>
                <c:pt idx="3">
                  <c:v>Capex benefits</c:v>
                </c:pt>
                <c:pt idx="4">
                  <c:v>Net opex</c:v>
                </c:pt>
                <c:pt idx="5">
                  <c:v>Other opex</c:v>
                </c:pt>
                <c:pt idx="6">
                  <c:v>STPIS</c:v>
                </c:pt>
                <c:pt idx="7">
                  <c:v>Other incentives</c:v>
                </c:pt>
                <c:pt idx="8">
                  <c:v>Unreg revenue</c:v>
                </c:pt>
                <c:pt idx="9">
                  <c:v>Cash NPV</c:v>
                </c:pt>
                <c:pt idx="10">
                  <c:v>Probabilistic benefits</c:v>
                </c:pt>
                <c:pt idx="11">
                  <c:v> Total market NPV </c:v>
                </c:pt>
              </c:strCache>
            </c:strRef>
          </c:cat>
          <c:val>
            <c:numRef>
              <c:f>Output_charts!$AS$282:$AS$293</c:f>
              <c:numCache>
                <c:formatCode>_-* #,##0.0_-;\(#,##0.0\);_-* "-"??_-;_-@_-</c:formatCode>
                <c:ptCount val="12"/>
                <c:pt idx="1">
                  <c:v>0</c:v>
                </c:pt>
                <c:pt idx="2">
                  <c:v>0.49380327212313802</c:v>
                </c:pt>
                <c:pt idx="3">
                  <c:v>0</c:v>
                </c:pt>
                <c:pt idx="4">
                  <c:v>0</c:v>
                </c:pt>
                <c:pt idx="5">
                  <c:v>0</c:v>
                </c:pt>
                <c:pt idx="6">
                  <c:v>0</c:v>
                </c:pt>
                <c:pt idx="7">
                  <c:v>0</c:v>
                </c:pt>
                <c:pt idx="8">
                  <c:v>0</c:v>
                </c:pt>
                <c:pt idx="10">
                  <c:v>0</c:v>
                </c:pt>
              </c:numCache>
            </c:numRef>
          </c:val>
          <c:extLst>
            <c:ext xmlns:c16="http://schemas.microsoft.com/office/drawing/2014/chart" uri="{C3380CC4-5D6E-409C-BE32-E72D297353CC}">
              <c16:uniqueId val="{00000003-30D5-4FCE-8316-FD23DA265545}"/>
            </c:ext>
          </c:extLst>
        </c:ser>
        <c:ser>
          <c:idx val="4"/>
          <c:order val="4"/>
          <c:tx>
            <c:strRef>
              <c:f>Output_charts!$AT$281</c:f>
              <c:strCache>
                <c:ptCount val="1"/>
                <c:pt idx="0">
                  <c:v> Rise below 0 </c:v>
                </c:pt>
              </c:strCache>
            </c:strRef>
          </c:tx>
          <c:spPr>
            <a:solidFill>
              <a:srgbClr val="70AD47"/>
            </a:solidFill>
          </c:spPr>
          <c:invertIfNegative val="0"/>
          <c:cat>
            <c:strRef>
              <c:f>Output_charts!$AH$282:$AH$293</c:f>
              <c:strCache>
                <c:ptCount val="12"/>
                <c:pt idx="0">
                  <c:v>Capex</c:v>
                </c:pt>
                <c:pt idx="1">
                  <c:v>Regulatory  revenue</c:v>
                </c:pt>
                <c:pt idx="2">
                  <c:v>DUOS</c:v>
                </c:pt>
                <c:pt idx="3">
                  <c:v>Capex benefits</c:v>
                </c:pt>
                <c:pt idx="4">
                  <c:v>Net opex</c:v>
                </c:pt>
                <c:pt idx="5">
                  <c:v>Other opex</c:v>
                </c:pt>
                <c:pt idx="6">
                  <c:v>STPIS</c:v>
                </c:pt>
                <c:pt idx="7">
                  <c:v>Other incentives</c:v>
                </c:pt>
                <c:pt idx="8">
                  <c:v>Unreg revenue</c:v>
                </c:pt>
                <c:pt idx="9">
                  <c:v>Cash NPV</c:v>
                </c:pt>
                <c:pt idx="10">
                  <c:v>Probabilistic benefits</c:v>
                </c:pt>
                <c:pt idx="11">
                  <c:v> Total market NPV </c:v>
                </c:pt>
              </c:strCache>
            </c:strRef>
          </c:cat>
          <c:val>
            <c:numRef>
              <c:f>Output_charts!$AT$282:$AT$293</c:f>
              <c:numCache>
                <c:formatCode>_-* #,##0.0_-;\(#,##0.0\);_-* "-"??_-;_-@_-</c:formatCode>
                <c:ptCount val="12"/>
                <c:pt idx="1">
                  <c:v>-12.938751245002702</c:v>
                </c:pt>
                <c:pt idx="2">
                  <c:v>0</c:v>
                </c:pt>
                <c:pt idx="3">
                  <c:v>-0.54282284767942857</c:v>
                </c:pt>
                <c:pt idx="4">
                  <c:v>-5.621125743049042</c:v>
                </c:pt>
                <c:pt idx="5">
                  <c:v>0</c:v>
                </c:pt>
                <c:pt idx="6">
                  <c:v>0</c:v>
                </c:pt>
                <c:pt idx="7">
                  <c:v>0</c:v>
                </c:pt>
                <c:pt idx="8">
                  <c:v>0</c:v>
                </c:pt>
                <c:pt idx="10">
                  <c:v>-6.7748026542742323</c:v>
                </c:pt>
              </c:numCache>
            </c:numRef>
          </c:val>
          <c:extLst>
            <c:ext xmlns:c16="http://schemas.microsoft.com/office/drawing/2014/chart" uri="{C3380CC4-5D6E-409C-BE32-E72D297353CC}">
              <c16:uniqueId val="{00000004-30D5-4FCE-8316-FD23DA265545}"/>
            </c:ext>
          </c:extLst>
        </c:ser>
        <c:ser>
          <c:idx val="5"/>
          <c:order val="5"/>
          <c:tx>
            <c:strRef>
              <c:f>Output_charts!$AU$281</c:f>
              <c:strCache>
                <c:ptCount val="1"/>
                <c:pt idx="0">
                  <c:v> Fall Below 0 </c:v>
                </c:pt>
              </c:strCache>
            </c:strRef>
          </c:tx>
          <c:spPr>
            <a:solidFill>
              <a:srgbClr val="C00000"/>
            </a:solidFill>
          </c:spPr>
          <c:invertIfNegative val="0"/>
          <c:cat>
            <c:strRef>
              <c:f>Output_charts!$AH$282:$AH$293</c:f>
              <c:strCache>
                <c:ptCount val="12"/>
                <c:pt idx="0">
                  <c:v>Capex</c:v>
                </c:pt>
                <c:pt idx="1">
                  <c:v>Regulatory  revenue</c:v>
                </c:pt>
                <c:pt idx="2">
                  <c:v>DUOS</c:v>
                </c:pt>
                <c:pt idx="3">
                  <c:v>Capex benefits</c:v>
                </c:pt>
                <c:pt idx="4">
                  <c:v>Net opex</c:v>
                </c:pt>
                <c:pt idx="5">
                  <c:v>Other opex</c:v>
                </c:pt>
                <c:pt idx="6">
                  <c:v>STPIS</c:v>
                </c:pt>
                <c:pt idx="7">
                  <c:v>Other incentives</c:v>
                </c:pt>
                <c:pt idx="8">
                  <c:v>Unreg revenue</c:v>
                </c:pt>
                <c:pt idx="9">
                  <c:v>Cash NPV</c:v>
                </c:pt>
                <c:pt idx="10">
                  <c:v>Probabilistic benefits</c:v>
                </c:pt>
                <c:pt idx="11">
                  <c:v> Total market NPV </c:v>
                </c:pt>
              </c:strCache>
            </c:strRef>
          </c:cat>
          <c:val>
            <c:numRef>
              <c:f>Output_charts!$AU$282:$AU$293</c:f>
              <c:numCache>
                <c:formatCode>_-* #,##0.0_-;\(#,##0.0\);_-* "-"??_-;_-@_-</c:formatCode>
                <c:ptCount val="12"/>
                <c:pt idx="0">
                  <c:v>-12.938751245002702</c:v>
                </c:pt>
                <c:pt idx="1">
                  <c:v>0</c:v>
                </c:pt>
                <c:pt idx="2">
                  <c:v>-12.938751245002702</c:v>
                </c:pt>
                <c:pt idx="3">
                  <c:v>0</c:v>
                </c:pt>
                <c:pt idx="4">
                  <c:v>0</c:v>
                </c:pt>
                <c:pt idx="5">
                  <c:v>0</c:v>
                </c:pt>
                <c:pt idx="6">
                  <c:v>0</c:v>
                </c:pt>
                <c:pt idx="7">
                  <c:v>0</c:v>
                </c:pt>
                <c:pt idx="8">
                  <c:v>0</c:v>
                </c:pt>
                <c:pt idx="10">
                  <c:v>0</c:v>
                </c:pt>
              </c:numCache>
            </c:numRef>
          </c:val>
          <c:extLst>
            <c:ext xmlns:c16="http://schemas.microsoft.com/office/drawing/2014/chart" uri="{C3380CC4-5D6E-409C-BE32-E72D297353CC}">
              <c16:uniqueId val="{00000005-30D5-4FCE-8316-FD23DA265545}"/>
            </c:ext>
          </c:extLst>
        </c:ser>
        <c:dLbls>
          <c:showLegendKey val="0"/>
          <c:showVal val="0"/>
          <c:showCatName val="0"/>
          <c:showSerName val="0"/>
          <c:showPercent val="0"/>
          <c:showBubbleSize val="0"/>
        </c:dLbls>
        <c:gapWidth val="40"/>
        <c:overlap val="100"/>
        <c:axId val="667381632"/>
        <c:axId val="667380064"/>
      </c:barChart>
      <c:lineChart>
        <c:grouping val="standard"/>
        <c:varyColors val="0"/>
        <c:ser>
          <c:idx val="6"/>
          <c:order val="6"/>
          <c:tx>
            <c:strRef>
              <c:f>Output_charts!$AV$281</c:f>
              <c:strCache>
                <c:ptCount val="1"/>
                <c:pt idx="0">
                  <c:v> Rise labels </c:v>
                </c:pt>
              </c:strCache>
            </c:strRef>
          </c:tx>
          <c:spPr>
            <a:ln>
              <a:noFill/>
            </a:ln>
          </c:spPr>
          <c:marker>
            <c:symbol val="none"/>
          </c:marker>
          <c:dLbls>
            <c:dLbl>
              <c:idx val="0"/>
              <c:tx>
                <c:strRef>
                  <c:f>Output_charts!$AN$282</c:f>
                  <c:strCache>
                    <c:ptCount val="1"/>
                    <c:pt idx="0">
                      <c:v>(12.9)</c:v>
                    </c:pt>
                  </c:strCache>
                </c:strRef>
              </c:tx>
              <c:dLblPos val="t"/>
              <c:showLegendKey val="0"/>
              <c:showVal val="1"/>
              <c:showCatName val="0"/>
              <c:showSerName val="0"/>
              <c:showPercent val="0"/>
              <c:showBubbleSize val="0"/>
              <c:extLst>
                <c:ext xmlns:c15="http://schemas.microsoft.com/office/drawing/2012/chart" uri="{CE6537A1-D6FC-4f65-9D91-7224C49458BB}">
                  <c15:dlblFieldTable>
                    <c15:dlblFTEntry>
                      <c15:txfldGUID>{8610BBCF-A7FA-4E76-86B8-AAA857EC725B}</c15:txfldGUID>
                      <c15:f>Output_charts!$AN$282</c15:f>
                      <c15:dlblFieldTableCache>
                        <c:ptCount val="1"/>
                        <c:pt idx="0">
                          <c:v>(12.9)</c:v>
                        </c:pt>
                      </c15:dlblFieldTableCache>
                    </c15:dlblFTEntry>
                  </c15:dlblFieldTable>
                  <c15:showDataLabelsRange val="0"/>
                </c:ext>
                <c:ext xmlns:c16="http://schemas.microsoft.com/office/drawing/2014/chart" uri="{C3380CC4-5D6E-409C-BE32-E72D297353CC}">
                  <c16:uniqueId val="{00000000-E367-4F93-A003-6E163377FF74}"/>
                </c:ext>
              </c:extLst>
            </c:dLbl>
            <c:dLbl>
              <c:idx val="1"/>
              <c:tx>
                <c:strRef>
                  <c:f>Output_charts!$AN$283</c:f>
                  <c:strCache>
                    <c:ptCount val="1"/>
                    <c:pt idx="0">
                      <c:v> 13.4 </c:v>
                    </c:pt>
                  </c:strCache>
                </c:strRef>
              </c:tx>
              <c:dLblPos val="t"/>
              <c:showLegendKey val="0"/>
              <c:showVal val="1"/>
              <c:showCatName val="0"/>
              <c:showSerName val="0"/>
              <c:showPercent val="0"/>
              <c:showBubbleSize val="0"/>
              <c:extLst>
                <c:ext xmlns:c15="http://schemas.microsoft.com/office/drawing/2012/chart" uri="{CE6537A1-D6FC-4f65-9D91-7224C49458BB}">
                  <c15:dlblFieldTable>
                    <c15:dlblFTEntry>
                      <c15:txfldGUID>{30ECA50F-467D-4760-A08B-A311F8765A18}</c15:txfldGUID>
                      <c15:f>Output_charts!$AN$283</c15:f>
                      <c15:dlblFieldTableCache>
                        <c:ptCount val="1"/>
                        <c:pt idx="0">
                          <c:v> 13.4 </c:v>
                        </c:pt>
                      </c15:dlblFieldTableCache>
                    </c15:dlblFTEntry>
                  </c15:dlblFieldTable>
                  <c15:showDataLabelsRange val="1"/>
                </c:ext>
                <c:ext xmlns:c16="http://schemas.microsoft.com/office/drawing/2014/chart" uri="{C3380CC4-5D6E-409C-BE32-E72D297353CC}">
                  <c16:uniqueId val="{00000001-E367-4F93-A003-6E163377FF74}"/>
                </c:ext>
              </c:extLst>
            </c:dLbl>
            <c:dLbl>
              <c:idx val="2"/>
              <c:tx>
                <c:strRef>
                  <c:f>Output_charts!$AN$284</c:f>
                  <c:strCache>
                    <c:ptCount val="1"/>
                    <c:pt idx="0">
                      <c:v>(13.4)</c:v>
                    </c:pt>
                  </c:strCache>
                </c:strRef>
              </c:tx>
              <c:dLblPos val="t"/>
              <c:showLegendKey val="0"/>
              <c:showVal val="1"/>
              <c:showCatName val="0"/>
              <c:showSerName val="0"/>
              <c:showPercent val="0"/>
              <c:showBubbleSize val="0"/>
              <c:extLst>
                <c:ext xmlns:c15="http://schemas.microsoft.com/office/drawing/2012/chart" uri="{CE6537A1-D6FC-4f65-9D91-7224C49458BB}">
                  <c15:dlblFieldTable>
                    <c15:dlblFTEntry>
                      <c15:txfldGUID>{6CDBE076-40F6-47EB-B1F2-8B2A6F496BF9}</c15:txfldGUID>
                      <c15:f>Output_charts!$AN$284</c15:f>
                      <c15:dlblFieldTableCache>
                        <c:ptCount val="1"/>
                        <c:pt idx="0">
                          <c:v>(13.4)</c:v>
                        </c:pt>
                      </c15:dlblFieldTableCache>
                    </c15:dlblFTEntry>
                  </c15:dlblFieldTable>
                  <c15:showDataLabelsRange val="1"/>
                </c:ext>
                <c:ext xmlns:c16="http://schemas.microsoft.com/office/drawing/2014/chart" uri="{C3380CC4-5D6E-409C-BE32-E72D297353CC}">
                  <c16:uniqueId val="{00000002-E367-4F93-A003-6E163377FF74}"/>
                </c:ext>
              </c:extLst>
            </c:dLbl>
            <c:dLbl>
              <c:idx val="3"/>
              <c:tx>
                <c:strRef>
                  <c:f>Output_charts!$AN$285</c:f>
                  <c:strCache>
                    <c:ptCount val="1"/>
                    <c:pt idx="0">
                      <c:v> 0.5 </c:v>
                    </c:pt>
                  </c:strCache>
                </c:strRef>
              </c:tx>
              <c:dLblPos val="t"/>
              <c:showLegendKey val="0"/>
              <c:showVal val="1"/>
              <c:showCatName val="0"/>
              <c:showSerName val="0"/>
              <c:showPercent val="0"/>
              <c:showBubbleSize val="0"/>
              <c:extLst>
                <c:ext xmlns:c15="http://schemas.microsoft.com/office/drawing/2012/chart" uri="{CE6537A1-D6FC-4f65-9D91-7224C49458BB}">
                  <c15:dlblFieldTable>
                    <c15:dlblFTEntry>
                      <c15:txfldGUID>{3F7996B1-11F8-475F-A1F2-20B64BD83C27}</c15:txfldGUID>
                      <c15:f>Output_charts!$AN$285</c15:f>
                      <c15:dlblFieldTableCache>
                        <c:ptCount val="1"/>
                        <c:pt idx="0">
                          <c:v> 0.5 </c:v>
                        </c:pt>
                      </c15:dlblFieldTableCache>
                    </c15:dlblFTEntry>
                  </c15:dlblFieldTable>
                  <c15:showDataLabelsRange val="1"/>
                </c:ext>
                <c:ext xmlns:c16="http://schemas.microsoft.com/office/drawing/2014/chart" uri="{C3380CC4-5D6E-409C-BE32-E72D297353CC}">
                  <c16:uniqueId val="{00000003-E367-4F93-A003-6E163377FF74}"/>
                </c:ext>
              </c:extLst>
            </c:dLbl>
            <c:dLbl>
              <c:idx val="4"/>
              <c:tx>
                <c:rich>
                  <a:bodyPr/>
                  <a:lstStyle/>
                  <a:p>
                    <a:endParaRPr lang="en-US"/>
                  </a:p>
                </c:rich>
              </c:tx>
              <c:dLblPos val="t"/>
              <c:showLegendKey val="0"/>
              <c:showVal val="1"/>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04-E367-4F93-A003-6E163377FF74}"/>
                </c:ext>
              </c:extLst>
            </c:dLbl>
            <c:dLbl>
              <c:idx val="5"/>
              <c:tx>
                <c:strRef>
                  <c:f>Output_charts!$AN$287</c:f>
                  <c:strCache>
                    <c:ptCount val="1"/>
                    <c:pt idx="0">
                      <c:v> -   </c:v>
                    </c:pt>
                  </c:strCache>
                </c:strRef>
              </c:tx>
              <c:dLblPos val="t"/>
              <c:showLegendKey val="0"/>
              <c:showVal val="1"/>
              <c:showCatName val="0"/>
              <c:showSerName val="0"/>
              <c:showPercent val="0"/>
              <c:showBubbleSize val="0"/>
              <c:extLst>
                <c:ext xmlns:c15="http://schemas.microsoft.com/office/drawing/2012/chart" uri="{CE6537A1-D6FC-4f65-9D91-7224C49458BB}">
                  <c15:dlblFieldTable>
                    <c15:dlblFTEntry>
                      <c15:txfldGUID>{44D34837-DFB1-4482-8817-77EA9C382D78}</c15:txfldGUID>
                      <c15:f>Output_charts!$AN$287</c15:f>
                      <c15:dlblFieldTableCache>
                        <c:ptCount val="1"/>
                        <c:pt idx="0">
                          <c:v> -   </c:v>
                        </c:pt>
                      </c15:dlblFieldTableCache>
                    </c15:dlblFTEntry>
                  </c15:dlblFieldTable>
                  <c15:showDataLabelsRange val="1"/>
                </c:ext>
                <c:ext xmlns:c16="http://schemas.microsoft.com/office/drawing/2014/chart" uri="{C3380CC4-5D6E-409C-BE32-E72D297353CC}">
                  <c16:uniqueId val="{00000005-E367-4F93-A003-6E163377FF74}"/>
                </c:ext>
              </c:extLst>
            </c:dLbl>
            <c:dLbl>
              <c:idx val="6"/>
              <c:tx>
                <c:strRef>
                  <c:f>Output_charts!$AN$288</c:f>
                  <c:strCache>
                    <c:ptCount val="1"/>
                    <c:pt idx="0">
                      <c:v> -   </c:v>
                    </c:pt>
                  </c:strCache>
                </c:strRef>
              </c:tx>
              <c:spPr>
                <a:noFill/>
                <a:ln>
                  <a:noFill/>
                </a:ln>
                <a:effectLst/>
              </c:spPr>
              <c:txPr>
                <a:bodyPr/>
                <a:lstStyle/>
                <a:p>
                  <a:pPr>
                    <a:defRPr sz="2400">
                      <a:solidFill>
                        <a:srgbClr val="385723"/>
                      </a:solidFill>
                      <a:latin typeface="+mn-lt"/>
                    </a:defRPr>
                  </a:pPr>
                  <a:endParaRPr lang="en-US"/>
                </a:p>
              </c:txPr>
              <c:dLblPos val="t"/>
              <c:showLegendKey val="0"/>
              <c:showVal val="1"/>
              <c:showCatName val="0"/>
              <c:showSerName val="0"/>
              <c:showPercent val="0"/>
              <c:showBubbleSize val="0"/>
              <c:extLst>
                <c:ext xmlns:c15="http://schemas.microsoft.com/office/drawing/2012/chart" uri="{CE6537A1-D6FC-4f65-9D91-7224C49458BB}">
                  <c15:dlblFieldTable>
                    <c15:dlblFTEntry>
                      <c15:txfldGUID>{75B2F349-B71A-49DE-A283-C4CEFED0DAF6}</c15:txfldGUID>
                      <c15:f>Output_charts!$AN$288</c15:f>
                      <c15:dlblFieldTableCache>
                        <c:ptCount val="1"/>
                        <c:pt idx="0">
                          <c:v> -   </c:v>
                        </c:pt>
                      </c15:dlblFieldTableCache>
                    </c15:dlblFTEntry>
                  </c15:dlblFieldTable>
                  <c15:showDataLabelsRange val="0"/>
                </c:ext>
                <c:ext xmlns:c16="http://schemas.microsoft.com/office/drawing/2014/chart" uri="{C3380CC4-5D6E-409C-BE32-E72D297353CC}">
                  <c16:uniqueId val="{00000006-E367-4F93-A003-6E163377FF74}"/>
                </c:ext>
              </c:extLst>
            </c:dLbl>
            <c:dLbl>
              <c:idx val="7"/>
              <c:tx>
                <c:strRef>
                  <c:f>Output_charts!$AN$289</c:f>
                  <c:strCache>
                    <c:ptCount val="1"/>
                    <c:pt idx="0">
                      <c:v> -   </c:v>
                    </c:pt>
                  </c:strCache>
                </c:strRef>
              </c:tx>
              <c:dLblPos val="t"/>
              <c:showLegendKey val="0"/>
              <c:showVal val="1"/>
              <c:showCatName val="0"/>
              <c:showSerName val="0"/>
              <c:showPercent val="0"/>
              <c:showBubbleSize val="0"/>
              <c:extLst>
                <c:ext xmlns:c15="http://schemas.microsoft.com/office/drawing/2012/chart" uri="{CE6537A1-D6FC-4f65-9D91-7224C49458BB}">
                  <c15:dlblFieldTable>
                    <c15:dlblFTEntry>
                      <c15:txfldGUID>{D3587D10-C7BB-44EA-8301-A4CA6293FF02}</c15:txfldGUID>
                      <c15:f>Output_charts!$AN$289</c15:f>
                      <c15:dlblFieldTableCache>
                        <c:ptCount val="1"/>
                        <c:pt idx="0">
                          <c:v> -   </c:v>
                        </c:pt>
                      </c15:dlblFieldTableCache>
                    </c15:dlblFTEntry>
                  </c15:dlblFieldTable>
                  <c15:showDataLabelsRange val="1"/>
                </c:ext>
                <c:ext xmlns:c16="http://schemas.microsoft.com/office/drawing/2014/chart" uri="{C3380CC4-5D6E-409C-BE32-E72D297353CC}">
                  <c16:uniqueId val="{00000007-E367-4F93-A003-6E163377FF74}"/>
                </c:ext>
              </c:extLst>
            </c:dLbl>
            <c:dLbl>
              <c:idx val="8"/>
              <c:tx>
                <c:strRef>
                  <c:f>Output_charts!$AN$290</c:f>
                  <c:strCache>
                    <c:ptCount val="1"/>
                    <c:pt idx="0">
                      <c:v> -   </c:v>
                    </c:pt>
                  </c:strCache>
                </c:strRef>
              </c:tx>
              <c:dLblPos val="t"/>
              <c:showLegendKey val="0"/>
              <c:showVal val="1"/>
              <c:showCatName val="0"/>
              <c:showSerName val="0"/>
              <c:showPercent val="0"/>
              <c:showBubbleSize val="0"/>
              <c:extLst>
                <c:ext xmlns:c15="http://schemas.microsoft.com/office/drawing/2012/chart" uri="{CE6537A1-D6FC-4f65-9D91-7224C49458BB}">
                  <c15:dlblFieldTable>
                    <c15:dlblFTEntry>
                      <c15:txfldGUID>{C7C16A10-4C3D-4BB1-B2BC-9160CBC7B66D}</c15:txfldGUID>
                      <c15:f>Output_charts!$AN$290</c15:f>
                      <c15:dlblFieldTableCache>
                        <c:ptCount val="1"/>
                        <c:pt idx="0">
                          <c:v> -   </c:v>
                        </c:pt>
                      </c15:dlblFieldTableCache>
                    </c15:dlblFTEntry>
                  </c15:dlblFieldTable>
                  <c15:showDataLabelsRange val="1"/>
                </c:ext>
                <c:ext xmlns:c16="http://schemas.microsoft.com/office/drawing/2014/chart" uri="{C3380CC4-5D6E-409C-BE32-E72D297353CC}">
                  <c16:uniqueId val="{00000000-8ADB-4B76-AC53-9D93541CB43C}"/>
                </c:ext>
              </c:extLst>
            </c:dLbl>
            <c:dLbl>
              <c:idx val="9"/>
              <c:layout>
                <c:manualLayout>
                  <c:x val="-2.2494886318165819E-2"/>
                  <c:y val="-5.0113895216400924E-2"/>
                </c:manualLayout>
              </c:layout>
              <c:tx>
                <c:strRef>
                  <c:f>Output_charts!$AN$291</c:f>
                  <c:strCache>
                    <c:ptCount val="1"/>
                    <c:pt idx="0">
                      <c:v>(6.8)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{3E62B982-69EA-4E1E-B193-DB475730C757}</c15:txfldGUID>
                      <c15:f>Output_charts!$AN$291</c15:f>
                      <c15:dlblFieldTableCache>
                        <c:ptCount val="1"/>
                        <c:pt idx="0">
                          <c:v>(6.8)</c:v>
                        </c:pt>
                      </c15:dlblFieldTableCache>
                    </c15:dlblFTEntry>
                  </c15:dlblFieldTable>
                  <c15:showDataLabelsRange val="1"/>
                </c:ext>
                <c:ext xmlns:c16="http://schemas.microsoft.com/office/drawing/2014/chart" uri="{C3380CC4-5D6E-409C-BE32-E72D297353CC}">
                  <c16:uniqueId val="{00000000-211F-4E11-8FB8-0EED567D0045}"/>
                </c:ext>
              </c:extLst>
            </c:dLbl>
            <c:dLbl>
              <c:idx val="10"/>
              <c:tx>
                <c:strRef>
                  <c:f>Output_charts!$AN$292</c:f>
                  <c:strCache>
                    <c:ptCount val="1"/>
                    <c:pt idx="0">
                      <c:v> 33.3 </c:v>
                    </c:pt>
                  </c:strCache>
                </c:strRef>
              </c:tx>
              <c:dLblPos val="t"/>
              <c:showLegendKey val="0"/>
              <c:showVal val="1"/>
              <c:showCatName val="0"/>
              <c:showSerName val="0"/>
              <c:showPercent val="0"/>
              <c:showBubbleSize val="0"/>
              <c:extLst>
                <c:ext xmlns:c15="http://schemas.microsoft.com/office/drawing/2012/chart" uri="{CE6537A1-D6FC-4f65-9D91-7224C49458BB}">
                  <c15:dlblFieldTable>
                    <c15:dlblFTEntry>
                      <c15:txfldGUID>{FC520A82-BBE1-45CB-BDDD-9AF83FF38833}</c15:txfldGUID>
                      <c15:f>Output_charts!$AN$292</c15:f>
                      <c15:dlblFieldTableCache>
                        <c:ptCount val="1"/>
                        <c:pt idx="0">
                          <c:v> 33.3 </c:v>
                        </c:pt>
                      </c15:dlblFieldTableCache>
                    </c15:dlblFTEntry>
                  </c15:dlblFieldTable>
                  <c15:showDataLabelsRange val="1"/>
                </c:ext>
                <c:ext xmlns:c16="http://schemas.microsoft.com/office/drawing/2014/chart" uri="{C3380CC4-5D6E-409C-BE32-E72D297353CC}">
                  <c16:uniqueId val="{00000000-059C-4DB1-9964-BDA38577A190}"/>
                </c:ext>
              </c:extLst>
            </c:dLbl>
            <c:dLbl>
              <c:idx val="11"/>
              <c:tx>
                <c:strRef>
                  <c:f>Output_charts!$AN$293</c:f>
                  <c:strCache>
                    <c:ptCount val="1"/>
                    <c:pt idx="0">
                      <c:v> 26.5 </c:v>
                    </c:pt>
                  </c:strCache>
                </c:strRef>
              </c:tx>
              <c:dLblPos val="t"/>
              <c:showLegendKey val="0"/>
              <c:showVal val="1"/>
              <c:showCatName val="0"/>
              <c:showSerName val="0"/>
              <c:showPercent val="0"/>
              <c:showBubbleSize val="0"/>
              <c:extLst>
                <c:ext xmlns:c15="http://schemas.microsoft.com/office/drawing/2012/chart" uri="{CE6537A1-D6FC-4f65-9D91-7224C49458BB}">
                  <c15:dlblFieldTable>
                    <c15:dlblFTEntry>
                      <c15:txfldGUID>{B091B5AC-1770-4083-B04E-AC40B94F4886}</c15:txfldGUID>
                      <c15:f>Output_charts!$AN$293</c15:f>
                      <c15:dlblFieldTableCache>
                        <c:ptCount val="1"/>
                        <c:pt idx="0">
                          <c:v> 26.5 </c:v>
                        </c:pt>
                      </c15:dlblFieldTableCache>
                    </c15:dlblFTEntry>
                  </c15:dlblFieldTable>
                  <c15:showDataLabelsRange val="1"/>
                </c:ext>
                <c:ext xmlns:c16="http://schemas.microsoft.com/office/drawing/2014/chart" uri="{C3380CC4-5D6E-409C-BE32-E72D297353CC}">
                  <c16:uniqueId val="{00000001-059C-4DB1-9964-BDA38577A190}"/>
                </c:ext>
              </c:extLst>
            </c:dLbl>
            <c:spPr>
              <a:noFill/>
              <a:ln>
                <a:noFill/>
              </a:ln>
              <a:effectLst/>
            </c:spPr>
            <c:txPr>
              <a:bodyPr/>
              <a:lstStyle/>
              <a:p>
                <a:pPr>
                  <a:defRPr sz="2400">
                    <a:solidFill>
                      <a:schemeClr val="accent6">
                        <a:lumMod val="50000"/>
                      </a:schemeClr>
                    </a:solidFill>
                    <a:latin typeface="+mn-lt"/>
                  </a:defRPr>
                </a:pPr>
                <a:endParaRPr lang="en-US"/>
              </a:p>
            </c:txPr>
            <c:dLblPos val="t"/>
            <c:showLegendKey val="0"/>
            <c:showVal val="1"/>
            <c:showCatName val="0"/>
            <c:showSerName val="0"/>
            <c:showPercent val="0"/>
            <c:showBubbleSize val="0"/>
            <c:showLeaderLines val="0"/>
            <c:extLst>
              <c:ext xmlns:c15="http://schemas.microsoft.com/office/drawing/2012/chart" uri="{CE6537A1-D6FC-4f65-9D91-7224C49458BB}">
                <c15:showDataLabelsRange val="1"/>
                <c15:showLeaderLines val="0"/>
              </c:ext>
            </c:extLst>
          </c:dLbls>
          <c:val>
            <c:numRef>
              <c:f>Output_charts!$AV$282:$AV$293</c:f>
              <c:numCache>
                <c:formatCode>_-* #,##0.0_-;\(#,##0.0\);_-* "-"??_-;_-@_-</c:formatCode>
                <c:ptCount val="12"/>
                <c:pt idx="0">
                  <c:v>#N/A</c:v>
                </c:pt>
                <c:pt idx="1">
                  <c:v>0.49380327212313802</c:v>
                </c:pt>
                <c:pt idx="2">
                  <c:v>#N/A</c:v>
                </c:pt>
                <c:pt idx="3">
                  <c:v>-12.395928397323274</c:v>
                </c:pt>
                <c:pt idx="4">
                  <c:v>-6.7748026542742323</c:v>
                </c:pt>
                <c:pt idx="5">
                  <c:v>-6.7748026542742323</c:v>
                </c:pt>
                <c:pt idx="6">
                  <c:v>-6.7748026542742323</c:v>
                </c:pt>
                <c:pt idx="7">
                  <c:v>-6.7748026542742323</c:v>
                </c:pt>
                <c:pt idx="8">
                  <c:v>-6.7748026542742323</c:v>
                </c:pt>
                <c:pt idx="9">
                  <c:v>#N/A</c:v>
                </c:pt>
                <c:pt idx="10">
                  <c:v>26.479600106396305</c:v>
                </c:pt>
                <c:pt idx="11">
                  <c:v>26.479600106396305</c:v>
                </c:pt>
              </c:numCache>
            </c:numRef>
          </c:val>
          <c:smooth val="0"/>
          <c:extLst>
            <c:ext xmlns:c15="http://schemas.microsoft.com/office/drawing/2012/chart" uri="{02D57815-91ED-43cb-92C2-25804820EDAC}">
              <c15:datalabelsRange>
                <c15:f>Output_charts!$AN$282:$AN$293</c15:f>
                <c15:dlblRangeCache>
                  <c:ptCount val="12"/>
                  <c:pt idx="0">
                    <c:v>(12.9)</c:v>
                  </c:pt>
                  <c:pt idx="1">
                    <c:v> 13.4 </c:v>
                  </c:pt>
                  <c:pt idx="2">
                    <c:v>(13.4)</c:v>
                  </c:pt>
                  <c:pt idx="3">
                    <c:v> 0.5 </c:v>
                  </c:pt>
                  <c:pt idx="4">
                    <c:v> 5.6 </c:v>
                  </c:pt>
                  <c:pt idx="5">
                    <c:v> -   </c:v>
                  </c:pt>
                  <c:pt idx="6">
                    <c:v> -   </c:v>
                  </c:pt>
                  <c:pt idx="7">
                    <c:v> -   </c:v>
                  </c:pt>
                  <c:pt idx="8">
                    <c:v> -   </c:v>
                  </c:pt>
                  <c:pt idx="9">
                    <c:v>(6.8)</c:v>
                  </c:pt>
                  <c:pt idx="10">
                    <c:v> 33.3 </c:v>
                  </c:pt>
                  <c:pt idx="11">
                    <c:v> 26.5 </c:v>
                  </c:pt>
                </c15:dlblRangeCache>
              </c15:datalabelsRange>
            </c:ext>
            <c:ext xmlns:c16="http://schemas.microsoft.com/office/drawing/2014/chart" uri="{C3380CC4-5D6E-409C-BE32-E72D297353CC}">
              <c16:uniqueId val="{00000012-30D5-4FCE-8316-FD23DA265545}"/>
            </c:ext>
          </c:extLst>
        </c:ser>
        <c:ser>
          <c:idx val="7"/>
          <c:order val="7"/>
          <c:tx>
            <c:strRef>
              <c:f>Output_charts!$AW$281</c:f>
              <c:strCache>
                <c:ptCount val="1"/>
                <c:pt idx="0">
                  <c:v> Fall labels </c:v>
                </c:pt>
              </c:strCache>
            </c:strRef>
          </c:tx>
          <c:spPr>
            <a:ln>
              <a:noFill/>
            </a:ln>
          </c:spPr>
          <c:marker>
            <c:symbol val="none"/>
          </c:marker>
          <c:dLbls>
            <c:dLbl>
              <c:idx val="0"/>
              <c:tx>
                <c:strRef>
                  <c:f>Output_charts!$AN$282</c:f>
                  <c:strCache>
                    <c:ptCount val="1"/>
                    <c:pt idx="0">
                      <c:v>(12.9)</c:v>
                    </c:pt>
                  </c:strCache>
                </c:strRef>
              </c:tx>
              <c:dLblPos val="b"/>
              <c:showLegendKey val="0"/>
              <c:showVal val="1"/>
              <c:showCatName val="0"/>
              <c:showSerName val="0"/>
              <c:showPercent val="0"/>
              <c:showBubbleSize val="0"/>
              <c:extLst>
                <c:ext xmlns:c15="http://schemas.microsoft.com/office/drawing/2012/chart" uri="{CE6537A1-D6FC-4f65-9D91-7224C49458BB}">
                  <c15:dlblFieldTable>
                    <c15:dlblFTEntry>
                      <c15:txfldGUID>{2188B32C-D4C5-4DD4-94C7-5C2193A44B67}</c15:txfldGUID>
                      <c15:f>Output_charts!$AN$282</c15:f>
                      <c15:dlblFieldTableCache>
                        <c:ptCount val="1"/>
                        <c:pt idx="0">
                          <c:v>(12.9)</c:v>
                        </c:pt>
                      </c15:dlblFieldTableCache>
                    </c15:dlblFTEntry>
                  </c15:dlblFieldTable>
                  <c15:showDataLabelsRange val="0"/>
                </c:ext>
                <c:ext xmlns:c16="http://schemas.microsoft.com/office/drawing/2014/chart" uri="{C3380CC4-5D6E-409C-BE32-E72D297353CC}">
                  <c16:uniqueId val="{00000008-E367-4F93-A003-6E163377FF74}"/>
                </c:ext>
              </c:extLst>
            </c:dLbl>
            <c:dLbl>
              <c:idx val="1"/>
              <c:tx>
                <c:strRef>
                  <c:f>Output_charts!$AN$283</c:f>
                  <c:strCache>
                    <c:ptCount val="1"/>
                    <c:pt idx="0">
                      <c:v> 13.4 </c:v>
                    </c:pt>
                  </c:strCache>
                </c:strRef>
              </c:tx>
              <c:dLblPos val="b"/>
              <c:showLegendKey val="0"/>
              <c:showVal val="1"/>
              <c:showCatName val="0"/>
              <c:showSerName val="0"/>
              <c:showPercent val="0"/>
              <c:showBubbleSize val="0"/>
              <c:extLst>
                <c:ext xmlns:c15="http://schemas.microsoft.com/office/drawing/2012/chart" uri="{CE6537A1-D6FC-4f65-9D91-7224C49458BB}">
                  <c15:dlblFieldTable>
                    <c15:dlblFTEntry>
                      <c15:txfldGUID>{A8F92823-41AB-44CF-BF29-92E064F0514B}</c15:txfldGUID>
                      <c15:f>Output_charts!$AN$283</c15:f>
                      <c15:dlblFieldTableCache>
                        <c:ptCount val="1"/>
                        <c:pt idx="0">
                          <c:v> 13.4 </c:v>
                        </c:pt>
                      </c15:dlblFieldTableCache>
                    </c15:dlblFTEntry>
                  </c15:dlblFieldTable>
                  <c15:showDataLabelsRange val="0"/>
                </c:ext>
                <c:ext xmlns:c16="http://schemas.microsoft.com/office/drawing/2014/chart" uri="{C3380CC4-5D6E-409C-BE32-E72D297353CC}">
                  <c16:uniqueId val="{00000006-059C-4DB1-9964-BDA38577A190}"/>
                </c:ext>
              </c:extLst>
            </c:dLbl>
            <c:dLbl>
              <c:idx val="2"/>
              <c:tx>
                <c:strRef>
                  <c:f>Output_charts!$AN$284</c:f>
                  <c:strCache>
                    <c:ptCount val="1"/>
                    <c:pt idx="0">
                      <c:v>(13.4)</c:v>
                    </c:pt>
                  </c:strCache>
                </c:strRef>
              </c:tx>
              <c:dLblPos val="b"/>
              <c:showLegendKey val="0"/>
              <c:showVal val="1"/>
              <c:showCatName val="0"/>
              <c:showSerName val="0"/>
              <c:showPercent val="0"/>
              <c:showBubbleSize val="0"/>
              <c:extLst>
                <c:ext xmlns:c15="http://schemas.microsoft.com/office/drawing/2012/chart" uri="{CE6537A1-D6FC-4f65-9D91-7224C49458BB}">
                  <c15:dlblFieldTable>
                    <c15:dlblFTEntry>
                      <c15:txfldGUID>{A0DE4D2C-5236-4DB6-9525-327EC6D08A75}</c15:txfldGUID>
                      <c15:f>Output_charts!$AN$284</c15:f>
                      <c15:dlblFieldTableCache>
                        <c:ptCount val="1"/>
                        <c:pt idx="0">
                          <c:v>(13.4)</c:v>
                        </c:pt>
                      </c15:dlblFieldTableCache>
                    </c15:dlblFTEntry>
                  </c15:dlblFieldTable>
                  <c15:showDataLabelsRange val="0"/>
                </c:ext>
                <c:ext xmlns:c16="http://schemas.microsoft.com/office/drawing/2014/chart" uri="{C3380CC4-5D6E-409C-BE32-E72D297353CC}">
                  <c16:uniqueId val="{00000000-5E06-41F1-8776-49C2C4A8D8E0}"/>
                </c:ext>
              </c:extLst>
            </c:dLbl>
            <c:dLbl>
              <c:idx val="4"/>
              <c:tx>
                <c:strRef>
                  <c:f>Output_charts!$AN$286</c:f>
                  <c:strCache>
                    <c:ptCount val="1"/>
                    <c:pt idx="0">
                      <c:v> 5.6 </c:v>
                    </c:pt>
                  </c:strCache>
                </c:strRef>
              </c:tx>
              <c:dLblPos val="b"/>
              <c:showLegendKey val="0"/>
              <c:showVal val="1"/>
              <c:showCatName val="0"/>
              <c:showSerName val="0"/>
              <c:showPercent val="0"/>
              <c:showBubbleSize val="0"/>
              <c:extLst>
                <c:ext xmlns:c15="http://schemas.microsoft.com/office/drawing/2012/chart" uri="{CE6537A1-D6FC-4f65-9D91-7224C49458BB}">
                  <c15:dlblFieldTable>
                    <c15:dlblFTEntry>
                      <c15:txfldGUID>{D523D5BA-E57E-4857-A0E4-B440B961A8E3}</c15:txfldGUID>
                      <c15:f>Output_charts!$AN$286</c15:f>
                      <c15:dlblFieldTableCache>
                        <c:ptCount val="1"/>
                        <c:pt idx="0">
                          <c:v> 5.6 </c:v>
                        </c:pt>
                      </c15:dlblFieldTableCache>
                    </c15:dlblFTEntry>
                  </c15:dlblFieldTable>
                  <c15:showDataLabelsRange val="0"/>
                </c:ext>
                <c:ext xmlns:c16="http://schemas.microsoft.com/office/drawing/2014/chart" uri="{C3380CC4-5D6E-409C-BE32-E72D297353CC}">
                  <c16:uniqueId val="{00000002-059C-4DB1-9964-BDA38577A190}"/>
                </c:ext>
              </c:extLst>
            </c:dLbl>
            <c:dLbl>
              <c:idx val="5"/>
              <c:tx>
                <c:strRef>
                  <c:f>Output_charts!$AN$287</c:f>
                  <c:strCache>
                    <c:ptCount val="1"/>
                    <c:pt idx="0">
                      <c:v> -   </c:v>
                    </c:pt>
                  </c:strCache>
                </c:strRef>
              </c:tx>
              <c:dLblPos val="b"/>
              <c:showLegendKey val="0"/>
              <c:showVal val="1"/>
              <c:showCatName val="0"/>
              <c:showSerName val="0"/>
              <c:showPercent val="0"/>
              <c:showBubbleSize val="0"/>
              <c:extLst>
                <c:ext xmlns:c15="http://schemas.microsoft.com/office/drawing/2012/chart" uri="{CE6537A1-D6FC-4f65-9D91-7224C49458BB}">
                  <c15:dlblFieldTable>
                    <c15:dlblFTEntry>
                      <c15:txfldGUID>{1E60F408-8A48-4B9F-BD44-B4FC49A2AA27}</c15:txfldGUID>
                      <c15:f>Output_charts!$AN$287</c15:f>
                      <c15:dlblFieldTableCache>
                        <c:ptCount val="1"/>
                        <c:pt idx="0">
                          <c:v> -   </c:v>
                        </c:pt>
                      </c15:dlblFieldTableCache>
                    </c15:dlblFTEntry>
                  </c15:dlblFieldTable>
                  <c15:showDataLabelsRange val="0"/>
                </c:ext>
                <c:ext xmlns:c16="http://schemas.microsoft.com/office/drawing/2014/chart" uri="{C3380CC4-5D6E-409C-BE32-E72D297353CC}">
                  <c16:uniqueId val="{00000002-BAD9-4F15-BFB7-B5AD80DE886E}"/>
                </c:ext>
              </c:extLst>
            </c:dLbl>
            <c:dLbl>
              <c:idx val="6"/>
              <c:tx>
                <c:strRef>
                  <c:f>Output_charts!$AN$288</c:f>
                  <c:strCache>
                    <c:ptCount val="1"/>
                    <c:pt idx="0">
                      <c:v> -   </c:v>
                    </c:pt>
                  </c:strCache>
                </c:strRef>
              </c:tx>
              <c:dLblPos val="b"/>
              <c:showLegendKey val="0"/>
              <c:showVal val="1"/>
              <c:showCatName val="0"/>
              <c:showSerName val="0"/>
              <c:showPercent val="0"/>
              <c:showBubbleSize val="0"/>
              <c:extLst>
                <c:ext xmlns:c15="http://schemas.microsoft.com/office/drawing/2012/chart" uri="{CE6537A1-D6FC-4f65-9D91-7224C49458BB}">
                  <c15:dlblFieldTable>
                    <c15:dlblFTEntry>
                      <c15:txfldGUID>{A2613705-ABAC-4750-9807-7F7586439BC9}</c15:txfldGUID>
                      <c15:f>Output_charts!$AN$288</c15:f>
                      <c15:dlblFieldTableCache>
                        <c:ptCount val="1"/>
                        <c:pt idx="0">
                          <c:v> -   </c:v>
                        </c:pt>
                      </c15:dlblFieldTableCache>
                    </c15:dlblFTEntry>
                  </c15:dlblFieldTable>
                  <c15:showDataLabelsRange val="0"/>
                </c:ext>
                <c:ext xmlns:c16="http://schemas.microsoft.com/office/drawing/2014/chart" uri="{C3380CC4-5D6E-409C-BE32-E72D297353CC}">
                  <c16:uniqueId val="{00000001-211F-4E11-8FB8-0EED567D0045}"/>
                </c:ext>
              </c:extLst>
            </c:dLbl>
            <c:dLbl>
              <c:idx val="8"/>
              <c:tx>
                <c:strRef>
                  <c:f>Output_charts!$AN$290</c:f>
                  <c:strCache>
                    <c:ptCount val="1"/>
                    <c:pt idx="0">
                      <c:v> -   </c:v>
                    </c:pt>
                  </c:strCache>
                </c:strRef>
              </c:tx>
              <c:dLblPos val="b"/>
              <c:showLegendKey val="0"/>
              <c:showVal val="1"/>
              <c:showCatName val="0"/>
              <c:showSerName val="0"/>
              <c:showPercent val="0"/>
              <c:showBubbleSize val="0"/>
              <c:extLst>
                <c:ext xmlns:c15="http://schemas.microsoft.com/office/drawing/2012/chart" uri="{CE6537A1-D6FC-4f65-9D91-7224C49458BB}">
                  <c15:dlblFieldTable>
                    <c15:dlblFTEntry>
                      <c15:txfldGUID>{2D914AF1-9B08-43C4-8057-7C322AA77A02}</c15:txfldGUID>
                      <c15:f>Output_charts!$AN$290</c15:f>
                      <c15:dlblFieldTableCache>
                        <c:ptCount val="1"/>
                        <c:pt idx="0">
                          <c:v> -   </c:v>
                        </c:pt>
                      </c15:dlblFieldTableCache>
                    </c15:dlblFTEntry>
                  </c15:dlblFieldTable>
                  <c15:showDataLabelsRange val="0"/>
                </c:ext>
                <c:ext xmlns:c16="http://schemas.microsoft.com/office/drawing/2014/chart" uri="{C3380CC4-5D6E-409C-BE32-E72D297353CC}">
                  <c16:uniqueId val="{00000003-059C-4DB1-9964-BDA38577A190}"/>
                </c:ext>
              </c:extLst>
            </c:dLbl>
            <c:dLbl>
              <c:idx val="9"/>
              <c:layout>
                <c:manualLayout>
                  <c:x val="-2.1792773199750141E-2"/>
                  <c:y val="4.247735547862895E-2"/>
                </c:manualLayout>
              </c:layout>
              <c:tx>
                <c:strRef>
                  <c:f>Output_charts!$AN$291</c:f>
                  <c:strCache>
                    <c:ptCount val="1"/>
                    <c:pt idx="0">
                      <c:v>(6.8)</c:v>
                    </c:pt>
                  </c:strCache>
                </c:strRef>
              </c:tx>
              <c:dLblPos val="r"/>
              <c:showLegendKey val="0"/>
              <c:showVal val="1"/>
              <c:showCatName val="0"/>
              <c:showSerName val="0"/>
              <c:showPercent val="0"/>
              <c:showBubbleSize val="0"/>
              <c:extLst>
                <c:ext xmlns:c15="http://schemas.microsoft.com/office/drawing/2012/chart" uri="{CE6537A1-D6FC-4f65-9D91-7224C49458BB}">
                  <c15:dlblFieldTable>
                    <c15:dlblFTEntry>
                      <c15:txfldGUID>{4CCD95B9-41D6-4DA2-98AC-DD7E213DF6B4}</c15:txfldGUID>
                      <c15:f>Output_charts!$AN$291</c15:f>
                      <c15:dlblFieldTableCache>
                        <c:ptCount val="1"/>
                        <c:pt idx="0">
                          <c:v>(6.8)</c:v>
                        </c:pt>
                      </c15:dlblFieldTableCache>
                    </c15:dlblFTEntry>
                  </c15:dlblFieldTable>
                  <c15:showDataLabelsRange val="0"/>
                </c:ext>
                <c:ext xmlns:c16="http://schemas.microsoft.com/office/drawing/2014/chart" uri="{C3380CC4-5D6E-409C-BE32-E72D297353CC}">
                  <c16:uniqueId val="{00000002-211F-4E11-8FB8-0EED567D0045}"/>
                </c:ext>
              </c:extLst>
            </c:dLbl>
            <c:dLbl>
              <c:idx val="10"/>
              <c:tx>
                <c:strRef>
                  <c:f>Output_charts!$AN$292</c:f>
                  <c:strCache>
                    <c:ptCount val="1"/>
                    <c:pt idx="0">
                      <c:v> 33.3 </c:v>
                    </c:pt>
                  </c:strCache>
                </c:strRef>
              </c:tx>
              <c:dLblPos val="b"/>
              <c:showLegendKey val="0"/>
              <c:showVal val="1"/>
              <c:showCatName val="0"/>
              <c:showSerName val="0"/>
              <c:showPercent val="0"/>
              <c:showBubbleSize val="0"/>
              <c:extLst>
                <c:ext xmlns:c15="http://schemas.microsoft.com/office/drawing/2012/chart" uri="{CE6537A1-D6FC-4f65-9D91-7224C49458BB}">
                  <c15:dlblFieldTable>
                    <c15:dlblFTEntry>
                      <c15:txfldGUID>{F8C51BD2-E1BF-4BB7-81BF-9A242DD700D6}</c15:txfldGUID>
                      <c15:f>Output_charts!$AN$292</c15:f>
                      <c15:dlblFieldTableCache>
                        <c:ptCount val="1"/>
                        <c:pt idx="0">
                          <c:v> 33.3 </c:v>
                        </c:pt>
                      </c15:dlblFieldTableCache>
                    </c15:dlblFTEntry>
                  </c15:dlblFieldTable>
                  <c15:showDataLabelsRange val="0"/>
                </c:ext>
                <c:ext xmlns:c16="http://schemas.microsoft.com/office/drawing/2014/chart" uri="{C3380CC4-5D6E-409C-BE32-E72D297353CC}">
                  <c16:uniqueId val="{00000007-059C-4DB1-9964-BDA38577A190}"/>
                </c:ext>
              </c:extLst>
            </c:dLbl>
            <c:dLbl>
              <c:idx val="11"/>
              <c:tx>
                <c:strRef>
                  <c:f>Output_charts!$AP$293</c:f>
                  <c:strCache>
                    <c:ptCount val="1"/>
                    <c:pt idx="0">
                      <c:v> 26.5 </c:v>
                    </c:pt>
                  </c:strCache>
                </c:strRef>
              </c:tx>
              <c:dLblPos val="b"/>
              <c:showLegendKey val="0"/>
              <c:showVal val="1"/>
              <c:showCatName val="0"/>
              <c:showSerName val="0"/>
              <c:showPercent val="0"/>
              <c:showBubbleSize val="0"/>
              <c:extLst>
                <c:ext xmlns:c15="http://schemas.microsoft.com/office/drawing/2012/chart" uri="{CE6537A1-D6FC-4f65-9D91-7224C49458BB}">
                  <c15:dlblFieldTable>
                    <c15:dlblFTEntry>
                      <c15:txfldGUID>{02795786-7A67-49A5-A817-66B52536EEC3}</c15:txfldGUID>
                      <c15:f>Output_charts!$AP$293</c15:f>
                      <c15:dlblFieldTableCache>
                        <c:ptCount val="1"/>
                        <c:pt idx="0">
                          <c:v> 26.5 </c:v>
                        </c:pt>
                      </c15:dlblFieldTableCache>
                    </c15:dlblFTEntry>
                  </c15:dlblFieldTable>
                  <c15:showDataLabelsRange val="0"/>
                </c:ext>
                <c:ext xmlns:c16="http://schemas.microsoft.com/office/drawing/2014/chart" uri="{C3380CC4-5D6E-409C-BE32-E72D297353CC}">
                  <c16:uniqueId val="{00000004-059C-4DB1-9964-BDA38577A190}"/>
                </c:ext>
              </c:extLst>
            </c:dLbl>
            <c:spPr>
              <a:noFill/>
              <a:ln>
                <a:noFill/>
              </a:ln>
              <a:effectLst/>
            </c:spPr>
            <c:txPr>
              <a:bodyPr/>
              <a:lstStyle/>
              <a:p>
                <a:pPr>
                  <a:defRPr sz="2400">
                    <a:solidFill>
                      <a:srgbClr val="C00000"/>
                    </a:solidFill>
                    <a:latin typeface="+mn-lt"/>
                  </a:defRPr>
                </a:pPr>
                <a:endParaRPr lang="en-US"/>
              </a:p>
            </c:txPr>
            <c:dLblPos val="b"/>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Output_charts!$AW$282:$AW$293</c:f>
              <c:numCache>
                <c:formatCode>_-* #,##0.0_-;\(#,##0.0\);_-* "-"??_-;_-@_-</c:formatCode>
                <c:ptCount val="12"/>
                <c:pt idx="0">
                  <c:v>-12.938751245002702</c:v>
                </c:pt>
                <c:pt idx="1">
                  <c:v>#N/A</c:v>
                </c:pt>
                <c:pt idx="2">
                  <c:v>-12.938751245002702</c:v>
                </c:pt>
                <c:pt idx="3">
                  <c:v>#N/A</c:v>
                </c:pt>
                <c:pt idx="4">
                  <c:v>#N/A</c:v>
                </c:pt>
                <c:pt idx="5">
                  <c:v>#N/A</c:v>
                </c:pt>
                <c:pt idx="6">
                  <c:v>#N/A</c:v>
                </c:pt>
                <c:pt idx="7">
                  <c:v>#N/A</c:v>
                </c:pt>
                <c:pt idx="8">
                  <c:v>#N/A</c:v>
                </c:pt>
                <c:pt idx="9">
                  <c:v>-6.7748026542742323</c:v>
                </c:pt>
                <c:pt idx="10">
                  <c:v>#N/A</c:v>
                </c:pt>
                <c:pt idx="11">
                  <c:v>#N/A</c:v>
                </c:pt>
              </c:numCache>
            </c:numRef>
          </c:val>
          <c:smooth val="0"/>
          <c:extLst>
            <c:ext xmlns:c16="http://schemas.microsoft.com/office/drawing/2014/chart" uri="{C3380CC4-5D6E-409C-BE32-E72D297353CC}">
              <c16:uniqueId val="{0000001F-30D5-4FCE-8316-FD23DA265545}"/>
            </c:ext>
          </c:extLst>
        </c:ser>
        <c:dLbls>
          <c:showLegendKey val="0"/>
          <c:showVal val="0"/>
          <c:showCatName val="0"/>
          <c:showSerName val="0"/>
          <c:showPercent val="0"/>
          <c:showBubbleSize val="0"/>
        </c:dLbls>
        <c:marker val="1"/>
        <c:smooth val="0"/>
        <c:axId val="667381632"/>
        <c:axId val="667380064"/>
      </c:lineChart>
      <c:catAx>
        <c:axId val="667381632"/>
        <c:scaling>
          <c:orientation val="minMax"/>
        </c:scaling>
        <c:delete val="0"/>
        <c:axPos val="b"/>
        <c:numFmt formatCode="General" sourceLinked="0"/>
        <c:majorTickMark val="none"/>
        <c:minorTickMark val="none"/>
        <c:tickLblPos val="low"/>
        <c:spPr>
          <a:noFill/>
          <a:ln w="9525" cap="flat" cmpd="sng" algn="ctr">
            <a:solidFill>
              <a:srgbClr val="7F878D"/>
            </a:solidFill>
            <a:prstDash val="solid"/>
            <a:round/>
          </a:ln>
          <a:effectLst/>
        </c:spPr>
        <c:txPr>
          <a:bodyPr/>
          <a:lstStyle/>
          <a:p>
            <a:pPr>
              <a:defRPr sz="2000">
                <a:solidFill>
                  <a:schemeClr val="tx1"/>
                </a:solidFill>
                <a:latin typeface="+mn-lt"/>
              </a:defRPr>
            </a:pPr>
            <a:endParaRPr lang="en-US"/>
          </a:p>
        </c:txPr>
        <c:crossAx val="667380064"/>
        <c:crosses val="autoZero"/>
        <c:auto val="1"/>
        <c:lblAlgn val="ctr"/>
        <c:lblOffset val="100"/>
        <c:noMultiLvlLbl val="0"/>
      </c:catAx>
      <c:valAx>
        <c:axId val="667380064"/>
        <c:scaling>
          <c:orientation val="minMax"/>
        </c:scaling>
        <c:delete val="1"/>
        <c:axPos val="l"/>
        <c:numFmt formatCode="_-* #,##0_-;\(#,##0\);_-* &quot;-&quot;??_-;_-@_-" sourceLinked="0"/>
        <c:majorTickMark val="none"/>
        <c:minorTickMark val="none"/>
        <c:tickLblPos val="low"/>
        <c:crossAx val="667381632"/>
        <c:crosses val="autoZero"/>
        <c:crossBetween val="between"/>
      </c:valAx>
      <c:spPr>
        <a:noFill/>
        <a:ln w="25400">
          <a:noFill/>
        </a:ln>
      </c:spPr>
    </c:plotArea>
    <c:plotVisOnly val="1"/>
    <c:dispBlanksAs val="gap"/>
    <c:showDLblsOverMax val="0"/>
  </c:chart>
  <c:spPr>
    <a:noFill/>
    <a:ln w="9525">
      <a:noFill/>
    </a:ln>
  </c:spPr>
  <c:txPr>
    <a:bodyPr/>
    <a:lstStyle/>
    <a:p>
      <a:pPr>
        <a:defRPr sz="800" b="0" i="0">
          <a:solidFill>
            <a:srgbClr val="7F878D"/>
          </a:solidFill>
          <a:latin typeface="Malgun Gothic" panose="020B0503020000020004" pitchFamily="34" charset="-127"/>
          <a:ea typeface="Malgun Gothic" panose="020B0503020000020004" pitchFamily="34" charset="-127"/>
          <a:cs typeface="Malgun Gothic"/>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7422777777777785E-3"/>
          <c:y val="5.5603472222222214E-2"/>
          <c:w val="0.98669625002231864"/>
          <c:h val="0.7515994791666667"/>
        </c:manualLayout>
      </c:layout>
      <c:barChart>
        <c:barDir val="col"/>
        <c:grouping val="stacked"/>
        <c:varyColors val="0"/>
        <c:ser>
          <c:idx val="0"/>
          <c:order val="0"/>
          <c:tx>
            <c:strRef>
              <c:f>Output_charts!$AP$207</c:f>
              <c:strCache>
                <c:ptCount val="1"/>
                <c:pt idx="0">
                  <c:v> Bridge </c:v>
                </c:pt>
              </c:strCache>
            </c:strRef>
          </c:tx>
          <c:spPr>
            <a:solidFill>
              <a:srgbClr val="7F7F7F"/>
            </a:solidFill>
          </c:spPr>
          <c:invertIfNegative val="0"/>
          <c:cat>
            <c:strRef>
              <c:f>Output_charts!$AH$208:$AH$218</c:f>
              <c:strCache>
                <c:ptCount val="11"/>
                <c:pt idx="0">
                  <c:v>Capex</c:v>
                </c:pt>
                <c:pt idx="1">
                  <c:v>Regulatory revenue</c:v>
                </c:pt>
                <c:pt idx="2">
                  <c:v>Capex benefits (CESS)</c:v>
                </c:pt>
                <c:pt idx="3">
                  <c:v>Development opex</c:v>
                </c:pt>
                <c:pt idx="4">
                  <c:v>Opex (EBSS)</c:v>
                </c:pt>
                <c:pt idx="5">
                  <c:v>STPIS</c:v>
                </c:pt>
                <c:pt idx="6">
                  <c:v>Other incentives</c:v>
                </c:pt>
                <c:pt idx="7">
                  <c:v>Unregulated revenue</c:v>
                </c:pt>
                <c:pt idx="8">
                  <c:v>Cash  NPV</c:v>
                </c:pt>
                <c:pt idx="9">
                  <c:v>Probabilistic benefits</c:v>
                </c:pt>
                <c:pt idx="10">
                  <c:v> Total Shareholder </c:v>
                </c:pt>
              </c:strCache>
            </c:strRef>
          </c:cat>
          <c:val>
            <c:numRef>
              <c:f>Output_charts!$AP$208:$AP$218</c:f>
              <c:numCache>
                <c:formatCode>_-* #,##0.0_-;\(#,##0.0\);_-* "-"??_-;_-@_-</c:formatCode>
                <c:ptCount val="11"/>
                <c:pt idx="8">
                  <c:v>1.8370865324672654</c:v>
                </c:pt>
                <c:pt idx="10">
                  <c:v>1.8370865324672654</c:v>
                </c:pt>
              </c:numCache>
            </c:numRef>
          </c:val>
          <c:extLst>
            <c:ext xmlns:c16="http://schemas.microsoft.com/office/drawing/2014/chart" uri="{C3380CC4-5D6E-409C-BE32-E72D297353CC}">
              <c16:uniqueId val="{00000000-30D5-4FCE-8316-FD23DA265545}"/>
            </c:ext>
          </c:extLst>
        </c:ser>
        <c:ser>
          <c:idx val="1"/>
          <c:order val="1"/>
          <c:tx>
            <c:strRef>
              <c:f>Output_charts!$AQ$207</c:f>
              <c:strCache>
                <c:ptCount val="1"/>
                <c:pt idx="0">
                  <c:v> Base above 0 </c:v>
                </c:pt>
              </c:strCache>
            </c:strRef>
          </c:tx>
          <c:spPr>
            <a:noFill/>
          </c:spPr>
          <c:invertIfNegative val="0"/>
          <c:cat>
            <c:strRef>
              <c:f>Output_charts!$AH$208:$AH$218</c:f>
              <c:strCache>
                <c:ptCount val="11"/>
                <c:pt idx="0">
                  <c:v>Capex</c:v>
                </c:pt>
                <c:pt idx="1">
                  <c:v>Regulatory revenue</c:v>
                </c:pt>
                <c:pt idx="2">
                  <c:v>Capex benefits (CESS)</c:v>
                </c:pt>
                <c:pt idx="3">
                  <c:v>Development opex</c:v>
                </c:pt>
                <c:pt idx="4">
                  <c:v>Opex (EBSS)</c:v>
                </c:pt>
                <c:pt idx="5">
                  <c:v>STPIS</c:v>
                </c:pt>
                <c:pt idx="6">
                  <c:v>Other incentives</c:v>
                </c:pt>
                <c:pt idx="7">
                  <c:v>Unregulated revenue</c:v>
                </c:pt>
                <c:pt idx="8">
                  <c:v>Cash  NPV</c:v>
                </c:pt>
                <c:pt idx="9">
                  <c:v>Probabilistic benefits</c:v>
                </c:pt>
                <c:pt idx="10">
                  <c:v> Total Shareholder </c:v>
                </c:pt>
              </c:strCache>
            </c:strRef>
          </c:cat>
          <c:val>
            <c:numRef>
              <c:f>Output_charts!$AQ$208:$AQ$218</c:f>
              <c:numCache>
                <c:formatCode>_-* #,##0.0_-;\(#,##0.0\);_-* "-"??_-;_-@_-</c:formatCode>
                <c:ptCount val="11"/>
                <c:pt idx="1">
                  <c:v>0</c:v>
                </c:pt>
                <c:pt idx="2">
                  <c:v>0.49380327212313802</c:v>
                </c:pt>
                <c:pt idx="3">
                  <c:v>0.65665012642696663</c:v>
                </c:pt>
                <c:pt idx="4">
                  <c:v>1.8370865324672654</c:v>
                </c:pt>
                <c:pt idx="5">
                  <c:v>1.8370865324672654</c:v>
                </c:pt>
                <c:pt idx="6">
                  <c:v>1.8370865324672654</c:v>
                </c:pt>
                <c:pt idx="7">
                  <c:v>1.8370865324672654</c:v>
                </c:pt>
                <c:pt idx="9">
                  <c:v>1.8370865324672654</c:v>
                </c:pt>
              </c:numCache>
            </c:numRef>
          </c:val>
          <c:extLst>
            <c:ext xmlns:c16="http://schemas.microsoft.com/office/drawing/2014/chart" uri="{C3380CC4-5D6E-409C-BE32-E72D297353CC}">
              <c16:uniqueId val="{00000001-30D5-4FCE-8316-FD23DA265545}"/>
            </c:ext>
          </c:extLst>
        </c:ser>
        <c:ser>
          <c:idx val="2"/>
          <c:order val="2"/>
          <c:tx>
            <c:strRef>
              <c:f>Output_charts!$AR$207</c:f>
              <c:strCache>
                <c:ptCount val="1"/>
                <c:pt idx="0">
                  <c:v> Rise above 0 </c:v>
                </c:pt>
              </c:strCache>
            </c:strRef>
          </c:tx>
          <c:spPr>
            <a:solidFill>
              <a:srgbClr val="70AD47"/>
            </a:solidFill>
          </c:spPr>
          <c:invertIfNegative val="0"/>
          <c:cat>
            <c:strRef>
              <c:f>Output_charts!$AH$208:$AH$218</c:f>
              <c:strCache>
                <c:ptCount val="11"/>
                <c:pt idx="0">
                  <c:v>Capex</c:v>
                </c:pt>
                <c:pt idx="1">
                  <c:v>Regulatory revenue</c:v>
                </c:pt>
                <c:pt idx="2">
                  <c:v>Capex benefits (CESS)</c:v>
                </c:pt>
                <c:pt idx="3">
                  <c:v>Development opex</c:v>
                </c:pt>
                <c:pt idx="4">
                  <c:v>Opex (EBSS)</c:v>
                </c:pt>
                <c:pt idx="5">
                  <c:v>STPIS</c:v>
                </c:pt>
                <c:pt idx="6">
                  <c:v>Other incentives</c:v>
                </c:pt>
                <c:pt idx="7">
                  <c:v>Unregulated revenue</c:v>
                </c:pt>
                <c:pt idx="8">
                  <c:v>Cash  NPV</c:v>
                </c:pt>
                <c:pt idx="9">
                  <c:v>Probabilistic benefits</c:v>
                </c:pt>
                <c:pt idx="10">
                  <c:v> Total Shareholder </c:v>
                </c:pt>
              </c:strCache>
            </c:strRef>
          </c:cat>
          <c:val>
            <c:numRef>
              <c:f>Output_charts!$AR$208:$AR$218</c:f>
              <c:numCache>
                <c:formatCode>_-* #,##0.0_-;\(#,##0.0\);_-* "-"??_-;_-@_-</c:formatCode>
                <c:ptCount val="11"/>
                <c:pt idx="0">
                  <c:v>0</c:v>
                </c:pt>
                <c:pt idx="1">
                  <c:v>0.49380327212313802</c:v>
                </c:pt>
                <c:pt idx="2">
                  <c:v>0.16284685430382861</c:v>
                </c:pt>
                <c:pt idx="3">
                  <c:v>1.1804364060402988</c:v>
                </c:pt>
                <c:pt idx="4">
                  <c:v>0</c:v>
                </c:pt>
                <c:pt idx="5">
                  <c:v>0</c:v>
                </c:pt>
                <c:pt idx="6">
                  <c:v>0</c:v>
                </c:pt>
                <c:pt idx="7">
                  <c:v>0</c:v>
                </c:pt>
                <c:pt idx="9">
                  <c:v>0</c:v>
                </c:pt>
              </c:numCache>
            </c:numRef>
          </c:val>
          <c:extLst>
            <c:ext xmlns:c16="http://schemas.microsoft.com/office/drawing/2014/chart" uri="{C3380CC4-5D6E-409C-BE32-E72D297353CC}">
              <c16:uniqueId val="{00000002-30D5-4FCE-8316-FD23DA265545}"/>
            </c:ext>
          </c:extLst>
        </c:ser>
        <c:ser>
          <c:idx val="3"/>
          <c:order val="3"/>
          <c:tx>
            <c:strRef>
              <c:f>Output_charts!$AS$207</c:f>
              <c:strCache>
                <c:ptCount val="1"/>
                <c:pt idx="0">
                  <c:v> Fall Above 0 </c:v>
                </c:pt>
              </c:strCache>
            </c:strRef>
          </c:tx>
          <c:spPr>
            <a:solidFill>
              <a:srgbClr val="C00000"/>
            </a:solidFill>
          </c:spPr>
          <c:invertIfNegative val="0"/>
          <c:cat>
            <c:strRef>
              <c:f>Output_charts!$AH$208:$AH$218</c:f>
              <c:strCache>
                <c:ptCount val="11"/>
                <c:pt idx="0">
                  <c:v>Capex</c:v>
                </c:pt>
                <c:pt idx="1">
                  <c:v>Regulatory revenue</c:v>
                </c:pt>
                <c:pt idx="2">
                  <c:v>Capex benefits (CESS)</c:v>
                </c:pt>
                <c:pt idx="3">
                  <c:v>Development opex</c:v>
                </c:pt>
                <c:pt idx="4">
                  <c:v>Opex (EBSS)</c:v>
                </c:pt>
                <c:pt idx="5">
                  <c:v>STPIS</c:v>
                </c:pt>
                <c:pt idx="6">
                  <c:v>Other incentives</c:v>
                </c:pt>
                <c:pt idx="7">
                  <c:v>Unregulated revenue</c:v>
                </c:pt>
                <c:pt idx="8">
                  <c:v>Cash  NPV</c:v>
                </c:pt>
                <c:pt idx="9">
                  <c:v>Probabilistic benefits</c:v>
                </c:pt>
                <c:pt idx="10">
                  <c:v> Total Shareholder </c:v>
                </c:pt>
              </c:strCache>
            </c:strRef>
          </c:cat>
          <c:val>
            <c:numRef>
              <c:f>Output_charts!$AS$208:$AS$218</c:f>
              <c:numCache>
                <c:formatCode>_-* #,##0.0_-;\(#,##0.0\);_-* "-"??_-;_-@_-</c:formatCode>
                <c:ptCount val="11"/>
                <c:pt idx="1">
                  <c:v>0</c:v>
                </c:pt>
                <c:pt idx="2">
                  <c:v>0</c:v>
                </c:pt>
                <c:pt idx="3">
                  <c:v>0</c:v>
                </c:pt>
                <c:pt idx="4">
                  <c:v>0</c:v>
                </c:pt>
                <c:pt idx="5">
                  <c:v>0</c:v>
                </c:pt>
                <c:pt idx="6">
                  <c:v>0</c:v>
                </c:pt>
                <c:pt idx="7">
                  <c:v>0</c:v>
                </c:pt>
                <c:pt idx="9">
                  <c:v>0</c:v>
                </c:pt>
              </c:numCache>
            </c:numRef>
          </c:val>
          <c:extLst>
            <c:ext xmlns:c16="http://schemas.microsoft.com/office/drawing/2014/chart" uri="{C3380CC4-5D6E-409C-BE32-E72D297353CC}">
              <c16:uniqueId val="{00000003-30D5-4FCE-8316-FD23DA265545}"/>
            </c:ext>
          </c:extLst>
        </c:ser>
        <c:ser>
          <c:idx val="4"/>
          <c:order val="4"/>
          <c:tx>
            <c:strRef>
              <c:f>Output_charts!$AT$207</c:f>
              <c:strCache>
                <c:ptCount val="1"/>
                <c:pt idx="0">
                  <c:v> Rise below 0 </c:v>
                </c:pt>
              </c:strCache>
            </c:strRef>
          </c:tx>
          <c:spPr>
            <a:solidFill>
              <a:srgbClr val="70AD47"/>
            </a:solidFill>
          </c:spPr>
          <c:invertIfNegative val="0"/>
          <c:cat>
            <c:strRef>
              <c:f>Output_charts!$AH$208:$AH$218</c:f>
              <c:strCache>
                <c:ptCount val="11"/>
                <c:pt idx="0">
                  <c:v>Capex</c:v>
                </c:pt>
                <c:pt idx="1">
                  <c:v>Regulatory revenue</c:v>
                </c:pt>
                <c:pt idx="2">
                  <c:v>Capex benefits (CESS)</c:v>
                </c:pt>
                <c:pt idx="3">
                  <c:v>Development opex</c:v>
                </c:pt>
                <c:pt idx="4">
                  <c:v>Opex (EBSS)</c:v>
                </c:pt>
                <c:pt idx="5">
                  <c:v>STPIS</c:v>
                </c:pt>
                <c:pt idx="6">
                  <c:v>Other incentives</c:v>
                </c:pt>
                <c:pt idx="7">
                  <c:v>Unregulated revenue</c:v>
                </c:pt>
                <c:pt idx="8">
                  <c:v>Cash  NPV</c:v>
                </c:pt>
                <c:pt idx="9">
                  <c:v>Probabilistic benefits</c:v>
                </c:pt>
                <c:pt idx="10">
                  <c:v> Total Shareholder </c:v>
                </c:pt>
              </c:strCache>
            </c:strRef>
          </c:cat>
          <c:val>
            <c:numRef>
              <c:f>Output_charts!$AT$208:$AT$218</c:f>
              <c:numCache>
                <c:formatCode>_-* #,##0.0_-;\(#,##0.0\);_-* "-"??_-;_-@_-</c:formatCode>
                <c:ptCount val="11"/>
                <c:pt idx="1">
                  <c:v>-12.938751245002702</c:v>
                </c:pt>
                <c:pt idx="2">
                  <c:v>0</c:v>
                </c:pt>
                <c:pt idx="3">
                  <c:v>0</c:v>
                </c:pt>
                <c:pt idx="4">
                  <c:v>0</c:v>
                </c:pt>
                <c:pt idx="5">
                  <c:v>0</c:v>
                </c:pt>
                <c:pt idx="6">
                  <c:v>0</c:v>
                </c:pt>
                <c:pt idx="7">
                  <c:v>0</c:v>
                </c:pt>
                <c:pt idx="9">
                  <c:v>0</c:v>
                </c:pt>
              </c:numCache>
            </c:numRef>
          </c:val>
          <c:extLst>
            <c:ext xmlns:c16="http://schemas.microsoft.com/office/drawing/2014/chart" uri="{C3380CC4-5D6E-409C-BE32-E72D297353CC}">
              <c16:uniqueId val="{00000004-30D5-4FCE-8316-FD23DA265545}"/>
            </c:ext>
          </c:extLst>
        </c:ser>
        <c:ser>
          <c:idx val="5"/>
          <c:order val="5"/>
          <c:tx>
            <c:strRef>
              <c:f>Output_charts!$AU$207</c:f>
              <c:strCache>
                <c:ptCount val="1"/>
                <c:pt idx="0">
                  <c:v> Fall Below 0 </c:v>
                </c:pt>
              </c:strCache>
            </c:strRef>
          </c:tx>
          <c:spPr>
            <a:solidFill>
              <a:srgbClr val="C00000"/>
            </a:solidFill>
          </c:spPr>
          <c:invertIfNegative val="0"/>
          <c:cat>
            <c:strRef>
              <c:f>Output_charts!$AH$208:$AH$218</c:f>
              <c:strCache>
                <c:ptCount val="11"/>
                <c:pt idx="0">
                  <c:v>Capex</c:v>
                </c:pt>
                <c:pt idx="1">
                  <c:v>Regulatory revenue</c:v>
                </c:pt>
                <c:pt idx="2">
                  <c:v>Capex benefits (CESS)</c:v>
                </c:pt>
                <c:pt idx="3">
                  <c:v>Development opex</c:v>
                </c:pt>
                <c:pt idx="4">
                  <c:v>Opex (EBSS)</c:v>
                </c:pt>
                <c:pt idx="5">
                  <c:v>STPIS</c:v>
                </c:pt>
                <c:pt idx="6">
                  <c:v>Other incentives</c:v>
                </c:pt>
                <c:pt idx="7">
                  <c:v>Unregulated revenue</c:v>
                </c:pt>
                <c:pt idx="8">
                  <c:v>Cash  NPV</c:v>
                </c:pt>
                <c:pt idx="9">
                  <c:v>Probabilistic benefits</c:v>
                </c:pt>
                <c:pt idx="10">
                  <c:v> Total Shareholder </c:v>
                </c:pt>
              </c:strCache>
            </c:strRef>
          </c:cat>
          <c:val>
            <c:numRef>
              <c:f>Output_charts!$AU$208:$AU$218</c:f>
              <c:numCache>
                <c:formatCode>_-* #,##0.0_-;\(#,##0.0\);_-* "-"??_-;_-@_-</c:formatCode>
                <c:ptCount val="11"/>
                <c:pt idx="0">
                  <c:v>-12.938751245002702</c:v>
                </c:pt>
                <c:pt idx="1">
                  <c:v>0</c:v>
                </c:pt>
                <c:pt idx="2">
                  <c:v>0</c:v>
                </c:pt>
                <c:pt idx="3">
                  <c:v>0</c:v>
                </c:pt>
                <c:pt idx="4">
                  <c:v>0</c:v>
                </c:pt>
                <c:pt idx="5">
                  <c:v>0</c:v>
                </c:pt>
                <c:pt idx="6">
                  <c:v>0</c:v>
                </c:pt>
                <c:pt idx="7">
                  <c:v>0</c:v>
                </c:pt>
                <c:pt idx="9">
                  <c:v>0</c:v>
                </c:pt>
              </c:numCache>
            </c:numRef>
          </c:val>
          <c:extLst>
            <c:ext xmlns:c16="http://schemas.microsoft.com/office/drawing/2014/chart" uri="{C3380CC4-5D6E-409C-BE32-E72D297353CC}">
              <c16:uniqueId val="{00000005-30D5-4FCE-8316-FD23DA265545}"/>
            </c:ext>
          </c:extLst>
        </c:ser>
        <c:dLbls>
          <c:showLegendKey val="0"/>
          <c:showVal val="0"/>
          <c:showCatName val="0"/>
          <c:showSerName val="0"/>
          <c:showPercent val="0"/>
          <c:showBubbleSize val="0"/>
        </c:dLbls>
        <c:gapWidth val="40"/>
        <c:overlap val="100"/>
        <c:axId val="667380848"/>
        <c:axId val="667385160"/>
      </c:barChart>
      <c:lineChart>
        <c:grouping val="standard"/>
        <c:varyColors val="0"/>
        <c:ser>
          <c:idx val="6"/>
          <c:order val="6"/>
          <c:tx>
            <c:strRef>
              <c:f>Output_charts!$AV$207</c:f>
              <c:strCache>
                <c:ptCount val="1"/>
                <c:pt idx="0">
                  <c:v> Rise labels </c:v>
                </c:pt>
              </c:strCache>
            </c:strRef>
          </c:tx>
          <c:spPr>
            <a:ln>
              <a:noFill/>
            </a:ln>
          </c:spPr>
          <c:marker>
            <c:symbol val="none"/>
          </c:marker>
          <c:dLbls>
            <c:dLbl>
              <c:idx val="0"/>
              <c:tx>
                <c:strRef>
                  <c:f>Output_charts!$AN$208</c:f>
                  <c:strCache>
                    <c:ptCount val="1"/>
                    <c:pt idx="0">
                      <c:v>(12.9)</c:v>
                    </c:pt>
                  </c:strCache>
                </c:strRef>
              </c:tx>
              <c:dLblPos val="t"/>
              <c:showLegendKey val="0"/>
              <c:showVal val="1"/>
              <c:showCatName val="0"/>
              <c:showSerName val="0"/>
              <c:showPercent val="0"/>
              <c:showBubbleSize val="0"/>
              <c:extLst>
                <c:ext xmlns:c15="http://schemas.microsoft.com/office/drawing/2012/chart" uri="{CE6537A1-D6FC-4f65-9D91-7224C49458BB}">
                  <c15:dlblFieldTable>
                    <c15:dlblFTEntry>
                      <c15:txfldGUID>{2C4BE744-F2CE-4840-A80E-D538562A1292}</c15:txfldGUID>
                      <c15:f>Output_charts!$AN$208</c15:f>
                      <c15:dlblFieldTableCache>
                        <c:ptCount val="1"/>
                        <c:pt idx="0">
                          <c:v>(12.9)</c:v>
                        </c:pt>
                      </c15:dlblFieldTableCache>
                    </c15:dlblFTEntry>
                  </c15:dlblFieldTable>
                  <c15:showDataLabelsRange val="0"/>
                </c:ext>
                <c:ext xmlns:c16="http://schemas.microsoft.com/office/drawing/2014/chart" uri="{C3380CC4-5D6E-409C-BE32-E72D297353CC}">
                  <c16:uniqueId val="{00000000-E77D-4BD7-9357-D928F2CAE514}"/>
                </c:ext>
              </c:extLst>
            </c:dLbl>
            <c:dLbl>
              <c:idx val="1"/>
              <c:tx>
                <c:strRef>
                  <c:f>Output_charts!$AN$209</c:f>
                  <c:strCache>
                    <c:ptCount val="1"/>
                    <c:pt idx="0">
                      <c:v> 13.4 </c:v>
                    </c:pt>
                  </c:strCache>
                </c:strRef>
              </c:tx>
              <c:dLblPos val="t"/>
              <c:showLegendKey val="0"/>
              <c:showVal val="1"/>
              <c:showCatName val="0"/>
              <c:showSerName val="0"/>
              <c:showPercent val="0"/>
              <c:showBubbleSize val="0"/>
              <c:extLst>
                <c:ext xmlns:c15="http://schemas.microsoft.com/office/drawing/2012/chart" uri="{CE6537A1-D6FC-4f65-9D91-7224C49458BB}">
                  <c15:dlblFieldTable>
                    <c15:dlblFTEntry>
                      <c15:txfldGUID>{0DFA857F-235C-4C6E-A4A9-288EF94D1AC9}</c15:txfldGUID>
                      <c15:f>Output_charts!$AN$209</c15:f>
                      <c15:dlblFieldTableCache>
                        <c:ptCount val="1"/>
                        <c:pt idx="0">
                          <c:v> 13.4 </c:v>
                        </c:pt>
                      </c15:dlblFieldTableCache>
                    </c15:dlblFTEntry>
                  </c15:dlblFieldTable>
                  <c15:showDataLabelsRange val="1"/>
                </c:ext>
                <c:ext xmlns:c16="http://schemas.microsoft.com/office/drawing/2014/chart" uri="{C3380CC4-5D6E-409C-BE32-E72D297353CC}">
                  <c16:uniqueId val="{00000001-E77D-4BD7-9357-D928F2CAE514}"/>
                </c:ext>
              </c:extLst>
            </c:dLbl>
            <c:dLbl>
              <c:idx val="2"/>
              <c:tx>
                <c:strRef>
                  <c:f>Output_charts!$AN$210</c:f>
                  <c:strCache>
                    <c:ptCount val="1"/>
                    <c:pt idx="0">
                      <c:v> 0.2 </c:v>
                    </c:pt>
                  </c:strCache>
                </c:strRef>
              </c:tx>
              <c:dLblPos val="t"/>
              <c:showLegendKey val="0"/>
              <c:showVal val="1"/>
              <c:showCatName val="0"/>
              <c:showSerName val="0"/>
              <c:showPercent val="0"/>
              <c:showBubbleSize val="0"/>
              <c:extLst>
                <c:ext xmlns:c15="http://schemas.microsoft.com/office/drawing/2012/chart" uri="{CE6537A1-D6FC-4f65-9D91-7224C49458BB}">
                  <c15:dlblFieldTable>
                    <c15:dlblFTEntry>
                      <c15:txfldGUID>{C578FABC-4DFF-4BCE-89EB-98630818437E}</c15:txfldGUID>
                      <c15:f>Output_charts!$AN$210</c15:f>
                      <c15:dlblFieldTableCache>
                        <c:ptCount val="1"/>
                        <c:pt idx="0">
                          <c:v> 0.2 </c:v>
                        </c:pt>
                      </c15:dlblFieldTableCache>
                    </c15:dlblFTEntry>
                  </c15:dlblFieldTable>
                  <c15:showDataLabelsRange val="1"/>
                </c:ext>
                <c:ext xmlns:c16="http://schemas.microsoft.com/office/drawing/2014/chart" uri="{C3380CC4-5D6E-409C-BE32-E72D297353CC}">
                  <c16:uniqueId val="{00000002-E77D-4BD7-9357-D928F2CAE514}"/>
                </c:ext>
              </c:extLst>
            </c:dLbl>
            <c:dLbl>
              <c:idx val="3"/>
              <c:tx>
                <c:strRef>
                  <c:f>Output_charts!$AN$211</c:f>
                  <c:strCache>
                    <c:ptCount val="1"/>
                    <c:pt idx="0">
                      <c:v> 1.2 </c:v>
                    </c:pt>
                  </c:strCache>
                </c:strRef>
              </c:tx>
              <c:dLblPos val="t"/>
              <c:showLegendKey val="0"/>
              <c:showVal val="1"/>
              <c:showCatName val="0"/>
              <c:showSerName val="0"/>
              <c:showPercent val="0"/>
              <c:showBubbleSize val="0"/>
              <c:extLst>
                <c:ext xmlns:c15="http://schemas.microsoft.com/office/drawing/2012/chart" uri="{CE6537A1-D6FC-4f65-9D91-7224C49458BB}">
                  <c15:dlblFieldTable>
                    <c15:dlblFTEntry>
                      <c15:txfldGUID>{8CD751E0-8495-475D-B31C-15653282157C}</c15:txfldGUID>
                      <c15:f>Output_charts!$AN$211</c15:f>
                      <c15:dlblFieldTableCache>
                        <c:ptCount val="1"/>
                        <c:pt idx="0">
                          <c:v> 1.2 </c:v>
                        </c:pt>
                      </c15:dlblFieldTableCache>
                    </c15:dlblFTEntry>
                  </c15:dlblFieldTable>
                  <c15:showDataLabelsRange val="1"/>
                </c:ext>
                <c:ext xmlns:c16="http://schemas.microsoft.com/office/drawing/2014/chart" uri="{C3380CC4-5D6E-409C-BE32-E72D297353CC}">
                  <c16:uniqueId val="{00000009-30D5-4FCE-8316-FD23DA265545}"/>
                </c:ext>
              </c:extLst>
            </c:dLbl>
            <c:dLbl>
              <c:idx val="4"/>
              <c:tx>
                <c:strRef>
                  <c:f>Output_charts!$AN$212</c:f>
                  <c:strCache>
                    <c:ptCount val="1"/>
                    <c:pt idx="0">
                      <c:v> -   </c:v>
                    </c:pt>
                  </c:strCache>
                </c:strRef>
              </c:tx>
              <c:dLblPos val="t"/>
              <c:showLegendKey val="0"/>
              <c:showVal val="1"/>
              <c:showCatName val="0"/>
              <c:showSerName val="0"/>
              <c:showPercent val="0"/>
              <c:showBubbleSize val="0"/>
              <c:extLst>
                <c:ext xmlns:c15="http://schemas.microsoft.com/office/drawing/2012/chart" uri="{CE6537A1-D6FC-4f65-9D91-7224C49458BB}">
                  <c15:dlblFieldTable>
                    <c15:dlblFTEntry>
                      <c15:txfldGUID>{B3F9C0C1-36D9-448B-BB8E-64872213A1CF}</c15:txfldGUID>
                      <c15:f>Output_charts!$AN$212</c15:f>
                      <c15:dlblFieldTableCache>
                        <c:ptCount val="1"/>
                        <c:pt idx="0">
                          <c:v> -   </c:v>
                        </c:pt>
                      </c15:dlblFieldTableCache>
                    </c15:dlblFTEntry>
                  </c15:dlblFieldTable>
                  <c15:showDataLabelsRange val="1"/>
                </c:ext>
                <c:ext xmlns:c16="http://schemas.microsoft.com/office/drawing/2014/chart" uri="{C3380CC4-5D6E-409C-BE32-E72D297353CC}">
                  <c16:uniqueId val="{00000003-E77D-4BD7-9357-D928F2CAE514}"/>
                </c:ext>
              </c:extLst>
            </c:dLbl>
            <c:dLbl>
              <c:idx val="5"/>
              <c:tx>
                <c:strRef>
                  <c:f>Output_charts!$AN$213</c:f>
                  <c:strCache>
                    <c:ptCount val="1"/>
                    <c:pt idx="0">
                      <c:v> -   </c:v>
                    </c:pt>
                  </c:strCache>
                </c:strRef>
              </c:tx>
              <c:dLblPos val="t"/>
              <c:showLegendKey val="0"/>
              <c:showVal val="1"/>
              <c:showCatName val="0"/>
              <c:showSerName val="0"/>
              <c:showPercent val="0"/>
              <c:showBubbleSize val="0"/>
              <c:extLst>
                <c:ext xmlns:c15="http://schemas.microsoft.com/office/drawing/2012/chart" uri="{CE6537A1-D6FC-4f65-9D91-7224C49458BB}">
                  <c15:dlblFieldTable>
                    <c15:dlblFTEntry>
                      <c15:txfldGUID>{165A2939-3F8A-4509-B8AC-67EE0CDFFC42}</c15:txfldGUID>
                      <c15:f>Output_charts!$AN$213</c15:f>
                      <c15:dlblFieldTableCache>
                        <c:ptCount val="1"/>
                        <c:pt idx="0">
                          <c:v> -   </c:v>
                        </c:pt>
                      </c15:dlblFieldTableCache>
                    </c15:dlblFTEntry>
                  </c15:dlblFieldTable>
                  <c15:showDataLabelsRange val="0"/>
                </c:ext>
                <c:ext xmlns:c16="http://schemas.microsoft.com/office/drawing/2014/chart" uri="{C3380CC4-5D6E-409C-BE32-E72D297353CC}">
                  <c16:uniqueId val="{00000004-E77D-4BD7-9357-D928F2CAE514}"/>
                </c:ext>
              </c:extLst>
            </c:dLbl>
            <c:dLbl>
              <c:idx val="6"/>
              <c:tx>
                <c:strRef>
                  <c:f>Output_charts!$AN$214</c:f>
                  <c:strCache>
                    <c:ptCount val="1"/>
                    <c:pt idx="0">
                      <c:v> -   </c:v>
                    </c:pt>
                  </c:strCache>
                </c:strRef>
              </c:tx>
              <c:dLblPos val="t"/>
              <c:showLegendKey val="0"/>
              <c:showVal val="1"/>
              <c:showCatName val="0"/>
              <c:showSerName val="0"/>
              <c:showPercent val="0"/>
              <c:showBubbleSize val="0"/>
              <c:extLst>
                <c:ext xmlns:c15="http://schemas.microsoft.com/office/drawing/2012/chart" uri="{CE6537A1-D6FC-4f65-9D91-7224C49458BB}">
                  <c15:dlblFieldTable>
                    <c15:dlblFTEntry>
                      <c15:txfldGUID>{EC2159C2-D5CC-43A9-AFE3-2F8B1AAB0CB8}</c15:txfldGUID>
                      <c15:f>Output_charts!$AN$214</c15:f>
                      <c15:dlblFieldTableCache>
                        <c:ptCount val="1"/>
                        <c:pt idx="0">
                          <c:v> -   </c:v>
                        </c:pt>
                      </c15:dlblFieldTableCache>
                    </c15:dlblFTEntry>
                  </c15:dlblFieldTable>
                  <c15:showDataLabelsRange val="1"/>
                </c:ext>
                <c:ext xmlns:c16="http://schemas.microsoft.com/office/drawing/2014/chart" uri="{C3380CC4-5D6E-409C-BE32-E72D297353CC}">
                  <c16:uniqueId val="{00000005-E77D-4BD7-9357-D928F2CAE514}"/>
                </c:ext>
              </c:extLst>
            </c:dLbl>
            <c:dLbl>
              <c:idx val="7"/>
              <c:tx>
                <c:strRef>
                  <c:f>Output_charts!$AN$215</c:f>
                  <c:strCache>
                    <c:ptCount val="1"/>
                    <c:pt idx="0">
                      <c:v> -   </c:v>
                    </c:pt>
                  </c:strCache>
                </c:strRef>
              </c:tx>
              <c:dLblPos val="t"/>
              <c:showLegendKey val="0"/>
              <c:showVal val="1"/>
              <c:showCatName val="0"/>
              <c:showSerName val="0"/>
              <c:showPercent val="0"/>
              <c:showBubbleSize val="0"/>
              <c:extLst>
                <c:ext xmlns:c15="http://schemas.microsoft.com/office/drawing/2012/chart" uri="{CE6537A1-D6FC-4f65-9D91-7224C49458BB}">
                  <c15:dlblFieldTable>
                    <c15:dlblFTEntry>
                      <c15:txfldGUID>{3239A366-F5EC-412E-B3F8-85F6B3F28242}</c15:txfldGUID>
                      <c15:f>Output_charts!$AN$215</c15:f>
                      <c15:dlblFieldTableCache>
                        <c:ptCount val="1"/>
                        <c:pt idx="0">
                          <c:v> -   </c:v>
                        </c:pt>
                      </c15:dlblFieldTableCache>
                    </c15:dlblFTEntry>
                  </c15:dlblFieldTable>
                  <c15:showDataLabelsRange val="1"/>
                </c:ext>
                <c:ext xmlns:c16="http://schemas.microsoft.com/office/drawing/2014/chart" uri="{C3380CC4-5D6E-409C-BE32-E72D297353CC}">
                  <c16:uniqueId val="{00000006-E77D-4BD7-9357-D928F2CAE514}"/>
                </c:ext>
              </c:extLst>
            </c:dLbl>
            <c:dLbl>
              <c:idx val="8"/>
              <c:tx>
                <c:strRef>
                  <c:f>Output_charts!$AN$216</c:f>
                  <c:strCache>
                    <c:ptCount val="1"/>
                    <c:pt idx="0">
                      <c:v> 1.8 </c:v>
                    </c:pt>
                  </c:strCache>
                </c:strRef>
              </c:tx>
              <c:dLblPos val="t"/>
              <c:showLegendKey val="0"/>
              <c:showVal val="0"/>
              <c:showCatName val="0"/>
              <c:showSerName val="0"/>
              <c:showPercent val="0"/>
              <c:showBubbleSize val="0"/>
              <c:extLst>
                <c:ext xmlns:c15="http://schemas.microsoft.com/office/drawing/2012/chart" uri="{CE6537A1-D6FC-4f65-9D91-7224C49458BB}">
                  <c15:dlblFieldTable>
                    <c15:dlblFTEntry>
                      <c15:txfldGUID>{13D29D36-1A8D-4A43-872E-1ABFDEECE995}</c15:txfldGUID>
                      <c15:f>Output_charts!$AN$216</c15:f>
                      <c15:dlblFieldTableCache>
                        <c:ptCount val="1"/>
                        <c:pt idx="0">
                          <c:v> 1.8 </c:v>
                        </c:pt>
                      </c15:dlblFieldTableCache>
                    </c15:dlblFTEntry>
                  </c15:dlblFieldTable>
                  <c15:showDataLabelsRange val="0"/>
                </c:ext>
                <c:ext xmlns:c16="http://schemas.microsoft.com/office/drawing/2014/chart" uri="{C3380CC4-5D6E-409C-BE32-E72D297353CC}">
                  <c16:uniqueId val="{0000000C-30D5-4FCE-8316-FD23DA265545}"/>
                </c:ext>
              </c:extLst>
            </c:dLbl>
            <c:dLbl>
              <c:idx val="9"/>
              <c:tx>
                <c:strRef>
                  <c:f>Output_charts!$AN$217</c:f>
                  <c:strCache>
                    <c:ptCount val="1"/>
                    <c:pt idx="0">
                      <c:v> -   </c:v>
                    </c:pt>
                  </c:strCache>
                </c:strRef>
              </c:tx>
              <c:dLblPos val="t"/>
              <c:showLegendKey val="0"/>
              <c:showVal val="1"/>
              <c:showCatName val="0"/>
              <c:showSerName val="0"/>
              <c:showPercent val="0"/>
              <c:showBubbleSize val="0"/>
              <c:extLst>
                <c:ext xmlns:c15="http://schemas.microsoft.com/office/drawing/2012/chart" uri="{CE6537A1-D6FC-4f65-9D91-7224C49458BB}">
                  <c15:dlblFieldTable>
                    <c15:dlblFTEntry>
                      <c15:txfldGUID>{9F08EB31-C525-4F05-8B75-E825824D75D2}</c15:txfldGUID>
                      <c15:f>Output_charts!$AN$217</c15:f>
                      <c15:dlblFieldTableCache>
                        <c:ptCount val="1"/>
                        <c:pt idx="0">
                          <c:v> -   </c:v>
                        </c:pt>
                      </c15:dlblFieldTableCache>
                    </c15:dlblFTEntry>
                  </c15:dlblFieldTable>
                  <c15:showDataLabelsRange val="1"/>
                </c:ext>
                <c:ext xmlns:c16="http://schemas.microsoft.com/office/drawing/2014/chart" uri="{C3380CC4-5D6E-409C-BE32-E72D297353CC}">
                  <c16:uniqueId val="{00000000-D8C5-4E73-8BA8-1C69CA518C2F}"/>
                </c:ext>
              </c:extLst>
            </c:dLbl>
            <c:dLbl>
              <c:idx val="10"/>
              <c:tx>
                <c:strRef>
                  <c:f>Output_charts!$AP$218</c:f>
                  <c:strCache>
                    <c:ptCount val="1"/>
                    <c:pt idx="0">
                      <c:v> 1.8 </c:v>
                    </c:pt>
                  </c:strCache>
                </c:strRef>
              </c:tx>
              <c:dLblPos val="t"/>
              <c:showLegendKey val="0"/>
              <c:showVal val="1"/>
              <c:showCatName val="0"/>
              <c:showSerName val="0"/>
              <c:showPercent val="0"/>
              <c:showBubbleSize val="0"/>
              <c:extLst>
                <c:ext xmlns:c15="http://schemas.microsoft.com/office/drawing/2012/chart" uri="{CE6537A1-D6FC-4f65-9D91-7224C49458BB}">
                  <c15:dlblFieldTable>
                    <c15:dlblFTEntry>
                      <c15:txfldGUID>{A85F1042-17ED-4406-9C8C-89B99B07D780}</c15:txfldGUID>
                      <c15:f>Output_charts!$AP$218</c15:f>
                      <c15:dlblFieldTableCache>
                        <c:ptCount val="1"/>
                        <c:pt idx="0">
                          <c:v> 1.8 </c:v>
                        </c:pt>
                      </c15:dlblFieldTableCache>
                    </c15:dlblFTEntry>
                  </c15:dlblFieldTable>
                  <c15:showDataLabelsRange val="1"/>
                </c:ext>
                <c:ext xmlns:c16="http://schemas.microsoft.com/office/drawing/2014/chart" uri="{C3380CC4-5D6E-409C-BE32-E72D297353CC}">
                  <c16:uniqueId val="{00000001-D8C5-4E73-8BA8-1C69CA518C2F}"/>
                </c:ext>
              </c:extLst>
            </c:dLbl>
            <c:spPr>
              <a:noFill/>
              <a:ln>
                <a:noFill/>
              </a:ln>
              <a:effectLst/>
            </c:spPr>
            <c:txPr>
              <a:bodyPr/>
              <a:lstStyle/>
              <a:p>
                <a:pPr>
                  <a:defRPr sz="2400">
                    <a:solidFill>
                      <a:schemeClr val="accent6">
                        <a:lumMod val="50000"/>
                      </a:schemeClr>
                    </a:solidFill>
                    <a:latin typeface="+mn-lt"/>
                  </a:defRPr>
                </a:pPr>
                <a:endParaRPr lang="en-US"/>
              </a:p>
            </c:txPr>
            <c:dLblPos val="t"/>
            <c:showLegendKey val="0"/>
            <c:showVal val="1"/>
            <c:showCatName val="0"/>
            <c:showSerName val="0"/>
            <c:showPercent val="0"/>
            <c:showBubbleSize val="0"/>
            <c:showLeaderLines val="0"/>
            <c:extLst>
              <c:ext xmlns:c15="http://schemas.microsoft.com/office/drawing/2012/chart" uri="{CE6537A1-D6FC-4f65-9D91-7224C49458BB}">
                <c15:showDataLabelsRange val="1"/>
                <c15:showLeaderLines val="0"/>
              </c:ext>
            </c:extLst>
          </c:dLbls>
          <c:val>
            <c:numRef>
              <c:f>Output_charts!$AV$208:$AV$218</c:f>
              <c:numCache>
                <c:formatCode>_-* #,##0.0_-;\(#,##0.0\);_-* "-"??_-;_-@_-</c:formatCode>
                <c:ptCount val="11"/>
                <c:pt idx="0">
                  <c:v>#N/A</c:v>
                </c:pt>
                <c:pt idx="1">
                  <c:v>0.49380327212313802</c:v>
                </c:pt>
                <c:pt idx="2">
                  <c:v>0.65665012642696663</c:v>
                </c:pt>
                <c:pt idx="3">
                  <c:v>1.8370865324672654</c:v>
                </c:pt>
                <c:pt idx="4">
                  <c:v>1.8370865324672654</c:v>
                </c:pt>
                <c:pt idx="5">
                  <c:v>1.8370865324672654</c:v>
                </c:pt>
                <c:pt idx="6">
                  <c:v>1.8370865324672654</c:v>
                </c:pt>
                <c:pt idx="7">
                  <c:v>1.8370865324672654</c:v>
                </c:pt>
                <c:pt idx="8">
                  <c:v>1.8370865324672654</c:v>
                </c:pt>
                <c:pt idx="9">
                  <c:v>1.8370865324672654</c:v>
                </c:pt>
                <c:pt idx="10">
                  <c:v>1.8370865324672654</c:v>
                </c:pt>
              </c:numCache>
            </c:numRef>
          </c:val>
          <c:smooth val="0"/>
          <c:extLst>
            <c:ext xmlns:c15="http://schemas.microsoft.com/office/drawing/2012/chart" uri="{02D57815-91ED-43cb-92C2-25804820EDAC}">
              <c15:datalabelsRange>
                <c15:f>Output_charts!$AN$208:$AN$218</c15:f>
                <c15:dlblRangeCache>
                  <c:ptCount val="11"/>
                  <c:pt idx="0">
                    <c:v>(12.9)</c:v>
                  </c:pt>
                  <c:pt idx="1">
                    <c:v> 13.4 </c:v>
                  </c:pt>
                  <c:pt idx="2">
                    <c:v> 0.2 </c:v>
                  </c:pt>
                  <c:pt idx="3">
                    <c:v> 1.2 </c:v>
                  </c:pt>
                  <c:pt idx="4">
                    <c:v> -   </c:v>
                  </c:pt>
                  <c:pt idx="5">
                    <c:v> -   </c:v>
                  </c:pt>
                  <c:pt idx="6">
                    <c:v> -   </c:v>
                  </c:pt>
                  <c:pt idx="7">
                    <c:v> -   </c:v>
                  </c:pt>
                  <c:pt idx="8">
                    <c:v> 1.8 </c:v>
                  </c:pt>
                  <c:pt idx="9">
                    <c:v> -   </c:v>
                  </c:pt>
                  <c:pt idx="10">
                    <c:v> 1.8 </c:v>
                  </c:pt>
                </c15:dlblRangeCache>
              </c15:datalabelsRange>
            </c:ext>
            <c:ext xmlns:c16="http://schemas.microsoft.com/office/drawing/2014/chart" uri="{C3380CC4-5D6E-409C-BE32-E72D297353CC}">
              <c16:uniqueId val="{00000012-30D5-4FCE-8316-FD23DA265545}"/>
            </c:ext>
          </c:extLst>
        </c:ser>
        <c:ser>
          <c:idx val="7"/>
          <c:order val="7"/>
          <c:tx>
            <c:strRef>
              <c:f>Output_charts!$AW$207</c:f>
              <c:strCache>
                <c:ptCount val="1"/>
                <c:pt idx="0">
                  <c:v> Fall labels </c:v>
                </c:pt>
              </c:strCache>
            </c:strRef>
          </c:tx>
          <c:spPr>
            <a:ln>
              <a:noFill/>
            </a:ln>
          </c:spPr>
          <c:marker>
            <c:symbol val="none"/>
          </c:marker>
          <c:dLbls>
            <c:dLbl>
              <c:idx val="0"/>
              <c:tx>
                <c:strRef>
                  <c:f>Output_charts!$AN$208</c:f>
                  <c:strCache>
                    <c:ptCount val="1"/>
                    <c:pt idx="0">
                      <c:v>(12.9)</c:v>
                    </c:pt>
                  </c:strCache>
                </c:strRef>
              </c:tx>
              <c:dLblPos val="b"/>
              <c:showLegendKey val="0"/>
              <c:showVal val="1"/>
              <c:showCatName val="0"/>
              <c:showSerName val="0"/>
              <c:showPercent val="0"/>
              <c:showBubbleSize val="0"/>
              <c:extLst>
                <c:ext xmlns:c15="http://schemas.microsoft.com/office/drawing/2012/chart" uri="{CE6537A1-D6FC-4f65-9D91-7224C49458BB}">
                  <c15:dlblFieldTable>
                    <c15:dlblFTEntry>
                      <c15:txfldGUID>{9F0C5FE3-EA9C-4BAF-98CA-65D149FCCCB6}</c15:txfldGUID>
                      <c15:f>Output_charts!$AN$208</c15:f>
                      <c15:dlblFieldTableCache>
                        <c:ptCount val="1"/>
                        <c:pt idx="0">
                          <c:v>(12.9)</c:v>
                        </c:pt>
                      </c15:dlblFieldTableCache>
                    </c15:dlblFTEntry>
                  </c15:dlblFieldTable>
                  <c15:showDataLabelsRange val="0"/>
                </c:ext>
                <c:ext xmlns:c16="http://schemas.microsoft.com/office/drawing/2014/chart" uri="{C3380CC4-5D6E-409C-BE32-E72D297353CC}">
                  <c16:uniqueId val="{00000007-E77D-4BD7-9357-D928F2CAE514}"/>
                </c:ext>
              </c:extLst>
            </c:dLbl>
            <c:dLbl>
              <c:idx val="1"/>
              <c:tx>
                <c:strRef>
                  <c:f>Output_charts!$AN$209</c:f>
                  <c:strCache>
                    <c:ptCount val="1"/>
                    <c:pt idx="0">
                      <c:v> 13.4 </c:v>
                    </c:pt>
                  </c:strCache>
                </c:strRef>
              </c:tx>
              <c:dLblPos val="b"/>
              <c:showLegendKey val="0"/>
              <c:showVal val="1"/>
              <c:showCatName val="0"/>
              <c:showSerName val="0"/>
              <c:showPercent val="0"/>
              <c:showBubbleSize val="0"/>
              <c:extLst>
                <c:ext xmlns:c15="http://schemas.microsoft.com/office/drawing/2012/chart" uri="{CE6537A1-D6FC-4f65-9D91-7224C49458BB}">
                  <c15:dlblFieldTable>
                    <c15:dlblFTEntry>
                      <c15:txfldGUID>{97EB8A40-57F5-4FED-8BFE-B869B80D9888}</c15:txfldGUID>
                      <c15:f>Output_charts!$AN$209</c15:f>
                      <c15:dlblFieldTableCache>
                        <c:ptCount val="1"/>
                        <c:pt idx="0">
                          <c:v> 13.4 </c:v>
                        </c:pt>
                      </c15:dlblFieldTableCache>
                    </c15:dlblFTEntry>
                  </c15:dlblFieldTable>
                  <c15:showDataLabelsRange val="0"/>
                </c:ext>
                <c:ext xmlns:c16="http://schemas.microsoft.com/office/drawing/2014/chart" uri="{C3380CC4-5D6E-409C-BE32-E72D297353CC}">
                  <c16:uniqueId val="{00000001-F85D-41F5-A4E7-7C43399821EF}"/>
                </c:ext>
              </c:extLst>
            </c:dLbl>
            <c:dLbl>
              <c:idx val="2"/>
              <c:tx>
                <c:strRef>
                  <c:f>Output_charts!$AN$210</c:f>
                  <c:strCache>
                    <c:ptCount val="1"/>
                    <c:pt idx="0">
                      <c:v> 0.2 </c:v>
                    </c:pt>
                  </c:strCache>
                </c:strRef>
              </c:tx>
              <c:dLblPos val="b"/>
              <c:showLegendKey val="0"/>
              <c:showVal val="1"/>
              <c:showCatName val="0"/>
              <c:showSerName val="0"/>
              <c:showPercent val="0"/>
              <c:showBubbleSize val="0"/>
              <c:extLst>
                <c:ext xmlns:c15="http://schemas.microsoft.com/office/drawing/2012/chart" uri="{CE6537A1-D6FC-4f65-9D91-7224C49458BB}">
                  <c15:dlblFieldTable>
                    <c15:dlblFTEntry>
                      <c15:txfldGUID>{900EFD1E-76AC-41EE-A330-9A75412249E1}</c15:txfldGUID>
                      <c15:f>Output_charts!$AN$210</c15:f>
                      <c15:dlblFieldTableCache>
                        <c:ptCount val="1"/>
                        <c:pt idx="0">
                          <c:v> 0.2 </c:v>
                        </c:pt>
                      </c15:dlblFieldTableCache>
                    </c15:dlblFTEntry>
                  </c15:dlblFieldTable>
                  <c15:showDataLabelsRange val="0"/>
                </c:ext>
                <c:ext xmlns:c16="http://schemas.microsoft.com/office/drawing/2014/chart" uri="{C3380CC4-5D6E-409C-BE32-E72D297353CC}">
                  <c16:uniqueId val="{00000009-E77D-4BD7-9357-D928F2CAE514}"/>
                </c:ext>
              </c:extLst>
            </c:dLbl>
            <c:dLbl>
              <c:idx val="3"/>
              <c:tx>
                <c:strRef>
                  <c:f>Output_charts!$AN$211</c:f>
                  <c:strCache>
                    <c:ptCount val="1"/>
                    <c:pt idx="0">
                      <c:v> 1.2 </c:v>
                    </c:pt>
                  </c:strCache>
                </c:strRef>
              </c:tx>
              <c:dLblPos val="b"/>
              <c:showLegendKey val="0"/>
              <c:showVal val="1"/>
              <c:showCatName val="0"/>
              <c:showSerName val="0"/>
              <c:showPercent val="0"/>
              <c:showBubbleSize val="0"/>
              <c:extLst>
                <c:ext xmlns:c15="http://schemas.microsoft.com/office/drawing/2012/chart" uri="{CE6537A1-D6FC-4f65-9D91-7224C49458BB}">
                  <c15:dlblFieldTable>
                    <c15:dlblFTEntry>
                      <c15:txfldGUID>{ED692F8D-8EB2-41FC-935F-2F0AB15F8EBD}</c15:txfldGUID>
                      <c15:f>Output_charts!$AN$211</c15:f>
                      <c15:dlblFieldTableCache>
                        <c:ptCount val="1"/>
                        <c:pt idx="0">
                          <c:v> 1.2 </c:v>
                        </c:pt>
                      </c15:dlblFieldTableCache>
                    </c15:dlblFTEntry>
                  </c15:dlblFieldTable>
                  <c15:showDataLabelsRange val="0"/>
                </c:ext>
                <c:ext xmlns:c16="http://schemas.microsoft.com/office/drawing/2014/chart" uri="{C3380CC4-5D6E-409C-BE32-E72D297353CC}">
                  <c16:uniqueId val="{00000002-D8C5-4E73-8BA8-1C69CA518C2F}"/>
                </c:ext>
              </c:extLst>
            </c:dLbl>
            <c:dLbl>
              <c:idx val="4"/>
              <c:tx>
                <c:strRef>
                  <c:f>Output_charts!$AN$212</c:f>
                  <c:strCache>
                    <c:ptCount val="1"/>
                    <c:pt idx="0">
                      <c:v> -   </c:v>
                    </c:pt>
                  </c:strCache>
                </c:strRef>
              </c:tx>
              <c:dLblPos val="b"/>
              <c:showLegendKey val="0"/>
              <c:showVal val="1"/>
              <c:showCatName val="0"/>
              <c:showSerName val="0"/>
              <c:showPercent val="0"/>
              <c:showBubbleSize val="0"/>
              <c:extLst>
                <c:ext xmlns:c15="http://schemas.microsoft.com/office/drawing/2012/chart" uri="{CE6537A1-D6FC-4f65-9D91-7224C49458BB}">
                  <c15:dlblFieldTable>
                    <c15:dlblFTEntry>
                      <c15:txfldGUID>{B0035682-656B-4CAF-B2DA-55B861A2B23A}</c15:txfldGUID>
                      <c15:f>Output_charts!$AN$212</c15:f>
                      <c15:dlblFieldTableCache>
                        <c:ptCount val="1"/>
                        <c:pt idx="0">
                          <c:v> -   </c:v>
                        </c:pt>
                      </c15:dlblFieldTableCache>
                    </c15:dlblFTEntry>
                  </c15:dlblFieldTable>
                  <c15:showDataLabelsRange val="0"/>
                </c:ext>
                <c:ext xmlns:c16="http://schemas.microsoft.com/office/drawing/2014/chart" uri="{C3380CC4-5D6E-409C-BE32-E72D297353CC}">
                  <c16:uniqueId val="{00000003-D8C5-4E73-8BA8-1C69CA518C2F}"/>
                </c:ext>
              </c:extLst>
            </c:dLbl>
            <c:dLbl>
              <c:idx val="5"/>
              <c:tx>
                <c:strRef>
                  <c:f>Output_charts!$AN$213</c:f>
                  <c:strCache>
                    <c:ptCount val="1"/>
                    <c:pt idx="0">
                      <c:v> -   </c:v>
                    </c:pt>
                  </c:strCache>
                </c:strRef>
              </c:tx>
              <c:dLblPos val="b"/>
              <c:showLegendKey val="0"/>
              <c:showVal val="1"/>
              <c:showCatName val="0"/>
              <c:showSerName val="0"/>
              <c:showPercent val="0"/>
              <c:showBubbleSize val="0"/>
              <c:extLst>
                <c:ext xmlns:c15="http://schemas.microsoft.com/office/drawing/2012/chart" uri="{CE6537A1-D6FC-4f65-9D91-7224C49458BB}">
                  <c15:dlblFieldTable>
                    <c15:dlblFTEntry>
                      <c15:txfldGUID>{6EA57273-7BFE-4AA5-BC06-14A7ABBB648D}</c15:txfldGUID>
                      <c15:f>Output_charts!$AN$213</c15:f>
                      <c15:dlblFieldTableCache>
                        <c:ptCount val="1"/>
                        <c:pt idx="0">
                          <c:v> -   </c:v>
                        </c:pt>
                      </c15:dlblFieldTableCache>
                    </c15:dlblFTEntry>
                  </c15:dlblFieldTable>
                  <c15:showDataLabelsRange val="0"/>
                </c:ext>
                <c:ext xmlns:c16="http://schemas.microsoft.com/office/drawing/2014/chart" uri="{C3380CC4-5D6E-409C-BE32-E72D297353CC}">
                  <c16:uniqueId val="{0000000B-E77D-4BD7-9357-D928F2CAE514}"/>
                </c:ext>
              </c:extLst>
            </c:dLbl>
            <c:dLbl>
              <c:idx val="7"/>
              <c:tx>
                <c:strRef>
                  <c:f>Output_charts!$AN$215</c:f>
                  <c:strCache>
                    <c:ptCount val="1"/>
                    <c:pt idx="0">
                      <c:v> -   </c:v>
                    </c:pt>
                  </c:strCache>
                </c:strRef>
              </c:tx>
              <c:dLblPos val="b"/>
              <c:showLegendKey val="0"/>
              <c:showVal val="1"/>
              <c:showCatName val="0"/>
              <c:showSerName val="0"/>
              <c:showPercent val="0"/>
              <c:showBubbleSize val="0"/>
              <c:extLst>
                <c:ext xmlns:c15="http://schemas.microsoft.com/office/drawing/2012/chart" uri="{CE6537A1-D6FC-4f65-9D91-7224C49458BB}">
                  <c15:dlblFieldTable>
                    <c15:dlblFTEntry>
                      <c15:txfldGUID>{2712931B-D3CB-40E7-B573-23572785E902}</c15:txfldGUID>
                      <c15:f>Output_charts!$AN$215</c15:f>
                      <c15:dlblFieldTableCache>
                        <c:ptCount val="1"/>
                        <c:pt idx="0">
                          <c:v> -   </c:v>
                        </c:pt>
                      </c15:dlblFieldTableCache>
                    </c15:dlblFTEntry>
                  </c15:dlblFieldTable>
                  <c15:showDataLabelsRange val="0"/>
                </c:ext>
                <c:ext xmlns:c16="http://schemas.microsoft.com/office/drawing/2014/chart" uri="{C3380CC4-5D6E-409C-BE32-E72D297353CC}">
                  <c16:uniqueId val="{00000004-D8C5-4E73-8BA8-1C69CA518C2F}"/>
                </c:ext>
              </c:extLst>
            </c:dLbl>
            <c:dLbl>
              <c:idx val="8"/>
              <c:tx>
                <c:strRef>
                  <c:f>Output_charts!$AN$216</c:f>
                  <c:strCache>
                    <c:ptCount val="1"/>
                    <c:pt idx="0">
                      <c:v> 1.8 </c:v>
                    </c:pt>
                  </c:strCache>
                </c:strRef>
              </c:tx>
              <c:dLblPos val="b"/>
              <c:showLegendKey val="0"/>
              <c:showVal val="1"/>
              <c:showCatName val="0"/>
              <c:showSerName val="0"/>
              <c:showPercent val="0"/>
              <c:showBubbleSize val="0"/>
              <c:extLst>
                <c:ext xmlns:c15="http://schemas.microsoft.com/office/drawing/2012/chart" uri="{CE6537A1-D6FC-4f65-9D91-7224C49458BB}">
                  <c15:dlblFieldTable>
                    <c15:dlblFTEntry>
                      <c15:txfldGUID>{7B21AE9D-1B73-4A30-86D4-3B200265F94E}</c15:txfldGUID>
                      <c15:f>Output_charts!$AN$216</c15:f>
                      <c15:dlblFieldTableCache>
                        <c:ptCount val="1"/>
                        <c:pt idx="0">
                          <c:v> 1.8 </c:v>
                        </c:pt>
                      </c15:dlblFieldTableCache>
                    </c15:dlblFTEntry>
                  </c15:dlblFieldTable>
                  <c15:showDataLabelsRange val="0"/>
                </c:ext>
                <c:ext xmlns:c16="http://schemas.microsoft.com/office/drawing/2014/chart" uri="{C3380CC4-5D6E-409C-BE32-E72D297353CC}">
                  <c16:uniqueId val="{00000019-30D5-4FCE-8316-FD23DA265545}"/>
                </c:ext>
              </c:extLst>
            </c:dLbl>
            <c:dLbl>
              <c:idx val="9"/>
              <c:tx>
                <c:strRef>
                  <c:f>Output_charts!$AN$217</c:f>
                  <c:strCache>
                    <c:ptCount val="1"/>
                    <c:pt idx="0">
                      <c:v> -   </c:v>
                    </c:pt>
                  </c:strCache>
                </c:strRef>
              </c:tx>
              <c:dLblPos val="b"/>
              <c:showLegendKey val="0"/>
              <c:showVal val="1"/>
              <c:showCatName val="0"/>
              <c:showSerName val="0"/>
              <c:showPercent val="0"/>
              <c:showBubbleSize val="0"/>
              <c:extLst>
                <c:ext xmlns:c15="http://schemas.microsoft.com/office/drawing/2012/chart" uri="{CE6537A1-D6FC-4f65-9D91-7224C49458BB}">
                  <c15:dlblFieldTable>
                    <c15:dlblFTEntry>
                      <c15:txfldGUID>{9EBCC388-C2A8-4EFF-80AF-79A4D7C19F63}</c15:txfldGUID>
                      <c15:f>Output_charts!$AN$217</c15:f>
                      <c15:dlblFieldTableCache>
                        <c:ptCount val="1"/>
                        <c:pt idx="0">
                          <c:v> -   </c:v>
                        </c:pt>
                      </c15:dlblFieldTableCache>
                    </c15:dlblFTEntry>
                  </c15:dlblFieldTable>
                  <c15:showDataLabelsRange val="0"/>
                </c:ext>
                <c:ext xmlns:c16="http://schemas.microsoft.com/office/drawing/2014/chart" uri="{C3380CC4-5D6E-409C-BE32-E72D297353CC}">
                  <c16:uniqueId val="{00000007-D8C5-4E73-8BA8-1C69CA518C2F}"/>
                </c:ext>
              </c:extLst>
            </c:dLbl>
            <c:dLbl>
              <c:idx val="10"/>
              <c:tx>
                <c:strRef>
                  <c:f>Output_charts!$AN$218</c:f>
                  <c:strCache>
                    <c:ptCount val="1"/>
                    <c:pt idx="0">
                      <c:v> 1.8 </c:v>
                    </c:pt>
                  </c:strCache>
                </c:strRef>
              </c:tx>
              <c:dLblPos val="b"/>
              <c:showLegendKey val="0"/>
              <c:showVal val="1"/>
              <c:showCatName val="0"/>
              <c:showSerName val="0"/>
              <c:showPercent val="0"/>
              <c:showBubbleSize val="0"/>
              <c:extLst>
                <c:ext xmlns:c15="http://schemas.microsoft.com/office/drawing/2012/chart" uri="{CE6537A1-D6FC-4f65-9D91-7224C49458BB}">
                  <c15:dlblFieldTable>
                    <c15:dlblFTEntry>
                      <c15:txfldGUID>{6A3A299F-D762-4970-ABA6-2099E7FED315}</c15:txfldGUID>
                      <c15:f>Output_charts!$AN$218</c15:f>
                      <c15:dlblFieldTableCache>
                        <c:ptCount val="1"/>
                        <c:pt idx="0">
                          <c:v> 1.8 </c:v>
                        </c:pt>
                      </c15:dlblFieldTableCache>
                    </c15:dlblFTEntry>
                  </c15:dlblFieldTable>
                  <c15:showDataLabelsRange val="0"/>
                </c:ext>
                <c:ext xmlns:c16="http://schemas.microsoft.com/office/drawing/2014/chart" uri="{C3380CC4-5D6E-409C-BE32-E72D297353CC}">
                  <c16:uniqueId val="{00000005-D8C5-4E73-8BA8-1C69CA518C2F}"/>
                </c:ext>
              </c:extLst>
            </c:dLbl>
            <c:spPr>
              <a:noFill/>
              <a:ln>
                <a:noFill/>
              </a:ln>
              <a:effectLst/>
            </c:spPr>
            <c:txPr>
              <a:bodyPr/>
              <a:lstStyle/>
              <a:p>
                <a:pPr>
                  <a:defRPr sz="2400">
                    <a:solidFill>
                      <a:srgbClr val="C00000"/>
                    </a:solidFill>
                    <a:latin typeface="+mn-lt"/>
                  </a:defRPr>
                </a:pPr>
                <a:endParaRPr lang="en-US"/>
              </a:p>
            </c:txPr>
            <c:dLblPos val="b"/>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Output_charts!$AW$208:$AW$218</c:f>
              <c:numCache>
                <c:formatCode>_-* #,##0.0_-;\(#,##0.0\);_-* "-"??_-;_-@_-</c:formatCode>
                <c:ptCount val="11"/>
                <c:pt idx="0">
                  <c:v>-12.938751245002702</c:v>
                </c:pt>
                <c:pt idx="1">
                  <c:v>#N/A</c:v>
                </c:pt>
                <c:pt idx="2">
                  <c:v>#N/A</c:v>
                </c:pt>
                <c:pt idx="3">
                  <c:v>#N/A</c:v>
                </c:pt>
                <c:pt idx="4">
                  <c:v>#N/A</c:v>
                </c:pt>
                <c:pt idx="5">
                  <c:v>#N/A</c:v>
                </c:pt>
                <c:pt idx="6">
                  <c:v>#N/A</c:v>
                </c:pt>
                <c:pt idx="7">
                  <c:v>#N/A</c:v>
                </c:pt>
                <c:pt idx="8">
                  <c:v>#N/A</c:v>
                </c:pt>
                <c:pt idx="9">
                  <c:v>#N/A</c:v>
                </c:pt>
                <c:pt idx="10">
                  <c:v>#N/A</c:v>
                </c:pt>
              </c:numCache>
            </c:numRef>
          </c:val>
          <c:smooth val="0"/>
          <c:extLst>
            <c:ext xmlns:c16="http://schemas.microsoft.com/office/drawing/2014/chart" uri="{C3380CC4-5D6E-409C-BE32-E72D297353CC}">
              <c16:uniqueId val="{0000001F-30D5-4FCE-8316-FD23DA265545}"/>
            </c:ext>
          </c:extLst>
        </c:ser>
        <c:dLbls>
          <c:showLegendKey val="0"/>
          <c:showVal val="0"/>
          <c:showCatName val="0"/>
          <c:showSerName val="0"/>
          <c:showPercent val="0"/>
          <c:showBubbleSize val="0"/>
        </c:dLbls>
        <c:marker val="1"/>
        <c:smooth val="0"/>
        <c:axId val="667380848"/>
        <c:axId val="667385160"/>
      </c:lineChart>
      <c:catAx>
        <c:axId val="667380848"/>
        <c:scaling>
          <c:orientation val="minMax"/>
        </c:scaling>
        <c:delete val="0"/>
        <c:axPos val="b"/>
        <c:numFmt formatCode="General" sourceLinked="0"/>
        <c:majorTickMark val="none"/>
        <c:minorTickMark val="none"/>
        <c:tickLblPos val="low"/>
        <c:spPr>
          <a:noFill/>
          <a:ln w="9525" cap="flat" cmpd="sng" algn="ctr">
            <a:solidFill>
              <a:srgbClr val="7F878D"/>
            </a:solidFill>
            <a:prstDash val="solid"/>
            <a:round/>
          </a:ln>
          <a:effectLst/>
        </c:spPr>
        <c:txPr>
          <a:bodyPr/>
          <a:lstStyle/>
          <a:p>
            <a:pPr>
              <a:defRPr sz="2000">
                <a:solidFill>
                  <a:schemeClr val="tx1"/>
                </a:solidFill>
                <a:latin typeface="+mn-lt"/>
              </a:defRPr>
            </a:pPr>
            <a:endParaRPr lang="en-US"/>
          </a:p>
        </c:txPr>
        <c:crossAx val="667385160"/>
        <c:crosses val="autoZero"/>
        <c:auto val="1"/>
        <c:lblAlgn val="ctr"/>
        <c:lblOffset val="100"/>
        <c:noMultiLvlLbl val="0"/>
      </c:catAx>
      <c:valAx>
        <c:axId val="667385160"/>
        <c:scaling>
          <c:orientation val="minMax"/>
        </c:scaling>
        <c:delete val="1"/>
        <c:axPos val="l"/>
        <c:numFmt formatCode="_-* #,##0_-;\(#,##0\);_-* &quot;-&quot;??_-;_-@_-" sourceLinked="0"/>
        <c:majorTickMark val="none"/>
        <c:minorTickMark val="none"/>
        <c:tickLblPos val="low"/>
        <c:crossAx val="667380848"/>
        <c:crosses val="autoZero"/>
        <c:crossBetween val="between"/>
      </c:valAx>
      <c:spPr>
        <a:noFill/>
        <a:ln w="25400">
          <a:noFill/>
        </a:ln>
      </c:spPr>
    </c:plotArea>
    <c:plotVisOnly val="1"/>
    <c:dispBlanksAs val="gap"/>
    <c:showDLblsOverMax val="0"/>
  </c:chart>
  <c:spPr>
    <a:noFill/>
    <a:ln w="9525">
      <a:noFill/>
    </a:ln>
  </c:spPr>
  <c:txPr>
    <a:bodyPr/>
    <a:lstStyle/>
    <a:p>
      <a:pPr>
        <a:defRPr sz="800" b="0" i="0">
          <a:solidFill>
            <a:srgbClr val="7F878D"/>
          </a:solidFill>
          <a:latin typeface="Malgun Gothic" panose="020B0503020000020004" pitchFamily="34" charset="-127"/>
          <a:ea typeface="Malgun Gothic" panose="020B0503020000020004" pitchFamily="34" charset="-127"/>
          <a:cs typeface="Malgun Gothic"/>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7768333333333388E-3"/>
          <c:y val="4.6294320458463406E-2"/>
          <c:w val="0.98039333333333334"/>
          <c:h val="0.77826093750000003"/>
        </c:manualLayout>
      </c:layout>
      <c:barChart>
        <c:barDir val="col"/>
        <c:grouping val="stacked"/>
        <c:varyColors val="0"/>
        <c:ser>
          <c:idx val="0"/>
          <c:order val="0"/>
          <c:tx>
            <c:strRef>
              <c:f>Output_charts!$AP$242</c:f>
              <c:strCache>
                <c:ptCount val="1"/>
                <c:pt idx="0">
                  <c:v> Bridge </c:v>
                </c:pt>
              </c:strCache>
            </c:strRef>
          </c:tx>
          <c:spPr>
            <a:solidFill>
              <a:srgbClr val="7F7F7F"/>
            </a:solidFill>
          </c:spPr>
          <c:invertIfNegative val="0"/>
          <c:cat>
            <c:strRef>
              <c:f>Output_charts!$AH$243:$AH$252</c:f>
              <c:strCache>
                <c:ptCount val="10"/>
                <c:pt idx="0">
                  <c:v>DUOS</c:v>
                </c:pt>
                <c:pt idx="1">
                  <c:v>Capex benefits (CESS)</c:v>
                </c:pt>
                <c:pt idx="2">
                  <c:v>Development opex</c:v>
                </c:pt>
                <c:pt idx="3">
                  <c:v>Opex (EBSS)</c:v>
                </c:pt>
                <c:pt idx="4">
                  <c:v>STPIS</c:v>
                </c:pt>
                <c:pt idx="5">
                  <c:v>Other costs</c:v>
                </c:pt>
                <c:pt idx="6">
                  <c:v>Unreg revenue</c:v>
                </c:pt>
                <c:pt idx="7">
                  <c:v>Cash NPV</c:v>
                </c:pt>
                <c:pt idx="8">
                  <c:v>Probabilistic benefits</c:v>
                </c:pt>
                <c:pt idx="9">
                  <c:v> Total customer NPV </c:v>
                </c:pt>
              </c:strCache>
            </c:strRef>
          </c:cat>
          <c:val>
            <c:numRef>
              <c:f>Output_charts!$AP$243:$AP$252</c:f>
              <c:numCache>
                <c:formatCode>_-* #,##0.0_-;\(#,##0.0\);_-* "-"??_-;_-@_-</c:formatCode>
                <c:ptCount val="10"/>
                <c:pt idx="7">
                  <c:v>-8.6118891867414966</c:v>
                </c:pt>
                <c:pt idx="9">
                  <c:v>24.642513573929037</c:v>
                </c:pt>
              </c:numCache>
            </c:numRef>
          </c:val>
          <c:extLst>
            <c:ext xmlns:c16="http://schemas.microsoft.com/office/drawing/2014/chart" uri="{C3380CC4-5D6E-409C-BE32-E72D297353CC}">
              <c16:uniqueId val="{00000000-30D5-4FCE-8316-FD23DA265545}"/>
            </c:ext>
          </c:extLst>
        </c:ser>
        <c:ser>
          <c:idx val="1"/>
          <c:order val="1"/>
          <c:tx>
            <c:strRef>
              <c:f>Output_charts!$AQ$242</c:f>
              <c:strCache>
                <c:ptCount val="1"/>
                <c:pt idx="0">
                  <c:v> Base above 0 </c:v>
                </c:pt>
              </c:strCache>
            </c:strRef>
          </c:tx>
          <c:spPr>
            <a:noFill/>
          </c:spPr>
          <c:invertIfNegative val="0"/>
          <c:cat>
            <c:strRef>
              <c:f>Output_charts!$AH$243:$AH$252</c:f>
              <c:strCache>
                <c:ptCount val="10"/>
                <c:pt idx="0">
                  <c:v>DUOS</c:v>
                </c:pt>
                <c:pt idx="1">
                  <c:v>Capex benefits (CESS)</c:v>
                </c:pt>
                <c:pt idx="2">
                  <c:v>Development opex</c:v>
                </c:pt>
                <c:pt idx="3">
                  <c:v>Opex (EBSS)</c:v>
                </c:pt>
                <c:pt idx="4">
                  <c:v>STPIS</c:v>
                </c:pt>
                <c:pt idx="5">
                  <c:v>Other costs</c:v>
                </c:pt>
                <c:pt idx="6">
                  <c:v>Unreg revenue</c:v>
                </c:pt>
                <c:pt idx="7">
                  <c:v>Cash NPV</c:v>
                </c:pt>
                <c:pt idx="8">
                  <c:v>Probabilistic benefits</c:v>
                </c:pt>
                <c:pt idx="9">
                  <c:v> Total customer NPV </c:v>
                </c:pt>
              </c:strCache>
            </c:strRef>
          </c:cat>
          <c:val>
            <c:numRef>
              <c:f>Output_charts!$AQ$243:$AQ$252</c:f>
              <c:numCache>
                <c:formatCode>_-* #,##0.0_-;\(#,##0.0\);_-* "-"??_-;_-@_-</c:formatCode>
                <c:ptCount val="10"/>
                <c:pt idx="1">
                  <c:v>-13.05257852375024</c:v>
                </c:pt>
                <c:pt idx="2">
                  <c:v>-8.6118891867414966</c:v>
                </c:pt>
                <c:pt idx="3">
                  <c:v>-8.6118891867414966</c:v>
                </c:pt>
                <c:pt idx="4">
                  <c:v>-8.6118891867414966</c:v>
                </c:pt>
                <c:pt idx="5">
                  <c:v>-8.6118891867414966</c:v>
                </c:pt>
                <c:pt idx="6">
                  <c:v>-8.6118891867414966</c:v>
                </c:pt>
                <c:pt idx="8">
                  <c:v>0</c:v>
                </c:pt>
              </c:numCache>
            </c:numRef>
          </c:val>
          <c:extLst>
            <c:ext xmlns:c16="http://schemas.microsoft.com/office/drawing/2014/chart" uri="{C3380CC4-5D6E-409C-BE32-E72D297353CC}">
              <c16:uniqueId val="{00000001-30D5-4FCE-8316-FD23DA265545}"/>
            </c:ext>
          </c:extLst>
        </c:ser>
        <c:ser>
          <c:idx val="2"/>
          <c:order val="2"/>
          <c:tx>
            <c:strRef>
              <c:f>Output_charts!$AR$242</c:f>
              <c:strCache>
                <c:ptCount val="1"/>
                <c:pt idx="0">
                  <c:v> Rise above 0 </c:v>
                </c:pt>
              </c:strCache>
            </c:strRef>
          </c:tx>
          <c:spPr>
            <a:solidFill>
              <a:srgbClr val="70AD47"/>
            </a:solidFill>
          </c:spPr>
          <c:invertIfNegative val="0"/>
          <c:cat>
            <c:strRef>
              <c:f>Output_charts!$AH$243:$AH$252</c:f>
              <c:strCache>
                <c:ptCount val="10"/>
                <c:pt idx="0">
                  <c:v>DUOS</c:v>
                </c:pt>
                <c:pt idx="1">
                  <c:v>Capex benefits (CESS)</c:v>
                </c:pt>
                <c:pt idx="2">
                  <c:v>Development opex</c:v>
                </c:pt>
                <c:pt idx="3">
                  <c:v>Opex (EBSS)</c:v>
                </c:pt>
                <c:pt idx="4">
                  <c:v>STPIS</c:v>
                </c:pt>
                <c:pt idx="5">
                  <c:v>Other costs</c:v>
                </c:pt>
                <c:pt idx="6">
                  <c:v>Unreg revenue</c:v>
                </c:pt>
                <c:pt idx="7">
                  <c:v>Cash NPV</c:v>
                </c:pt>
                <c:pt idx="8">
                  <c:v>Probabilistic benefits</c:v>
                </c:pt>
                <c:pt idx="9">
                  <c:v> Total customer NPV </c:v>
                </c:pt>
              </c:strCache>
            </c:strRef>
          </c:cat>
          <c:val>
            <c:numRef>
              <c:f>Output_charts!$AR$243:$AR$252</c:f>
              <c:numCache>
                <c:formatCode>_-* #,##0.0_-;\(#,##0.0\);_-* "-"??_-;_-@_-</c:formatCode>
                <c:ptCount val="10"/>
                <c:pt idx="0">
                  <c:v>0</c:v>
                </c:pt>
                <c:pt idx="1">
                  <c:v>0</c:v>
                </c:pt>
                <c:pt idx="2">
                  <c:v>0</c:v>
                </c:pt>
                <c:pt idx="3">
                  <c:v>0</c:v>
                </c:pt>
                <c:pt idx="4">
                  <c:v>0</c:v>
                </c:pt>
                <c:pt idx="5">
                  <c:v>0</c:v>
                </c:pt>
                <c:pt idx="6">
                  <c:v>0</c:v>
                </c:pt>
                <c:pt idx="8">
                  <c:v>24.64251357392904</c:v>
                </c:pt>
              </c:numCache>
            </c:numRef>
          </c:val>
          <c:extLst>
            <c:ext xmlns:c16="http://schemas.microsoft.com/office/drawing/2014/chart" uri="{C3380CC4-5D6E-409C-BE32-E72D297353CC}">
              <c16:uniqueId val="{00000002-30D5-4FCE-8316-FD23DA265545}"/>
            </c:ext>
          </c:extLst>
        </c:ser>
        <c:ser>
          <c:idx val="3"/>
          <c:order val="3"/>
          <c:tx>
            <c:strRef>
              <c:f>Output_charts!$AS$242</c:f>
              <c:strCache>
                <c:ptCount val="1"/>
                <c:pt idx="0">
                  <c:v> Fall Above 0 </c:v>
                </c:pt>
              </c:strCache>
            </c:strRef>
          </c:tx>
          <c:invertIfNegative val="0"/>
          <c:cat>
            <c:strRef>
              <c:f>Output_charts!$AH$243:$AH$252</c:f>
              <c:strCache>
                <c:ptCount val="10"/>
                <c:pt idx="0">
                  <c:v>DUOS</c:v>
                </c:pt>
                <c:pt idx="1">
                  <c:v>Capex benefits (CESS)</c:v>
                </c:pt>
                <c:pt idx="2">
                  <c:v>Development opex</c:v>
                </c:pt>
                <c:pt idx="3">
                  <c:v>Opex (EBSS)</c:v>
                </c:pt>
                <c:pt idx="4">
                  <c:v>STPIS</c:v>
                </c:pt>
                <c:pt idx="5">
                  <c:v>Other costs</c:v>
                </c:pt>
                <c:pt idx="6">
                  <c:v>Unreg revenue</c:v>
                </c:pt>
                <c:pt idx="7">
                  <c:v>Cash NPV</c:v>
                </c:pt>
                <c:pt idx="8">
                  <c:v>Probabilistic benefits</c:v>
                </c:pt>
                <c:pt idx="9">
                  <c:v> Total customer NPV </c:v>
                </c:pt>
              </c:strCache>
            </c:strRef>
          </c:cat>
          <c:val>
            <c:numRef>
              <c:f>Output_charts!$AS$243:$AS$252</c:f>
              <c:numCache>
                <c:formatCode>_-* #,##0.0_-;\(#,##0.0\);_-* "-"??_-;_-@_-</c:formatCode>
                <c:ptCount val="10"/>
                <c:pt idx="1">
                  <c:v>0</c:v>
                </c:pt>
                <c:pt idx="2">
                  <c:v>0</c:v>
                </c:pt>
                <c:pt idx="3">
                  <c:v>0</c:v>
                </c:pt>
                <c:pt idx="4">
                  <c:v>0</c:v>
                </c:pt>
                <c:pt idx="5">
                  <c:v>0</c:v>
                </c:pt>
                <c:pt idx="6">
                  <c:v>0</c:v>
                </c:pt>
                <c:pt idx="8">
                  <c:v>0</c:v>
                </c:pt>
              </c:numCache>
            </c:numRef>
          </c:val>
          <c:extLst>
            <c:ext xmlns:c16="http://schemas.microsoft.com/office/drawing/2014/chart" uri="{C3380CC4-5D6E-409C-BE32-E72D297353CC}">
              <c16:uniqueId val="{00000003-30D5-4FCE-8316-FD23DA265545}"/>
            </c:ext>
          </c:extLst>
        </c:ser>
        <c:ser>
          <c:idx val="4"/>
          <c:order val="4"/>
          <c:tx>
            <c:strRef>
              <c:f>Output_charts!$AT$242</c:f>
              <c:strCache>
                <c:ptCount val="1"/>
                <c:pt idx="0">
                  <c:v> Rise below 0 </c:v>
                </c:pt>
              </c:strCache>
            </c:strRef>
          </c:tx>
          <c:spPr>
            <a:solidFill>
              <a:srgbClr val="70AD47"/>
            </a:solidFill>
          </c:spPr>
          <c:invertIfNegative val="0"/>
          <c:cat>
            <c:strRef>
              <c:f>Output_charts!$AH$243:$AH$252</c:f>
              <c:strCache>
                <c:ptCount val="10"/>
                <c:pt idx="0">
                  <c:v>DUOS</c:v>
                </c:pt>
                <c:pt idx="1">
                  <c:v>Capex benefits (CESS)</c:v>
                </c:pt>
                <c:pt idx="2">
                  <c:v>Development opex</c:v>
                </c:pt>
                <c:pt idx="3">
                  <c:v>Opex (EBSS)</c:v>
                </c:pt>
                <c:pt idx="4">
                  <c:v>STPIS</c:v>
                </c:pt>
                <c:pt idx="5">
                  <c:v>Other costs</c:v>
                </c:pt>
                <c:pt idx="6">
                  <c:v>Unreg revenue</c:v>
                </c:pt>
                <c:pt idx="7">
                  <c:v>Cash NPV</c:v>
                </c:pt>
                <c:pt idx="8">
                  <c:v>Probabilistic benefits</c:v>
                </c:pt>
                <c:pt idx="9">
                  <c:v> Total customer NPV </c:v>
                </c:pt>
              </c:strCache>
            </c:strRef>
          </c:cat>
          <c:val>
            <c:numRef>
              <c:f>Output_charts!$AT$243:$AT$252</c:f>
              <c:numCache>
                <c:formatCode>_-* #,##0.0_-;\(#,##0.0\);_-* "-"??_-;_-@_-</c:formatCode>
                <c:ptCount val="10"/>
                <c:pt idx="1">
                  <c:v>-0.37997599337559995</c:v>
                </c:pt>
                <c:pt idx="2">
                  <c:v>-4.4406893370087435</c:v>
                </c:pt>
                <c:pt idx="3">
                  <c:v>0</c:v>
                </c:pt>
                <c:pt idx="4">
                  <c:v>0</c:v>
                </c:pt>
                <c:pt idx="5">
                  <c:v>0</c:v>
                </c:pt>
                <c:pt idx="6">
                  <c:v>0</c:v>
                </c:pt>
                <c:pt idx="8">
                  <c:v>-8.6118891867414966</c:v>
                </c:pt>
              </c:numCache>
            </c:numRef>
          </c:val>
          <c:extLst>
            <c:ext xmlns:c16="http://schemas.microsoft.com/office/drawing/2014/chart" uri="{C3380CC4-5D6E-409C-BE32-E72D297353CC}">
              <c16:uniqueId val="{00000004-30D5-4FCE-8316-FD23DA265545}"/>
            </c:ext>
          </c:extLst>
        </c:ser>
        <c:ser>
          <c:idx val="5"/>
          <c:order val="5"/>
          <c:tx>
            <c:strRef>
              <c:f>Output_charts!$AU$242</c:f>
              <c:strCache>
                <c:ptCount val="1"/>
                <c:pt idx="0">
                  <c:v> Fall Below 0 </c:v>
                </c:pt>
              </c:strCache>
            </c:strRef>
          </c:tx>
          <c:spPr>
            <a:solidFill>
              <a:srgbClr val="C00000"/>
            </a:solidFill>
          </c:spPr>
          <c:invertIfNegative val="0"/>
          <c:cat>
            <c:strRef>
              <c:f>Output_charts!$AH$243:$AH$252</c:f>
              <c:strCache>
                <c:ptCount val="10"/>
                <c:pt idx="0">
                  <c:v>DUOS</c:v>
                </c:pt>
                <c:pt idx="1">
                  <c:v>Capex benefits (CESS)</c:v>
                </c:pt>
                <c:pt idx="2">
                  <c:v>Development opex</c:v>
                </c:pt>
                <c:pt idx="3">
                  <c:v>Opex (EBSS)</c:v>
                </c:pt>
                <c:pt idx="4">
                  <c:v>STPIS</c:v>
                </c:pt>
                <c:pt idx="5">
                  <c:v>Other costs</c:v>
                </c:pt>
                <c:pt idx="6">
                  <c:v>Unreg revenue</c:v>
                </c:pt>
                <c:pt idx="7">
                  <c:v>Cash NPV</c:v>
                </c:pt>
                <c:pt idx="8">
                  <c:v>Probabilistic benefits</c:v>
                </c:pt>
                <c:pt idx="9">
                  <c:v> Total customer NPV </c:v>
                </c:pt>
              </c:strCache>
            </c:strRef>
          </c:cat>
          <c:val>
            <c:numRef>
              <c:f>Output_charts!$AU$243:$AU$252</c:f>
              <c:numCache>
                <c:formatCode>_-* #,##0.0_-;\(#,##0.0\);_-* "-"??_-;_-@_-</c:formatCode>
                <c:ptCount val="10"/>
                <c:pt idx="0">
                  <c:v>-13.43255451712584</c:v>
                </c:pt>
                <c:pt idx="1">
                  <c:v>0</c:v>
                </c:pt>
                <c:pt idx="2">
                  <c:v>0</c:v>
                </c:pt>
                <c:pt idx="3">
                  <c:v>0</c:v>
                </c:pt>
                <c:pt idx="4">
                  <c:v>0</c:v>
                </c:pt>
                <c:pt idx="5">
                  <c:v>0</c:v>
                </c:pt>
                <c:pt idx="6">
                  <c:v>0</c:v>
                </c:pt>
                <c:pt idx="8">
                  <c:v>0</c:v>
                </c:pt>
              </c:numCache>
            </c:numRef>
          </c:val>
          <c:extLst>
            <c:ext xmlns:c16="http://schemas.microsoft.com/office/drawing/2014/chart" uri="{C3380CC4-5D6E-409C-BE32-E72D297353CC}">
              <c16:uniqueId val="{00000005-30D5-4FCE-8316-FD23DA265545}"/>
            </c:ext>
          </c:extLst>
        </c:ser>
        <c:dLbls>
          <c:showLegendKey val="0"/>
          <c:showVal val="0"/>
          <c:showCatName val="0"/>
          <c:showSerName val="0"/>
          <c:showPercent val="0"/>
          <c:showBubbleSize val="0"/>
        </c:dLbls>
        <c:gapWidth val="40"/>
        <c:overlap val="100"/>
        <c:axId val="667381240"/>
        <c:axId val="667377712"/>
      </c:barChart>
      <c:lineChart>
        <c:grouping val="standard"/>
        <c:varyColors val="0"/>
        <c:ser>
          <c:idx val="6"/>
          <c:order val="6"/>
          <c:tx>
            <c:strRef>
              <c:f>Output_charts!$AV$242</c:f>
              <c:strCache>
                <c:ptCount val="1"/>
                <c:pt idx="0">
                  <c:v> Rise labels </c:v>
                </c:pt>
              </c:strCache>
            </c:strRef>
          </c:tx>
          <c:spPr>
            <a:ln>
              <a:noFill/>
            </a:ln>
          </c:spPr>
          <c:marker>
            <c:symbol val="none"/>
          </c:marker>
          <c:dLbls>
            <c:dLbl>
              <c:idx val="0"/>
              <c:tx>
                <c:strRef>
                  <c:f>Output_charts!$AN$243</c:f>
                  <c:strCache>
                    <c:ptCount val="1"/>
                    <c:pt idx="0">
                      <c:v>(13.4)</c:v>
                    </c:pt>
                  </c:strCache>
                </c:strRef>
              </c:tx>
              <c:dLblPos val="t"/>
              <c:showLegendKey val="0"/>
              <c:showVal val="1"/>
              <c:showCatName val="0"/>
              <c:showSerName val="0"/>
              <c:showPercent val="0"/>
              <c:showBubbleSize val="0"/>
              <c:extLst>
                <c:ext xmlns:c15="http://schemas.microsoft.com/office/drawing/2012/chart" uri="{CE6537A1-D6FC-4f65-9D91-7224C49458BB}">
                  <c15:dlblFieldTable>
                    <c15:dlblFTEntry>
                      <c15:txfldGUID>{32E158B2-A163-4937-A91B-C2B4A3F33F10}</c15:txfldGUID>
                      <c15:f>Output_charts!$AN$243</c15:f>
                      <c15:dlblFieldTableCache>
                        <c:ptCount val="1"/>
                        <c:pt idx="0">
                          <c:v>(13.4)</c:v>
                        </c:pt>
                      </c15:dlblFieldTableCache>
                    </c15:dlblFTEntry>
                  </c15:dlblFieldTable>
                  <c15:showDataLabelsRange val="1"/>
                </c:ext>
                <c:ext xmlns:c16="http://schemas.microsoft.com/office/drawing/2014/chart" uri="{C3380CC4-5D6E-409C-BE32-E72D297353CC}">
                  <c16:uniqueId val="{00000000-1504-4998-9665-52189C5949D0}"/>
                </c:ext>
              </c:extLst>
            </c:dLbl>
            <c:dLbl>
              <c:idx val="1"/>
              <c:tx>
                <c:strRef>
                  <c:f>Output_charts!$AN$244</c:f>
                  <c:strCache>
                    <c:ptCount val="1"/>
                    <c:pt idx="0">
                      <c:v> 0.4 </c:v>
                    </c:pt>
                  </c:strCache>
                </c:strRef>
              </c:tx>
              <c:dLblPos val="t"/>
              <c:showLegendKey val="0"/>
              <c:showVal val="1"/>
              <c:showCatName val="0"/>
              <c:showSerName val="0"/>
              <c:showPercent val="0"/>
              <c:showBubbleSize val="0"/>
              <c:extLst>
                <c:ext xmlns:c15="http://schemas.microsoft.com/office/drawing/2012/chart" uri="{CE6537A1-D6FC-4f65-9D91-7224C49458BB}">
                  <c15:dlblFieldTable>
                    <c15:dlblFTEntry>
                      <c15:txfldGUID>{276AAC75-804F-478B-B182-3F2B3A496992}</c15:txfldGUID>
                      <c15:f>Output_charts!$AN$244</c15:f>
                      <c15:dlblFieldTableCache>
                        <c:ptCount val="1"/>
                        <c:pt idx="0">
                          <c:v> 0.4 </c:v>
                        </c:pt>
                      </c15:dlblFieldTableCache>
                    </c15:dlblFTEntry>
                  </c15:dlblFieldTable>
                  <c15:showDataLabelsRange val="1"/>
                </c:ext>
                <c:ext xmlns:c16="http://schemas.microsoft.com/office/drawing/2014/chart" uri="{C3380CC4-5D6E-409C-BE32-E72D297353CC}">
                  <c16:uniqueId val="{00000009-30D5-4FCE-8316-FD23DA265545}"/>
                </c:ext>
              </c:extLst>
            </c:dLbl>
            <c:dLbl>
              <c:idx val="2"/>
              <c:tx>
                <c:strRef>
                  <c:f>Output_charts!$AN$245</c:f>
                  <c:strCache>
                    <c:ptCount val="1"/>
                    <c:pt idx="0">
                      <c:v> 4.4 </c:v>
                    </c:pt>
                  </c:strCache>
                </c:strRef>
              </c:tx>
              <c:dLblPos val="t"/>
              <c:showLegendKey val="0"/>
              <c:showVal val="1"/>
              <c:showCatName val="0"/>
              <c:showSerName val="0"/>
              <c:showPercent val="0"/>
              <c:showBubbleSize val="0"/>
              <c:extLst>
                <c:ext xmlns:c15="http://schemas.microsoft.com/office/drawing/2012/chart" uri="{CE6537A1-D6FC-4f65-9D91-7224C49458BB}">
                  <c15:dlblFieldTable>
                    <c15:dlblFTEntry>
                      <c15:txfldGUID>{53570DE8-E2A6-4172-8397-74261268A5A4}</c15:txfldGUID>
                      <c15:f>Output_charts!$AN$245</c15:f>
                      <c15:dlblFieldTableCache>
                        <c:ptCount val="1"/>
                        <c:pt idx="0">
                          <c:v> 4.4 </c:v>
                        </c:pt>
                      </c15:dlblFieldTableCache>
                    </c15:dlblFTEntry>
                  </c15:dlblFieldTable>
                  <c15:showDataLabelsRange val="1"/>
                </c:ext>
                <c:ext xmlns:c16="http://schemas.microsoft.com/office/drawing/2014/chart" uri="{C3380CC4-5D6E-409C-BE32-E72D297353CC}">
                  <c16:uniqueId val="{00000001-1504-4998-9665-52189C5949D0}"/>
                </c:ext>
              </c:extLst>
            </c:dLbl>
            <c:dLbl>
              <c:idx val="3"/>
              <c:tx>
                <c:strRef>
                  <c:f>Output_charts!$AN$246</c:f>
                  <c:strCache>
                    <c:ptCount val="1"/>
                    <c:pt idx="0">
                      <c:v> -   </c:v>
                    </c:pt>
                  </c:strCache>
                </c:strRef>
              </c:tx>
              <c:dLblPos val="t"/>
              <c:showLegendKey val="0"/>
              <c:showVal val="1"/>
              <c:showCatName val="0"/>
              <c:showSerName val="0"/>
              <c:showPercent val="0"/>
              <c:showBubbleSize val="0"/>
              <c:extLst>
                <c:ext xmlns:c15="http://schemas.microsoft.com/office/drawing/2012/chart" uri="{CE6537A1-D6FC-4f65-9D91-7224C49458BB}">
                  <c15:dlblFieldTable>
                    <c15:dlblFTEntry>
                      <c15:txfldGUID>{EF090551-6911-4CC1-AEFF-F33FEA2D3585}</c15:txfldGUID>
                      <c15:f>Output_charts!$AN$246</c15:f>
                      <c15:dlblFieldTableCache>
                        <c:ptCount val="1"/>
                        <c:pt idx="0">
                          <c:v> -   </c:v>
                        </c:pt>
                      </c15:dlblFieldTableCache>
                    </c15:dlblFTEntry>
                  </c15:dlblFieldTable>
                  <c15:showDataLabelsRange val="1"/>
                </c:ext>
                <c:ext xmlns:c16="http://schemas.microsoft.com/office/drawing/2014/chart" uri="{C3380CC4-5D6E-409C-BE32-E72D297353CC}">
                  <c16:uniqueId val="{00000002-1504-4998-9665-52189C5949D0}"/>
                </c:ext>
              </c:extLst>
            </c:dLbl>
            <c:dLbl>
              <c:idx val="4"/>
              <c:tx>
                <c:strRef>
                  <c:f>Output_charts!$AN$247</c:f>
                  <c:strCache>
                    <c:ptCount val="1"/>
                    <c:pt idx="0">
                      <c:v> -   </c:v>
                    </c:pt>
                  </c:strCache>
                </c:strRef>
              </c:tx>
              <c:dLblPos val="t"/>
              <c:showLegendKey val="0"/>
              <c:showVal val="1"/>
              <c:showCatName val="0"/>
              <c:showSerName val="0"/>
              <c:showPercent val="0"/>
              <c:showBubbleSize val="0"/>
              <c:extLst>
                <c:ext xmlns:c15="http://schemas.microsoft.com/office/drawing/2012/chart" uri="{CE6537A1-D6FC-4f65-9D91-7224C49458BB}">
                  <c15:dlblFieldTable>
                    <c15:dlblFTEntry>
                      <c15:txfldGUID>{660EE8F9-EE77-46E1-919A-D20BC60D9AAE}</c15:txfldGUID>
                      <c15:f>Output_charts!$AN$247</c15:f>
                      <c15:dlblFieldTableCache>
                        <c:ptCount val="1"/>
                        <c:pt idx="0">
                          <c:v> -   </c:v>
                        </c:pt>
                      </c15:dlblFieldTableCache>
                    </c15:dlblFTEntry>
                  </c15:dlblFieldTable>
                  <c15:showDataLabelsRange val="1"/>
                </c:ext>
                <c:ext xmlns:c16="http://schemas.microsoft.com/office/drawing/2014/chart" uri="{C3380CC4-5D6E-409C-BE32-E72D297353CC}">
                  <c16:uniqueId val="{00000003-1504-4998-9665-52189C5949D0}"/>
                </c:ext>
              </c:extLst>
            </c:dLbl>
            <c:dLbl>
              <c:idx val="5"/>
              <c:tx>
                <c:strRef>
                  <c:f>Output_charts!$AN$248</c:f>
                  <c:strCache>
                    <c:ptCount val="1"/>
                    <c:pt idx="0">
                      <c:v> -   </c:v>
                    </c:pt>
                  </c:strCache>
                </c:strRef>
              </c:tx>
              <c:dLblPos val="t"/>
              <c:showLegendKey val="0"/>
              <c:showVal val="1"/>
              <c:showCatName val="0"/>
              <c:showSerName val="0"/>
              <c:showPercent val="0"/>
              <c:showBubbleSize val="0"/>
              <c:extLst>
                <c:ext xmlns:c15="http://schemas.microsoft.com/office/drawing/2012/chart" uri="{CE6537A1-D6FC-4f65-9D91-7224C49458BB}">
                  <c15:dlblFieldTable>
                    <c15:dlblFTEntry>
                      <c15:txfldGUID>{7AEEB35F-A637-44AF-8782-F9E18BD3FF5D}</c15:txfldGUID>
                      <c15:f>Output_charts!$AN$248</c15:f>
                      <c15:dlblFieldTableCache>
                        <c:ptCount val="1"/>
                        <c:pt idx="0">
                          <c:v> -   </c:v>
                        </c:pt>
                      </c15:dlblFieldTableCache>
                    </c15:dlblFTEntry>
                  </c15:dlblFieldTable>
                  <c15:showDataLabelsRange val="1"/>
                </c:ext>
                <c:ext xmlns:c16="http://schemas.microsoft.com/office/drawing/2014/chart" uri="{C3380CC4-5D6E-409C-BE32-E72D297353CC}">
                  <c16:uniqueId val="{00000004-1504-4998-9665-52189C5949D0}"/>
                </c:ext>
              </c:extLst>
            </c:dLbl>
            <c:dLbl>
              <c:idx val="6"/>
              <c:tx>
                <c:strRef>
                  <c:f>Output_charts!$AN$249</c:f>
                  <c:strCache>
                    <c:ptCount val="1"/>
                    <c:pt idx="0">
                      <c:v> -   </c:v>
                    </c:pt>
                  </c:strCache>
                </c:strRef>
              </c:tx>
              <c:dLblPos val="t"/>
              <c:showLegendKey val="0"/>
              <c:showVal val="1"/>
              <c:showCatName val="0"/>
              <c:showSerName val="0"/>
              <c:showPercent val="0"/>
              <c:showBubbleSize val="0"/>
              <c:extLst>
                <c:ext xmlns:c15="http://schemas.microsoft.com/office/drawing/2012/chart" uri="{CE6537A1-D6FC-4f65-9D91-7224C49458BB}">
                  <c15:dlblFieldTable>
                    <c15:dlblFTEntry>
                      <c15:txfldGUID>{641AE9D9-9352-478B-975D-53E325886794}</c15:txfldGUID>
                      <c15:f>Output_charts!$AN$249</c15:f>
                      <c15:dlblFieldTableCache>
                        <c:ptCount val="1"/>
                        <c:pt idx="0">
                          <c:v> -   </c:v>
                        </c:pt>
                      </c15:dlblFieldTableCache>
                    </c15:dlblFTEntry>
                  </c15:dlblFieldTable>
                  <c15:showDataLabelsRange val="1"/>
                </c:ext>
                <c:ext xmlns:c16="http://schemas.microsoft.com/office/drawing/2014/chart" uri="{C3380CC4-5D6E-409C-BE32-E72D297353CC}">
                  <c16:uniqueId val="{0000000C-30D5-4FCE-8316-FD23DA265545}"/>
                </c:ext>
              </c:extLst>
            </c:dLbl>
            <c:dLbl>
              <c:idx val="7"/>
              <c:layout>
                <c:manualLayout>
                  <c:x val="-1.6635160680529299E-2"/>
                  <c:y val="-6.5088757396449717E-2"/>
                </c:manualLayout>
              </c:layout>
              <c:tx>
                <c:strRef>
                  <c:f>Output_charts!$AN$250</c:f>
                  <c:strCache>
                    <c:ptCount val="1"/>
                    <c:pt idx="0">
                      <c:v>(8.6)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{DC4A1699-B2CC-4851-900A-8E1C239DCD9F}</c15:txfldGUID>
                      <c15:f>Output_charts!$AN$250</c15:f>
                      <c15:dlblFieldTableCache>
                        <c:ptCount val="1"/>
                        <c:pt idx="0">
                          <c:v>(8.6)</c:v>
                        </c:pt>
                      </c15:dlblFieldTableCache>
                    </c15:dlblFTEntry>
                  </c15:dlblFieldTable>
                  <c15:showDataLabelsRange val="0"/>
                </c:ext>
                <c:ext xmlns:c16="http://schemas.microsoft.com/office/drawing/2014/chart" uri="{C3380CC4-5D6E-409C-BE32-E72D297353CC}">
                  <c16:uniqueId val="{00000000-9D15-4903-8D11-97A4C2E856A2}"/>
                </c:ext>
              </c:extLst>
            </c:dLbl>
            <c:dLbl>
              <c:idx val="8"/>
              <c:tx>
                <c:strRef>
                  <c:f>Output_charts!$AN$251</c:f>
                  <c:strCache>
                    <c:ptCount val="1"/>
                    <c:pt idx="0">
                      <c:v> 33.3 </c:v>
                    </c:pt>
                  </c:strCache>
                </c:strRef>
              </c:tx>
              <c:dLblPos val="t"/>
              <c:showLegendKey val="0"/>
              <c:showVal val="1"/>
              <c:showCatName val="0"/>
              <c:showSerName val="0"/>
              <c:showPercent val="0"/>
              <c:showBubbleSize val="0"/>
              <c:extLst>
                <c:ext xmlns:c15="http://schemas.microsoft.com/office/drawing/2012/chart" uri="{CE6537A1-D6FC-4f65-9D91-7224C49458BB}">
                  <c15:dlblFieldTable>
                    <c15:dlblFTEntry>
                      <c15:txfldGUID>{FD316BF6-E9E0-42ED-BCA7-AE9F44618001}</c15:txfldGUID>
                      <c15:f>Output_charts!$AN$251</c15:f>
                      <c15:dlblFieldTableCache>
                        <c:ptCount val="1"/>
                        <c:pt idx="0">
                          <c:v> 33.3 </c:v>
                        </c:pt>
                      </c15:dlblFieldTableCache>
                    </c15:dlblFTEntry>
                  </c15:dlblFieldTable>
                  <c15:showDataLabelsRange val="1"/>
                </c:ext>
                <c:ext xmlns:c16="http://schemas.microsoft.com/office/drawing/2014/chart" uri="{C3380CC4-5D6E-409C-BE32-E72D297353CC}">
                  <c16:uniqueId val="{00000000-D983-4ACA-99E7-8288CF2C3FC1}"/>
                </c:ext>
              </c:extLst>
            </c:dLbl>
            <c:dLbl>
              <c:idx val="9"/>
              <c:tx>
                <c:strRef>
                  <c:f>Output_charts!$AN$252</c:f>
                  <c:strCache>
                    <c:ptCount val="1"/>
                    <c:pt idx="0">
                      <c:v> 24.6 </c:v>
                    </c:pt>
                  </c:strCache>
                </c:strRef>
              </c:tx>
              <c:dLblPos val="t"/>
              <c:showLegendKey val="0"/>
              <c:showVal val="1"/>
              <c:showCatName val="0"/>
              <c:showSerName val="0"/>
              <c:showPercent val="0"/>
              <c:showBubbleSize val="0"/>
              <c:extLst>
                <c:ext xmlns:c15="http://schemas.microsoft.com/office/drawing/2012/chart" uri="{CE6537A1-D6FC-4f65-9D91-7224C49458BB}">
                  <c15:dlblFieldTable>
                    <c15:dlblFTEntry>
                      <c15:txfldGUID>{FE0E3CC4-3E5A-4A6E-AF13-91A72FA4EC18}</c15:txfldGUID>
                      <c15:f>Output_charts!$AN$252</c15:f>
                      <c15:dlblFieldTableCache>
                        <c:ptCount val="1"/>
                        <c:pt idx="0">
                          <c:v> 24.6 </c:v>
                        </c:pt>
                      </c15:dlblFieldTableCache>
                    </c15:dlblFTEntry>
                  </c15:dlblFieldTable>
                  <c15:showDataLabelsRange val="1"/>
                </c:ext>
                <c:ext xmlns:c16="http://schemas.microsoft.com/office/drawing/2014/chart" uri="{C3380CC4-5D6E-409C-BE32-E72D297353CC}">
                  <c16:uniqueId val="{00000001-D983-4ACA-99E7-8288CF2C3FC1}"/>
                </c:ext>
              </c:extLst>
            </c:dLbl>
            <c:spPr>
              <a:noFill/>
              <a:ln>
                <a:noFill/>
              </a:ln>
              <a:effectLst/>
            </c:spPr>
            <c:txPr>
              <a:bodyPr/>
              <a:lstStyle/>
              <a:p>
                <a:pPr>
                  <a:defRPr sz="2400">
                    <a:solidFill>
                      <a:schemeClr val="accent6">
                        <a:lumMod val="50000"/>
                      </a:schemeClr>
                    </a:solidFill>
                    <a:latin typeface="+mn-lt"/>
                  </a:defRPr>
                </a:pPr>
                <a:endParaRPr lang="en-US"/>
              </a:p>
            </c:txPr>
            <c:dLblPos val="t"/>
            <c:showLegendKey val="0"/>
            <c:showVal val="1"/>
            <c:showCatName val="0"/>
            <c:showSerName val="0"/>
            <c:showPercent val="0"/>
            <c:showBubbleSize val="0"/>
            <c:showLeaderLines val="0"/>
            <c:extLst>
              <c:ext xmlns:c15="http://schemas.microsoft.com/office/drawing/2012/chart" uri="{CE6537A1-D6FC-4f65-9D91-7224C49458BB}">
                <c15:showDataLabelsRange val="1"/>
                <c15:showLeaderLines val="0"/>
              </c:ext>
            </c:extLst>
          </c:dLbls>
          <c:val>
            <c:numRef>
              <c:f>Output_charts!$AV$243:$AV$252</c:f>
              <c:numCache>
                <c:formatCode>_-* #,##0.0_-;\(#,##0.0\);_-* "-"??_-;_-@_-</c:formatCode>
                <c:ptCount val="10"/>
                <c:pt idx="0">
                  <c:v>#N/A</c:v>
                </c:pt>
                <c:pt idx="1">
                  <c:v>-13.05257852375024</c:v>
                </c:pt>
                <c:pt idx="2">
                  <c:v>-8.6118891867414966</c:v>
                </c:pt>
                <c:pt idx="3">
                  <c:v>-8.6118891867414966</c:v>
                </c:pt>
                <c:pt idx="4">
                  <c:v>-8.6118891867414966</c:v>
                </c:pt>
                <c:pt idx="5">
                  <c:v>-8.6118891867414966</c:v>
                </c:pt>
                <c:pt idx="6">
                  <c:v>-8.6118891867414966</c:v>
                </c:pt>
                <c:pt idx="7">
                  <c:v>#N/A</c:v>
                </c:pt>
                <c:pt idx="8">
                  <c:v>24.64251357392904</c:v>
                </c:pt>
                <c:pt idx="9">
                  <c:v>24.642513573929037</c:v>
                </c:pt>
              </c:numCache>
            </c:numRef>
          </c:val>
          <c:smooth val="0"/>
          <c:extLst>
            <c:ext xmlns:c15="http://schemas.microsoft.com/office/drawing/2012/chart" uri="{02D57815-91ED-43cb-92C2-25804820EDAC}">
              <c15:datalabelsRange>
                <c15:f>Output_charts!$AN$243:$AN$252</c15:f>
                <c15:dlblRangeCache>
                  <c:ptCount val="10"/>
                  <c:pt idx="0">
                    <c:v>(13.4)</c:v>
                  </c:pt>
                  <c:pt idx="1">
                    <c:v> 0.4 </c:v>
                  </c:pt>
                  <c:pt idx="2">
                    <c:v> 4.4 </c:v>
                  </c:pt>
                  <c:pt idx="3">
                    <c:v> -   </c:v>
                  </c:pt>
                  <c:pt idx="4">
                    <c:v> -   </c:v>
                  </c:pt>
                  <c:pt idx="5">
                    <c:v> -   </c:v>
                  </c:pt>
                  <c:pt idx="6">
                    <c:v> -   </c:v>
                  </c:pt>
                  <c:pt idx="7">
                    <c:v>(8.6)</c:v>
                  </c:pt>
                  <c:pt idx="8">
                    <c:v> 33.3 </c:v>
                  </c:pt>
                  <c:pt idx="9">
                    <c:v> 24.6 </c:v>
                  </c:pt>
                </c15:dlblRangeCache>
              </c15:datalabelsRange>
            </c:ext>
            <c:ext xmlns:c16="http://schemas.microsoft.com/office/drawing/2014/chart" uri="{C3380CC4-5D6E-409C-BE32-E72D297353CC}">
              <c16:uniqueId val="{00000012-30D5-4FCE-8316-FD23DA265545}"/>
            </c:ext>
          </c:extLst>
        </c:ser>
        <c:ser>
          <c:idx val="7"/>
          <c:order val="7"/>
          <c:tx>
            <c:strRef>
              <c:f>Output_charts!$AW$242</c:f>
              <c:strCache>
                <c:ptCount val="1"/>
                <c:pt idx="0">
                  <c:v> Fall labels </c:v>
                </c:pt>
              </c:strCache>
            </c:strRef>
          </c:tx>
          <c:spPr>
            <a:ln>
              <a:noFill/>
            </a:ln>
          </c:spPr>
          <c:marker>
            <c:symbol val="none"/>
          </c:marker>
          <c:dLbls>
            <c:dLbl>
              <c:idx val="0"/>
              <c:tx>
                <c:strRef>
                  <c:f>Output_charts!$AN$243</c:f>
                  <c:strCache>
                    <c:ptCount val="1"/>
                    <c:pt idx="0">
                      <c:v>(13.4)</c:v>
                    </c:pt>
                  </c:strCache>
                </c:strRef>
              </c:tx>
              <c:dLblPos val="b"/>
              <c:showLegendKey val="0"/>
              <c:showVal val="1"/>
              <c:showCatName val="0"/>
              <c:showSerName val="0"/>
              <c:showPercent val="0"/>
              <c:showBubbleSize val="0"/>
              <c:extLst>
                <c:ext xmlns:c15="http://schemas.microsoft.com/office/drawing/2012/chart" uri="{CE6537A1-D6FC-4f65-9D91-7224C49458BB}">
                  <c15:dlblFieldTable>
                    <c15:dlblFTEntry>
                      <c15:txfldGUID>{7A2665F3-9112-4381-9E73-DBA80D6D8E78}</c15:txfldGUID>
                      <c15:f>Output_charts!$AN$243</c15:f>
                      <c15:dlblFieldTableCache>
                        <c:ptCount val="1"/>
                        <c:pt idx="0">
                          <c:v>(13.4)</c:v>
                        </c:pt>
                      </c15:dlblFieldTableCache>
                    </c15:dlblFTEntry>
                  </c15:dlblFieldTable>
                  <c15:showDataLabelsRange val="0"/>
                </c:ext>
                <c:ext xmlns:c16="http://schemas.microsoft.com/office/drawing/2014/chart" uri="{C3380CC4-5D6E-409C-BE32-E72D297353CC}">
                  <c16:uniqueId val="{00000005-1504-4998-9665-52189C5949D0}"/>
                </c:ext>
              </c:extLst>
            </c:dLbl>
            <c:dLbl>
              <c:idx val="1"/>
              <c:tx>
                <c:strRef>
                  <c:f>Output_charts!$AN$244</c:f>
                  <c:strCache>
                    <c:ptCount val="1"/>
                    <c:pt idx="0">
                      <c:v> 0.4 </c:v>
                    </c:pt>
                  </c:strCache>
                </c:strRef>
              </c:tx>
              <c:dLblPos val="b"/>
              <c:showLegendKey val="0"/>
              <c:showVal val="1"/>
              <c:showCatName val="0"/>
              <c:showSerName val="0"/>
              <c:showPercent val="0"/>
              <c:showBubbleSize val="0"/>
              <c:extLst>
                <c:ext xmlns:c15="http://schemas.microsoft.com/office/drawing/2012/chart" uri="{CE6537A1-D6FC-4f65-9D91-7224C49458BB}">
                  <c15:dlblFieldTable>
                    <c15:dlblFTEntry>
                      <c15:txfldGUID>{7E7105C7-8851-4A8C-8F30-5248BAA2EF6D}</c15:txfldGUID>
                      <c15:f>Output_charts!$AN$244</c15:f>
                      <c15:dlblFieldTableCache>
                        <c:ptCount val="1"/>
                        <c:pt idx="0">
                          <c:v> 0.4 </c:v>
                        </c:pt>
                      </c15:dlblFieldTableCache>
                    </c15:dlblFTEntry>
                  </c15:dlblFieldTable>
                  <c15:showDataLabelsRange val="0"/>
                </c:ext>
                <c:ext xmlns:c16="http://schemas.microsoft.com/office/drawing/2014/chart" uri="{C3380CC4-5D6E-409C-BE32-E72D297353CC}">
                  <c16:uniqueId val="{00000016-30D5-4FCE-8316-FD23DA265545}"/>
                </c:ext>
              </c:extLst>
            </c:dLbl>
            <c:dLbl>
              <c:idx val="2"/>
              <c:tx>
                <c:strRef>
                  <c:f>Output_charts!$AN$245</c:f>
                  <c:strCache>
                    <c:ptCount val="1"/>
                    <c:pt idx="0">
                      <c:v> 4.4 </c:v>
                    </c:pt>
                  </c:strCache>
                </c:strRef>
              </c:tx>
              <c:dLblPos val="b"/>
              <c:showLegendKey val="0"/>
              <c:showVal val="1"/>
              <c:showCatName val="0"/>
              <c:showSerName val="0"/>
              <c:showPercent val="0"/>
              <c:showBubbleSize val="0"/>
              <c:extLst>
                <c:ext xmlns:c15="http://schemas.microsoft.com/office/drawing/2012/chart" uri="{CE6537A1-D6FC-4f65-9D91-7224C49458BB}">
                  <c15:dlblFieldTable>
                    <c15:dlblFTEntry>
                      <c15:txfldGUID>{B9B28F2D-689D-4495-88EE-58DEC642B260}</c15:txfldGUID>
                      <c15:f>Output_charts!$AN$245</c15:f>
                      <c15:dlblFieldTableCache>
                        <c:ptCount val="1"/>
                        <c:pt idx="0">
                          <c:v> 4.4 </c:v>
                        </c:pt>
                      </c15:dlblFieldTableCache>
                    </c15:dlblFTEntry>
                  </c15:dlblFieldTable>
                  <c15:showDataLabelsRange val="0"/>
                </c:ext>
                <c:ext xmlns:c16="http://schemas.microsoft.com/office/drawing/2014/chart" uri="{C3380CC4-5D6E-409C-BE32-E72D297353CC}">
                  <c16:uniqueId val="{00000001-6DFE-46C1-A220-DC32B874C9C4}"/>
                </c:ext>
              </c:extLst>
            </c:dLbl>
            <c:dLbl>
              <c:idx val="3"/>
              <c:tx>
                <c:strRef>
                  <c:f>Output_charts!$AN$246</c:f>
                  <c:strCache>
                    <c:ptCount val="1"/>
                    <c:pt idx="0">
                      <c:v> -   </c:v>
                    </c:pt>
                  </c:strCache>
                </c:strRef>
              </c:tx>
              <c:dLblPos val="b"/>
              <c:showLegendKey val="0"/>
              <c:showVal val="1"/>
              <c:showCatName val="0"/>
              <c:showSerName val="0"/>
              <c:showPercent val="0"/>
              <c:showBubbleSize val="0"/>
              <c:extLst>
                <c:ext xmlns:c15="http://schemas.microsoft.com/office/drawing/2012/chart" uri="{CE6537A1-D6FC-4f65-9D91-7224C49458BB}">
                  <c15:dlblFieldTable>
                    <c15:dlblFTEntry>
                      <c15:txfldGUID>{A275EC36-F89B-4A88-A9D9-A6E91E36F102}</c15:txfldGUID>
                      <c15:f>Output_charts!$AN$246</c15:f>
                      <c15:dlblFieldTableCache>
                        <c:ptCount val="1"/>
                        <c:pt idx="0">
                          <c:v> -   </c:v>
                        </c:pt>
                      </c15:dlblFieldTableCache>
                    </c15:dlblFTEntry>
                  </c15:dlblFieldTable>
                  <c15:showDataLabelsRange val="0"/>
                </c:ext>
                <c:ext xmlns:c16="http://schemas.microsoft.com/office/drawing/2014/chart" uri="{C3380CC4-5D6E-409C-BE32-E72D297353CC}">
                  <c16:uniqueId val="{00000002-6DFE-46C1-A220-DC32B874C9C4}"/>
                </c:ext>
              </c:extLst>
            </c:dLbl>
            <c:dLbl>
              <c:idx val="4"/>
              <c:tx>
                <c:strRef>
                  <c:f>Output_charts!$AN$247</c:f>
                  <c:strCache>
                    <c:ptCount val="1"/>
                    <c:pt idx="0">
                      <c:v> -   </c:v>
                    </c:pt>
                  </c:strCache>
                </c:strRef>
              </c:tx>
              <c:dLblPos val="b"/>
              <c:showLegendKey val="0"/>
              <c:showVal val="1"/>
              <c:showCatName val="0"/>
              <c:showSerName val="0"/>
              <c:showPercent val="0"/>
              <c:showBubbleSize val="0"/>
              <c:extLst>
                <c:ext xmlns:c15="http://schemas.microsoft.com/office/drawing/2012/chart" uri="{CE6537A1-D6FC-4f65-9D91-7224C49458BB}">
                  <c15:dlblFieldTable>
                    <c15:dlblFTEntry>
                      <c15:txfldGUID>{C9D55B0B-DFBD-4815-A263-7F70298226F9}</c15:txfldGUID>
                      <c15:f>Output_charts!$AN$247</c15:f>
                      <c15:dlblFieldTableCache>
                        <c:ptCount val="1"/>
                        <c:pt idx="0">
                          <c:v> -   </c:v>
                        </c:pt>
                      </c15:dlblFieldTableCache>
                    </c15:dlblFTEntry>
                  </c15:dlblFieldTable>
                  <c15:showDataLabelsRange val="0"/>
                </c:ext>
                <c:ext xmlns:c16="http://schemas.microsoft.com/office/drawing/2014/chart" uri="{C3380CC4-5D6E-409C-BE32-E72D297353CC}">
                  <c16:uniqueId val="{00000005-D983-4ACA-99E7-8288CF2C3FC1}"/>
                </c:ext>
              </c:extLst>
            </c:dLbl>
            <c:dLbl>
              <c:idx val="6"/>
              <c:tx>
                <c:strRef>
                  <c:f>Output_charts!$AN$249</c:f>
                  <c:strCache>
                    <c:ptCount val="1"/>
                    <c:pt idx="0">
                      <c:v> -   </c:v>
                    </c:pt>
                  </c:strCache>
                </c:strRef>
              </c:tx>
              <c:dLblPos val="b"/>
              <c:showLegendKey val="0"/>
              <c:showVal val="1"/>
              <c:showCatName val="0"/>
              <c:showSerName val="0"/>
              <c:showPercent val="0"/>
              <c:showBubbleSize val="0"/>
              <c:extLst>
                <c:ext xmlns:c15="http://schemas.microsoft.com/office/drawing/2012/chart" uri="{CE6537A1-D6FC-4f65-9D91-7224C49458BB}">
                  <c15:dlblFieldTable>
                    <c15:dlblFTEntry>
                      <c15:txfldGUID>{6E1C14F0-A780-4C24-BDB6-AE3AD44D6918}</c15:txfldGUID>
                      <c15:f>Output_charts!$AN$249</c15:f>
                      <c15:dlblFieldTableCache>
                        <c:ptCount val="1"/>
                        <c:pt idx="0">
                          <c:v> -   </c:v>
                        </c:pt>
                      </c15:dlblFieldTableCache>
                    </c15:dlblFTEntry>
                  </c15:dlblFieldTable>
                  <c15:showDataLabelsRange val="0"/>
                </c:ext>
                <c:ext xmlns:c16="http://schemas.microsoft.com/office/drawing/2014/chart" uri="{C3380CC4-5D6E-409C-BE32-E72D297353CC}">
                  <c16:uniqueId val="{00000002-D983-4ACA-99E7-8288CF2C3FC1}"/>
                </c:ext>
              </c:extLst>
            </c:dLbl>
            <c:dLbl>
              <c:idx val="7"/>
              <c:tx>
                <c:strRef>
                  <c:f>Output_charts!$AN$250</c:f>
                  <c:strCache>
                    <c:ptCount val="1"/>
                    <c:pt idx="0">
                      <c:v>(8.6)</c:v>
                    </c:pt>
                  </c:strCache>
                </c:strRef>
              </c:tx>
              <c:dLblPos val="b"/>
              <c:showLegendKey val="0"/>
              <c:showVal val="1"/>
              <c:showCatName val="0"/>
              <c:showSerName val="0"/>
              <c:showPercent val="0"/>
              <c:showBubbleSize val="0"/>
              <c:extLst>
                <c:ext xmlns:c15="http://schemas.microsoft.com/office/drawing/2012/chart" uri="{CE6537A1-D6FC-4f65-9D91-7224C49458BB}">
                  <c15:dlblFieldTable>
                    <c15:dlblFTEntry>
                      <c15:txfldGUID>{4D3176F7-F814-4646-B81F-D79029D3A598}</c15:txfldGUID>
                      <c15:f>Output_charts!$AN$250</c15:f>
                      <c15:dlblFieldTableCache>
                        <c:ptCount val="1"/>
                        <c:pt idx="0">
                          <c:v>(8.6)</c:v>
                        </c:pt>
                      </c15:dlblFieldTableCache>
                    </c15:dlblFTEntry>
                  </c15:dlblFieldTable>
                  <c15:showDataLabelsRange val="0"/>
                </c:ext>
                <c:ext xmlns:c16="http://schemas.microsoft.com/office/drawing/2014/chart" uri="{C3380CC4-5D6E-409C-BE32-E72D297353CC}">
                  <c16:uniqueId val="{00000002-9D15-4903-8D11-97A4C2E856A2}"/>
                </c:ext>
              </c:extLst>
            </c:dLbl>
            <c:dLbl>
              <c:idx val="9"/>
              <c:tx>
                <c:strRef>
                  <c:f>Output_charts!$AP$252</c:f>
                  <c:strCache>
                    <c:ptCount val="1"/>
                    <c:pt idx="0">
                      <c:v> 24.6 </c:v>
                    </c:pt>
                  </c:strCache>
                </c:strRef>
              </c:tx>
              <c:dLblPos val="b"/>
              <c:showLegendKey val="0"/>
              <c:showVal val="1"/>
              <c:showCatName val="0"/>
              <c:showSerName val="0"/>
              <c:showPercent val="0"/>
              <c:showBubbleSize val="0"/>
              <c:extLst>
                <c:ext xmlns:c15="http://schemas.microsoft.com/office/drawing/2012/chart" uri="{CE6537A1-D6FC-4f65-9D91-7224C49458BB}">
                  <c15:dlblFieldTable>
                    <c15:dlblFTEntry>
                      <c15:txfldGUID>{CC85764E-260A-456C-A3B7-01C036C236FD}</c15:txfldGUID>
                      <c15:f>Output_charts!$AP$252</c15:f>
                      <c15:dlblFieldTableCache>
                        <c:ptCount val="1"/>
                        <c:pt idx="0">
                          <c:v> 24.6 </c:v>
                        </c:pt>
                      </c15:dlblFieldTableCache>
                    </c15:dlblFTEntry>
                  </c15:dlblFieldTable>
                  <c15:showDataLabelsRange val="0"/>
                </c:ext>
                <c:ext xmlns:c16="http://schemas.microsoft.com/office/drawing/2014/chart" uri="{C3380CC4-5D6E-409C-BE32-E72D297353CC}">
                  <c16:uniqueId val="{00000003-D983-4ACA-99E7-8288CF2C3FC1}"/>
                </c:ext>
              </c:extLst>
            </c:dLbl>
            <c:spPr>
              <a:noFill/>
              <a:ln>
                <a:noFill/>
              </a:ln>
              <a:effectLst/>
            </c:spPr>
            <c:txPr>
              <a:bodyPr/>
              <a:lstStyle/>
              <a:p>
                <a:pPr>
                  <a:defRPr sz="2400">
                    <a:solidFill>
                      <a:srgbClr val="C00000"/>
                    </a:solidFill>
                    <a:latin typeface="+mn-lt"/>
                  </a:defRPr>
                </a:pPr>
                <a:endParaRPr lang="en-US"/>
              </a:p>
            </c:txPr>
            <c:dLblPos val="b"/>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Output_charts!$AW$243:$AW$252</c:f>
              <c:numCache>
                <c:formatCode>_-* #,##0.0_-;\(#,##0.0\);_-* "-"??_-;_-@_-</c:formatCode>
                <c:ptCount val="10"/>
                <c:pt idx="0">
                  <c:v>-13.43255451712584</c:v>
                </c:pt>
                <c:pt idx="1">
                  <c:v>#N/A</c:v>
                </c:pt>
                <c:pt idx="2">
                  <c:v>#N/A</c:v>
                </c:pt>
                <c:pt idx="3">
                  <c:v>#N/A</c:v>
                </c:pt>
                <c:pt idx="4">
                  <c:v>#N/A</c:v>
                </c:pt>
                <c:pt idx="5">
                  <c:v>#N/A</c:v>
                </c:pt>
                <c:pt idx="6">
                  <c:v>#N/A</c:v>
                </c:pt>
                <c:pt idx="7">
                  <c:v>-8.6118891867414966</c:v>
                </c:pt>
                <c:pt idx="8">
                  <c:v>#N/A</c:v>
                </c:pt>
                <c:pt idx="9">
                  <c:v>#N/A</c:v>
                </c:pt>
              </c:numCache>
            </c:numRef>
          </c:val>
          <c:smooth val="0"/>
          <c:extLst>
            <c:ext xmlns:c16="http://schemas.microsoft.com/office/drawing/2014/chart" uri="{C3380CC4-5D6E-409C-BE32-E72D297353CC}">
              <c16:uniqueId val="{0000001F-30D5-4FCE-8316-FD23DA265545}"/>
            </c:ext>
          </c:extLst>
        </c:ser>
        <c:dLbls>
          <c:showLegendKey val="0"/>
          <c:showVal val="0"/>
          <c:showCatName val="0"/>
          <c:showSerName val="0"/>
          <c:showPercent val="0"/>
          <c:showBubbleSize val="0"/>
        </c:dLbls>
        <c:marker val="1"/>
        <c:smooth val="0"/>
        <c:axId val="667381240"/>
        <c:axId val="667377712"/>
      </c:lineChart>
      <c:catAx>
        <c:axId val="667381240"/>
        <c:scaling>
          <c:orientation val="minMax"/>
        </c:scaling>
        <c:delete val="0"/>
        <c:axPos val="b"/>
        <c:numFmt formatCode="General" sourceLinked="0"/>
        <c:majorTickMark val="none"/>
        <c:minorTickMark val="none"/>
        <c:tickLblPos val="low"/>
        <c:spPr>
          <a:noFill/>
          <a:ln w="9525" cap="flat" cmpd="sng" algn="ctr">
            <a:solidFill>
              <a:srgbClr val="7F878D"/>
            </a:solidFill>
            <a:prstDash val="solid"/>
            <a:round/>
          </a:ln>
          <a:effectLst/>
        </c:spPr>
        <c:txPr>
          <a:bodyPr/>
          <a:lstStyle/>
          <a:p>
            <a:pPr>
              <a:defRPr sz="2000">
                <a:solidFill>
                  <a:schemeClr val="tx1"/>
                </a:solidFill>
                <a:latin typeface="+mn-lt"/>
              </a:defRPr>
            </a:pPr>
            <a:endParaRPr lang="en-US"/>
          </a:p>
        </c:txPr>
        <c:crossAx val="667377712"/>
        <c:crosses val="autoZero"/>
        <c:auto val="1"/>
        <c:lblAlgn val="ctr"/>
        <c:lblOffset val="100"/>
        <c:noMultiLvlLbl val="0"/>
      </c:catAx>
      <c:valAx>
        <c:axId val="667377712"/>
        <c:scaling>
          <c:orientation val="minMax"/>
        </c:scaling>
        <c:delete val="1"/>
        <c:axPos val="l"/>
        <c:numFmt formatCode="_-* #,##0_-;\(#,##0\);_-* &quot;-&quot;??_-;_-@_-" sourceLinked="0"/>
        <c:majorTickMark val="none"/>
        <c:minorTickMark val="none"/>
        <c:tickLblPos val="low"/>
        <c:crossAx val="667381240"/>
        <c:crosses val="autoZero"/>
        <c:crossBetween val="between"/>
      </c:valAx>
      <c:spPr>
        <a:noFill/>
        <a:ln w="25400">
          <a:noFill/>
        </a:ln>
      </c:spPr>
    </c:plotArea>
    <c:plotVisOnly val="1"/>
    <c:dispBlanksAs val="gap"/>
    <c:showDLblsOverMax val="0"/>
  </c:chart>
  <c:spPr>
    <a:noFill/>
    <a:ln w="9525">
      <a:noFill/>
    </a:ln>
  </c:spPr>
  <c:txPr>
    <a:bodyPr/>
    <a:lstStyle/>
    <a:p>
      <a:pPr>
        <a:defRPr sz="800" b="0" i="0">
          <a:solidFill>
            <a:srgbClr val="7F878D"/>
          </a:solidFill>
          <a:latin typeface="Malgun Gothic" panose="020B0503020000020004" pitchFamily="34" charset="-127"/>
          <a:ea typeface="Malgun Gothic" panose="020B0503020000020004" pitchFamily="34" charset="-127"/>
          <a:cs typeface="Malgun Gothic"/>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32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3.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3</xdr:col>
      <xdr:colOff>0</xdr:colOff>
      <xdr:row>12</xdr:row>
      <xdr:rowOff>0</xdr:rowOff>
    </xdr:from>
    <xdr:to>
      <xdr:col>17</xdr:col>
      <xdr:colOff>335280</xdr:colOff>
      <xdr:row>18</xdr:row>
      <xdr:rowOff>83820</xdr:rowOff>
    </xdr:to>
    <xdr:sp macro="" textlink="">
      <xdr:nvSpPr>
        <xdr:cNvPr id="2" name="Rectangle 1">
          <a:extLst>
            <a:ext uri="{FF2B5EF4-FFF2-40B4-BE49-F238E27FC236}">
              <a16:creationId xmlns:a16="http://schemas.microsoft.com/office/drawing/2014/main" id="{BC9C7132-58E2-40A1-B306-4F1323F030D6}"/>
            </a:ext>
          </a:extLst>
        </xdr:cNvPr>
        <xdr:cNvSpPr/>
      </xdr:nvSpPr>
      <xdr:spPr>
        <a:xfrm>
          <a:off x="137160" y="1295400"/>
          <a:ext cx="9936480" cy="861060"/>
        </a:xfrm>
        <a:prstGeom prst="rect">
          <a:avLst/>
        </a:prstGeom>
        <a:solidFill>
          <a:schemeClr val="bg2"/>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lang="en-AU" sz="800">
              <a:solidFill>
                <a:sysClr val="windowText" lastClr="000000"/>
              </a:solidFill>
            </a:rPr>
            <a:t>This</a:t>
          </a:r>
          <a:r>
            <a:rPr lang="en-AU" sz="800" baseline="0">
              <a:solidFill>
                <a:sysClr val="windowText" lastClr="000000"/>
              </a:solidFill>
            </a:rPr>
            <a:t> sheet (</a:t>
          </a:r>
          <a:r>
            <a:rPr lang="en-AU" sz="800" b="1" baseline="0">
              <a:solidFill>
                <a:sysClr val="windowText" lastClr="000000"/>
              </a:solidFill>
            </a:rPr>
            <a:t>QuickCalc</a:t>
          </a:r>
          <a:r>
            <a:rPr lang="en-AU" sz="800" baseline="0">
              <a:solidFill>
                <a:sysClr val="windowText" lastClr="000000"/>
              </a:solidFill>
            </a:rPr>
            <a:t>) is designed to provide a faster and easier calculation approach for the purpose of initial estimates only (sense-checking etc.). </a:t>
          </a:r>
          <a:r>
            <a:rPr lang="en-AU" sz="800" baseline="0">
              <a:solidFill>
                <a:sysClr val="windowText" lastClr="000000"/>
              </a:solidFill>
              <a:latin typeface="+mn-lt"/>
              <a:ea typeface="+mn-ea"/>
              <a:cs typeface="+mn-cs"/>
            </a:rPr>
            <a:t>Various additional inputs in the form of calculation assumptions are included in the input data sheet, so please refer to the dedicated </a:t>
          </a:r>
          <a:r>
            <a:rPr lang="en-AU" sz="800" b="1" baseline="0">
              <a:solidFill>
                <a:sysClr val="windowText" lastClr="000000"/>
              </a:solidFill>
              <a:latin typeface="+mn-lt"/>
              <a:ea typeface="+mn-ea"/>
              <a:cs typeface="+mn-cs"/>
            </a:rPr>
            <a:t>input </a:t>
          </a:r>
          <a:r>
            <a:rPr lang="en-AU" sz="800" baseline="0">
              <a:solidFill>
                <a:sysClr val="windowText" lastClr="000000"/>
              </a:solidFill>
              <a:latin typeface="+mn-lt"/>
              <a:ea typeface="+mn-ea"/>
              <a:cs typeface="+mn-cs"/>
            </a:rPr>
            <a:t>sheet should you wish to complete a more detailed calculation - and in which case please ensure this input section within the QuickCalc sheet remains blank to avoid double counting of inputs (data from here is pulled through to the main input sheet for calculations). </a:t>
          </a:r>
          <a:r>
            <a:rPr lang="en-AU" sz="800" b="1">
              <a:solidFill>
                <a:sysClr val="windowText" lastClr="000000"/>
              </a:solidFill>
            </a:rPr>
            <a:t>Please complete the investment overview and details section</a:t>
          </a:r>
          <a:r>
            <a:rPr lang="en-AU" sz="800" b="1" baseline="0">
              <a:solidFill>
                <a:sysClr val="windowText" lastClr="000000"/>
              </a:solidFill>
            </a:rPr>
            <a:t> in the input sheet (rows 34 to 56)</a:t>
          </a:r>
          <a:r>
            <a:rPr lang="en-AU" sz="800" baseline="0">
              <a:solidFill>
                <a:sysClr val="windowText" lastClr="000000"/>
              </a:solidFill>
            </a:rPr>
            <a:t>. This is required to capture asset life data for modelling purposes. </a:t>
          </a:r>
        </a:p>
        <a:p>
          <a:pPr algn="l"/>
          <a:r>
            <a:rPr lang="en-AU" sz="800" baseline="0">
              <a:solidFill>
                <a:sysClr val="windowText" lastClr="000000"/>
              </a:solidFill>
              <a:latin typeface="+mn-lt"/>
              <a:ea typeface="+mn-ea"/>
              <a:cs typeface="+mn-cs"/>
            </a:rPr>
            <a:t>For all NPV inputs on this sheet, please enter cashflows over time from the perspective of Ausgrid - that is - </a:t>
          </a:r>
          <a:r>
            <a:rPr lang="en-AU" sz="800" b="1" baseline="0">
              <a:solidFill>
                <a:srgbClr val="FF0000"/>
              </a:solidFill>
              <a:latin typeface="+mn-lt"/>
              <a:ea typeface="+mn-ea"/>
              <a:cs typeface="+mn-cs"/>
            </a:rPr>
            <a:t>cash inflows are entered as positive values </a:t>
          </a:r>
          <a:r>
            <a:rPr lang="en-AU" sz="800" baseline="0">
              <a:solidFill>
                <a:sysClr val="windowText" lastClr="000000"/>
              </a:solidFill>
              <a:latin typeface="+mn-lt"/>
              <a:ea typeface="+mn-ea"/>
              <a:cs typeface="+mn-cs"/>
            </a:rPr>
            <a:t>while </a:t>
          </a:r>
          <a:r>
            <a:rPr lang="en-AU" sz="800" b="1" baseline="0">
              <a:solidFill>
                <a:srgbClr val="FF0000"/>
              </a:solidFill>
              <a:latin typeface="+mn-lt"/>
              <a:ea typeface="+mn-ea"/>
              <a:cs typeface="+mn-cs"/>
            </a:rPr>
            <a:t>cash outflows are entered as negative values</a:t>
          </a:r>
          <a:r>
            <a:rPr lang="en-AU" sz="800" baseline="0">
              <a:solidFill>
                <a:sysClr val="windowText" lastClr="000000"/>
              </a:solidFill>
              <a:latin typeface="+mn-lt"/>
              <a:ea typeface="+mn-ea"/>
              <a:cs typeface="+mn-cs"/>
            </a:rPr>
            <a:t>. All inputs are also to be entered as real values of the model year 0. See model legend above (row 4) for guidance on types of inputs. </a:t>
          </a:r>
        </a:p>
      </xdr:txBody>
    </xdr:sp>
    <xdr:clientData/>
  </xdr:twoCellAnchor>
  <xdr:twoCellAnchor>
    <xdr:from>
      <xdr:col>0</xdr:col>
      <xdr:colOff>0</xdr:colOff>
      <xdr:row>58</xdr:row>
      <xdr:rowOff>22860</xdr:rowOff>
    </xdr:from>
    <xdr:to>
      <xdr:col>13</xdr:col>
      <xdr:colOff>310515</xdr:colOff>
      <xdr:row>59</xdr:row>
      <xdr:rowOff>119380</xdr:rowOff>
    </xdr:to>
    <xdr:sp macro="" textlink="">
      <xdr:nvSpPr>
        <xdr:cNvPr id="3" name="Rectangle 2">
          <a:extLst>
            <a:ext uri="{FF2B5EF4-FFF2-40B4-BE49-F238E27FC236}">
              <a16:creationId xmlns:a16="http://schemas.microsoft.com/office/drawing/2014/main" id="{D75798D4-D22D-4546-9E55-EF48D257561E}"/>
            </a:ext>
          </a:extLst>
        </xdr:cNvPr>
        <xdr:cNvSpPr/>
      </xdr:nvSpPr>
      <xdr:spPr>
        <a:xfrm>
          <a:off x="0" y="7388860"/>
          <a:ext cx="8787765" cy="223520"/>
        </a:xfrm>
        <a:prstGeom prst="rect">
          <a:avLst/>
        </a:prstGeom>
        <a:solidFill>
          <a:schemeClr val="bg2"/>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en-AU" sz="800">
              <a:solidFill>
                <a:sysClr val="windowText" lastClr="000000"/>
              </a:solidFill>
            </a:rPr>
            <a:t>Outputs shown below sourced from output sheet (</a:t>
          </a:r>
          <a:r>
            <a:rPr lang="en-AU" sz="800" baseline="0">
              <a:solidFill>
                <a:sysClr val="windowText" lastClr="000000"/>
              </a:solidFill>
            </a:rPr>
            <a:t>refer to output </a:t>
          </a:r>
          <a:r>
            <a:rPr lang="en-AU" sz="800" baseline="0">
              <a:solidFill>
                <a:sysClr val="windowText" lastClr="000000"/>
              </a:solidFill>
              <a:latin typeface="+mn-lt"/>
              <a:ea typeface="+mn-ea"/>
              <a:cs typeface="+mn-cs"/>
            </a:rPr>
            <a:t>sheet for more detailed outputs)</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1</xdr:colOff>
      <xdr:row>5</xdr:row>
      <xdr:rowOff>131617</xdr:rowOff>
    </xdr:from>
    <xdr:to>
      <xdr:col>12</xdr:col>
      <xdr:colOff>1</xdr:colOff>
      <xdr:row>14</xdr:row>
      <xdr:rowOff>68579</xdr:rowOff>
    </xdr:to>
    <xdr:sp macro="" textlink="">
      <xdr:nvSpPr>
        <xdr:cNvPr id="2" name="Rectangle 1">
          <a:extLst>
            <a:ext uri="{FF2B5EF4-FFF2-40B4-BE49-F238E27FC236}">
              <a16:creationId xmlns:a16="http://schemas.microsoft.com/office/drawing/2014/main" id="{00000000-0008-0000-0400-000002000000}"/>
            </a:ext>
          </a:extLst>
        </xdr:cNvPr>
        <xdr:cNvSpPr/>
      </xdr:nvSpPr>
      <xdr:spPr>
        <a:xfrm>
          <a:off x="90056" y="789708"/>
          <a:ext cx="6712527" cy="1121526"/>
        </a:xfrm>
        <a:prstGeom prst="rect">
          <a:avLst/>
        </a:prstGeom>
        <a:solidFill>
          <a:schemeClr val="bg2"/>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en-AU" sz="800">
              <a:solidFill>
                <a:sysClr val="windowText" lastClr="000000"/>
              </a:solidFill>
            </a:rPr>
            <a:t>This</a:t>
          </a:r>
          <a:r>
            <a:rPr lang="en-AU" sz="800" baseline="0">
              <a:solidFill>
                <a:sysClr val="windowText" lastClr="000000"/>
              </a:solidFill>
            </a:rPr>
            <a:t> </a:t>
          </a:r>
          <a:r>
            <a:rPr lang="en-AU" sz="800" b="1" baseline="0">
              <a:solidFill>
                <a:sysClr val="windowText" lastClr="000000"/>
              </a:solidFill>
            </a:rPr>
            <a:t>Input </a:t>
          </a:r>
          <a:r>
            <a:rPr lang="en-AU" sz="800" baseline="0">
              <a:solidFill>
                <a:sysClr val="windowText" lastClr="000000"/>
              </a:solidFill>
            </a:rPr>
            <a:t>sheet is to be edited by the </a:t>
          </a:r>
          <a:r>
            <a:rPr lang="en-AU" sz="800" b="1" baseline="0">
              <a:solidFill>
                <a:sysClr val="windowText" lastClr="000000"/>
              </a:solidFill>
            </a:rPr>
            <a:t>business case owner</a:t>
          </a:r>
          <a:r>
            <a:rPr lang="en-AU" sz="800" b="0" baseline="0">
              <a:solidFill>
                <a:sysClr val="windowText" lastClr="000000"/>
              </a:solidFill>
            </a:rPr>
            <a:t>, and should be filled out for each investment case requiring approval. This sheet requires input in the form of both </a:t>
          </a:r>
          <a:r>
            <a:rPr lang="en-AU" sz="800" b="1" baseline="0">
              <a:solidFill>
                <a:sysClr val="windowText" lastClr="000000"/>
              </a:solidFill>
            </a:rPr>
            <a:t>investment details </a:t>
          </a:r>
          <a:r>
            <a:rPr lang="en-AU" sz="800" b="0" baseline="0">
              <a:solidFill>
                <a:sysClr val="windowText" lastClr="000000"/>
              </a:solidFill>
            </a:rPr>
            <a:t>(e.g. business case author, gate approval stage, investment type etc.) and </a:t>
          </a:r>
          <a:r>
            <a:rPr lang="en-AU" sz="800" b="1" baseline="0">
              <a:solidFill>
                <a:sysClr val="windowText" lastClr="000000"/>
              </a:solidFill>
            </a:rPr>
            <a:t>NPV cash and probabilistic inputs</a:t>
          </a:r>
          <a:r>
            <a:rPr lang="en-AU" sz="800" b="0" baseline="0">
              <a:solidFill>
                <a:sysClr val="windowText" lastClr="000000"/>
              </a:solidFill>
            </a:rPr>
            <a:t>. Probabilistic inputs for NPV calculations can be calculated either externally (with methodology and calculation documentation provided) or using the </a:t>
          </a:r>
          <a:r>
            <a:rPr lang="en-AU" sz="800" b="1" baseline="0">
              <a:solidFill>
                <a:sysClr val="windowText" lastClr="000000"/>
              </a:solidFill>
            </a:rPr>
            <a:t>ProbNPV tool </a:t>
          </a:r>
          <a:r>
            <a:rPr lang="en-AU" sz="800" b="0" baseline="0">
              <a:solidFill>
                <a:sysClr val="windowText" lastClr="000000"/>
              </a:solidFill>
            </a:rPr>
            <a:t>(see ProbNPV) provided alongside the model. For all NPV inputs on this sheet, please enter cashflows over time from the perspective of Ausgrid - that is - </a:t>
          </a:r>
          <a:r>
            <a:rPr lang="en-AU" sz="800" b="1" baseline="0">
              <a:solidFill>
                <a:srgbClr val="FF0000"/>
              </a:solidFill>
            </a:rPr>
            <a:t>cash inflows are entered as positive values</a:t>
          </a:r>
          <a:r>
            <a:rPr lang="en-AU" sz="800" b="1" baseline="0">
              <a:solidFill>
                <a:schemeClr val="accent6"/>
              </a:solidFill>
            </a:rPr>
            <a:t> </a:t>
          </a:r>
          <a:r>
            <a:rPr lang="en-AU" sz="800" b="0" baseline="0">
              <a:solidFill>
                <a:sysClr val="windowText" lastClr="000000"/>
              </a:solidFill>
            </a:rPr>
            <a:t>while </a:t>
          </a:r>
          <a:r>
            <a:rPr lang="en-AU" sz="800" b="1" baseline="0">
              <a:solidFill>
                <a:srgbClr val="FF0000"/>
              </a:solidFill>
            </a:rPr>
            <a:t>cash outflows are entered as negative values</a:t>
          </a:r>
          <a:r>
            <a:rPr lang="en-AU" sz="800" b="0" baseline="0">
              <a:solidFill>
                <a:sysClr val="windowText" lastClr="000000"/>
              </a:solidFill>
            </a:rPr>
            <a:t>. All inputs are also to be entered as real values of the model year 0. The exception is sunk cost which are to be entered as nominal values. See model legend above (row 4) for guidance on types of inputs. </a:t>
          </a:r>
        </a:p>
      </xdr:txBody>
    </xdr:sp>
    <xdr:clientData/>
  </xdr:twoCellAnchor>
  <xdr:twoCellAnchor>
    <xdr:from>
      <xdr:col>1</xdr:col>
      <xdr:colOff>0</xdr:colOff>
      <xdr:row>17</xdr:row>
      <xdr:rowOff>69850</xdr:rowOff>
    </xdr:from>
    <xdr:to>
      <xdr:col>12</xdr:col>
      <xdr:colOff>0</xdr:colOff>
      <xdr:row>19</xdr:row>
      <xdr:rowOff>27940</xdr:rowOff>
    </xdr:to>
    <xdr:sp macro="" textlink="">
      <xdr:nvSpPr>
        <xdr:cNvPr id="3" name="Rectangle 2">
          <a:extLst>
            <a:ext uri="{FF2B5EF4-FFF2-40B4-BE49-F238E27FC236}">
              <a16:creationId xmlns:a16="http://schemas.microsoft.com/office/drawing/2014/main" id="{00000000-0008-0000-0400-000003000000}"/>
            </a:ext>
          </a:extLst>
        </xdr:cNvPr>
        <xdr:cNvSpPr/>
      </xdr:nvSpPr>
      <xdr:spPr>
        <a:xfrm>
          <a:off x="88900" y="2241550"/>
          <a:ext cx="6362700" cy="224790"/>
        </a:xfrm>
        <a:prstGeom prst="rect">
          <a:avLst/>
        </a:prstGeom>
        <a:solidFill>
          <a:schemeClr val="bg2"/>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lang="en-AU" sz="800">
              <a:solidFill>
                <a:sysClr val="windowText" lastClr="000000"/>
              </a:solidFill>
            </a:rPr>
            <a:t>Input</a:t>
          </a:r>
          <a:r>
            <a:rPr lang="en-AU" sz="800" baseline="0">
              <a:solidFill>
                <a:sysClr val="windowText" lastClr="000000"/>
              </a:solidFill>
            </a:rPr>
            <a:t> investment details as per the headings outlined below</a:t>
          </a:r>
          <a:r>
            <a:rPr lang="en-AU" sz="800" baseline="0">
              <a:solidFill>
                <a:sysClr val="windowText" lastClr="000000"/>
              </a:solidFill>
              <a:latin typeface="+mn-lt"/>
              <a:ea typeface="+mn-ea"/>
              <a:cs typeface="+mn-cs"/>
            </a:rPr>
            <a:t>. See model legend (row 4) for guidance on types of inputs. </a:t>
          </a:r>
        </a:p>
        <a:p>
          <a:pPr algn="l"/>
          <a:endParaRPr lang="en-AU" sz="800">
            <a:solidFill>
              <a:sysClr val="windowText" lastClr="000000"/>
            </a:solidFill>
          </a:endParaRPr>
        </a:p>
      </xdr:txBody>
    </xdr:sp>
    <xdr:clientData/>
  </xdr:twoCellAnchor>
  <xdr:twoCellAnchor>
    <xdr:from>
      <xdr:col>0</xdr:col>
      <xdr:colOff>31750</xdr:colOff>
      <xdr:row>34</xdr:row>
      <xdr:rowOff>55880</xdr:rowOff>
    </xdr:from>
    <xdr:to>
      <xdr:col>11</xdr:col>
      <xdr:colOff>488950</xdr:colOff>
      <xdr:row>42</xdr:row>
      <xdr:rowOff>17780</xdr:rowOff>
    </xdr:to>
    <xdr:sp macro="" textlink="">
      <xdr:nvSpPr>
        <xdr:cNvPr id="4" name="Rectangle 3">
          <a:extLst>
            <a:ext uri="{FF2B5EF4-FFF2-40B4-BE49-F238E27FC236}">
              <a16:creationId xmlns:a16="http://schemas.microsoft.com/office/drawing/2014/main" id="{00000000-0008-0000-0400-000004000000}"/>
            </a:ext>
          </a:extLst>
        </xdr:cNvPr>
        <xdr:cNvSpPr/>
      </xdr:nvSpPr>
      <xdr:spPr>
        <a:xfrm>
          <a:off x="31750" y="5148580"/>
          <a:ext cx="6362700" cy="977900"/>
        </a:xfrm>
        <a:prstGeom prst="rect">
          <a:avLst/>
        </a:prstGeom>
        <a:solidFill>
          <a:schemeClr val="bg2"/>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lang="en-AU" sz="800" baseline="0">
              <a:solidFill>
                <a:sysClr val="windowText" lastClr="000000"/>
              </a:solidFill>
              <a:latin typeface="+mn-lt"/>
              <a:ea typeface="+mn-ea"/>
              <a:cs typeface="+mn-cs"/>
            </a:rPr>
            <a:t>Select asset name and type using the dropdown lists below, the asset life will then be </a:t>
          </a:r>
          <a:r>
            <a:rPr lang="en-AU" sz="800" b="1" baseline="0">
              <a:solidFill>
                <a:sysClr val="windowText" lastClr="000000"/>
              </a:solidFill>
              <a:latin typeface="+mn-lt"/>
              <a:ea typeface="+mn-ea"/>
              <a:cs typeface="+mn-cs"/>
            </a:rPr>
            <a:t>automatically calculated</a:t>
          </a:r>
          <a:r>
            <a:rPr lang="en-AU" sz="800" b="0" baseline="0">
              <a:solidFill>
                <a:sysClr val="windowText" lastClr="000000"/>
              </a:solidFill>
              <a:latin typeface="+mn-lt"/>
              <a:ea typeface="+mn-ea"/>
              <a:cs typeface="+mn-cs"/>
            </a:rPr>
            <a:t>.</a:t>
          </a:r>
          <a:r>
            <a:rPr lang="en-AU" sz="800" b="1" baseline="0">
              <a:solidFill>
                <a:sysClr val="windowText" lastClr="000000"/>
              </a:solidFill>
              <a:latin typeface="+mn-lt"/>
              <a:ea typeface="+mn-ea"/>
              <a:cs typeface="+mn-cs"/>
            </a:rPr>
            <a:t> </a:t>
          </a:r>
          <a:r>
            <a:rPr lang="en-AU" sz="800" b="0" baseline="0">
              <a:solidFill>
                <a:sysClr val="windowText" lastClr="000000"/>
              </a:solidFill>
              <a:latin typeface="+mn-lt"/>
              <a:ea typeface="+mn-ea"/>
              <a:cs typeface="+mn-cs"/>
            </a:rPr>
            <a:t>The selected asset type should be representative of the overall investment, meaning that the asset which contributes the largest portion of total capex should be selected. Alternatively, an asset life can be input manually. Note that if a manual asset life input is entered the model will assume this for calculation purposes.</a:t>
          </a:r>
        </a:p>
        <a:p>
          <a:pPr marL="0" marR="0" lvl="0" indent="0" algn="l" defTabSz="914400" eaLnBrk="1" fontAlgn="auto" latinLnBrk="0" hangingPunct="1">
            <a:lnSpc>
              <a:spcPct val="100000"/>
            </a:lnSpc>
            <a:spcBef>
              <a:spcPts val="0"/>
            </a:spcBef>
            <a:spcAft>
              <a:spcPts val="0"/>
            </a:spcAft>
            <a:buClrTx/>
            <a:buSzTx/>
            <a:buFontTx/>
            <a:buNone/>
            <a:tabLst/>
            <a:defRPr/>
          </a:pPr>
          <a:r>
            <a:rPr lang="en-AU" sz="800" b="0" baseline="0">
              <a:solidFill>
                <a:sysClr val="windowText" lastClr="000000"/>
              </a:solidFill>
              <a:latin typeface="+mn-lt"/>
              <a:ea typeface="+mn-ea"/>
              <a:cs typeface="+mn-cs"/>
            </a:rPr>
            <a:t>When selecting a valuation period for this option, you should select a valuation period equal to the option being considered with the longest useful asset life (</a:t>
          </a:r>
          <a:r>
            <a:rPr lang="en-AU" sz="800" b="1" baseline="0">
              <a:solidFill>
                <a:sysClr val="windowText" lastClr="000000"/>
              </a:solidFill>
              <a:latin typeface="+mn-lt"/>
              <a:ea typeface="+mn-ea"/>
              <a:cs typeface="+mn-cs"/>
            </a:rPr>
            <a:t>longest useful asset life option</a:t>
          </a:r>
          <a:r>
            <a:rPr lang="en-AU" sz="800" b="0" baseline="0">
              <a:solidFill>
                <a:sysClr val="windowText" lastClr="000000"/>
              </a:solidFill>
              <a:latin typeface="+mn-lt"/>
              <a:ea typeface="+mn-ea"/>
              <a:cs typeface="+mn-cs"/>
            </a:rPr>
            <a:t>, cell </a:t>
          </a:r>
          <a:r>
            <a:rPr lang="en-AU" sz="800" b="1" baseline="0">
              <a:solidFill>
                <a:sysClr val="windowText" lastClr="000000"/>
              </a:solidFill>
              <a:latin typeface="+mn-lt"/>
              <a:ea typeface="+mn-ea"/>
              <a:cs typeface="+mn-cs"/>
            </a:rPr>
            <a:t>L51</a:t>
          </a:r>
          <a:r>
            <a:rPr lang="en-AU" sz="800" b="0" baseline="0">
              <a:solidFill>
                <a:sysClr val="windowText" lastClr="000000"/>
              </a:solidFill>
              <a:latin typeface="+mn-lt"/>
              <a:ea typeface="+mn-ea"/>
              <a:cs typeface="+mn-cs"/>
            </a:rPr>
            <a:t>). This will be taken as the </a:t>
          </a:r>
          <a:r>
            <a:rPr lang="en-AU" sz="800" b="1" baseline="0">
              <a:solidFill>
                <a:sysClr val="windowText" lastClr="000000"/>
              </a:solidFill>
              <a:latin typeface="+mn-lt"/>
              <a:ea typeface="+mn-ea"/>
              <a:cs typeface="+mn-cs"/>
            </a:rPr>
            <a:t>end of the model valuation period</a:t>
          </a:r>
          <a:r>
            <a:rPr lang="en-AU" sz="800" b="0" baseline="0">
              <a:solidFill>
                <a:sysClr val="windowText" lastClr="000000"/>
              </a:solidFill>
              <a:latin typeface="+mn-lt"/>
              <a:ea typeface="+mn-ea"/>
              <a:cs typeface="+mn-cs"/>
            </a:rPr>
            <a:t>. A switch is included in the </a:t>
          </a:r>
          <a:r>
            <a:rPr lang="en-AU" sz="800" b="1" baseline="0">
              <a:solidFill>
                <a:sysClr val="windowText" lastClr="000000"/>
              </a:solidFill>
              <a:latin typeface="+mn-lt"/>
              <a:ea typeface="+mn-ea"/>
              <a:cs typeface="+mn-cs"/>
            </a:rPr>
            <a:t>Output </a:t>
          </a:r>
          <a:r>
            <a:rPr lang="en-AU" sz="800" b="0" baseline="0">
              <a:solidFill>
                <a:sysClr val="windowText" lastClr="000000"/>
              </a:solidFill>
              <a:latin typeface="+mn-lt"/>
              <a:ea typeface="+mn-ea"/>
              <a:cs typeface="+mn-cs"/>
            </a:rPr>
            <a:t>sheet to switch between the full model valuation period and the period dictated by the last year of longest useful asset life option entered below. </a:t>
          </a:r>
          <a:endParaRPr lang="en-AU" sz="800" b="1">
            <a:solidFill>
              <a:sysClr val="windowText" lastClr="000000"/>
            </a:solidFill>
          </a:endParaRPr>
        </a:p>
      </xdr:txBody>
    </xdr:sp>
    <xdr:clientData/>
  </xdr:twoCellAnchor>
  <xdr:twoCellAnchor>
    <xdr:from>
      <xdr:col>0</xdr:col>
      <xdr:colOff>50800</xdr:colOff>
      <xdr:row>59</xdr:row>
      <xdr:rowOff>105410</xdr:rowOff>
    </xdr:from>
    <xdr:to>
      <xdr:col>11</xdr:col>
      <xdr:colOff>508000</xdr:colOff>
      <xdr:row>65</xdr:row>
      <xdr:rowOff>79237</xdr:rowOff>
    </xdr:to>
    <xdr:sp macro="" textlink="">
      <xdr:nvSpPr>
        <xdr:cNvPr id="5" name="Rectangle 4">
          <a:extLst>
            <a:ext uri="{FF2B5EF4-FFF2-40B4-BE49-F238E27FC236}">
              <a16:creationId xmlns:a16="http://schemas.microsoft.com/office/drawing/2014/main" id="{00000000-0008-0000-0400-000005000000}"/>
            </a:ext>
          </a:extLst>
        </xdr:cNvPr>
        <xdr:cNvSpPr/>
      </xdr:nvSpPr>
      <xdr:spPr>
        <a:xfrm>
          <a:off x="50800" y="4817110"/>
          <a:ext cx="6362700" cy="735827"/>
        </a:xfrm>
        <a:prstGeom prst="rect">
          <a:avLst/>
        </a:prstGeom>
        <a:solidFill>
          <a:schemeClr val="bg2"/>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lang="en-AU" sz="800" baseline="0">
              <a:solidFill>
                <a:sysClr val="windowText" lastClr="000000"/>
              </a:solidFill>
              <a:latin typeface="+mn-lt"/>
              <a:ea typeface="+mn-ea"/>
              <a:cs typeface="+mn-cs"/>
            </a:rPr>
            <a:t>Input capex below, noting that each component of capex should be broken down into direct labour, materials, contracted services, indirect labour / overheads, and other categories where applicable. Proceeds of sale net off investment capex.</a:t>
          </a:r>
        </a:p>
        <a:p>
          <a:pPr marL="0" marR="0" lvl="0" indent="0" algn="l" defTabSz="914400" eaLnBrk="1" fontAlgn="auto" latinLnBrk="0" hangingPunct="1">
            <a:lnSpc>
              <a:spcPct val="100000"/>
            </a:lnSpc>
            <a:spcBef>
              <a:spcPts val="0"/>
            </a:spcBef>
            <a:spcAft>
              <a:spcPts val="0"/>
            </a:spcAft>
            <a:buClrTx/>
            <a:buSzTx/>
            <a:buFontTx/>
            <a:buNone/>
            <a:tabLst/>
            <a:defRPr/>
          </a:pPr>
          <a:r>
            <a:rPr lang="en-AU" sz="800" baseline="0">
              <a:solidFill>
                <a:sysClr val="windowText" lastClr="000000"/>
              </a:solidFill>
              <a:latin typeface="+mn-lt"/>
              <a:ea typeface="+mn-ea"/>
              <a:cs typeface="+mn-cs"/>
            </a:rPr>
            <a:t>Please provide descriptions of capex cost components (columns F - J) where required. Please also ensure that you include contingency, and land.</a:t>
          </a:r>
        </a:p>
        <a:p>
          <a:pPr marL="0" marR="0" lvl="0" indent="0" algn="l" defTabSz="914400" eaLnBrk="1" fontAlgn="auto" latinLnBrk="0" hangingPunct="1">
            <a:lnSpc>
              <a:spcPct val="100000"/>
            </a:lnSpc>
            <a:spcBef>
              <a:spcPts val="0"/>
            </a:spcBef>
            <a:spcAft>
              <a:spcPts val="0"/>
            </a:spcAft>
            <a:buClrTx/>
            <a:buSzTx/>
            <a:buFontTx/>
            <a:buNone/>
            <a:tabLst/>
            <a:defRPr/>
          </a:pPr>
          <a:r>
            <a:rPr lang="en-AU" sz="800" b="0" baseline="0">
              <a:solidFill>
                <a:sysClr val="windowText" lastClr="000000"/>
              </a:solidFill>
              <a:latin typeface="+mn-lt"/>
              <a:ea typeface="+mn-ea"/>
              <a:cs typeface="+mn-cs"/>
            </a:rPr>
            <a:t>Please ensure that inputs are not being sourced from the QuickCalcs sheet if using this input sheet for a detailed investment evaluation - these inputs are highlighted by a description (columns F - J) that says "</a:t>
          </a:r>
          <a:r>
            <a:rPr lang="en-AU" sz="800" b="0" i="1" baseline="0">
              <a:solidFill>
                <a:sysClr val="windowText" lastClr="000000"/>
              </a:solidFill>
              <a:latin typeface="+mn-lt"/>
              <a:ea typeface="+mn-ea"/>
              <a:cs typeface="+mn-cs"/>
            </a:rPr>
            <a:t>Used for QuickCalc, override if using full inputs</a:t>
          </a:r>
          <a:r>
            <a:rPr lang="en-AU" sz="800" b="0" baseline="0">
              <a:solidFill>
                <a:sysClr val="windowText" lastClr="000000"/>
              </a:solidFill>
              <a:latin typeface="+mn-lt"/>
              <a:ea typeface="+mn-ea"/>
              <a:cs typeface="+mn-cs"/>
            </a:rPr>
            <a:t>".</a:t>
          </a:r>
        </a:p>
        <a:p>
          <a:pPr algn="l"/>
          <a:endParaRPr lang="en-AU" sz="800">
            <a:solidFill>
              <a:sysClr val="windowText" lastClr="000000"/>
            </a:solidFill>
          </a:endParaRPr>
        </a:p>
      </xdr:txBody>
    </xdr:sp>
    <xdr:clientData/>
  </xdr:twoCellAnchor>
  <xdr:twoCellAnchor>
    <xdr:from>
      <xdr:col>1</xdr:col>
      <xdr:colOff>0</xdr:colOff>
      <xdr:row>119</xdr:row>
      <xdr:rowOff>67310</xdr:rowOff>
    </xdr:from>
    <xdr:to>
      <xdr:col>11</xdr:col>
      <xdr:colOff>512618</xdr:colOff>
      <xdr:row>125</xdr:row>
      <xdr:rowOff>34637</xdr:rowOff>
    </xdr:to>
    <xdr:sp macro="" textlink="">
      <xdr:nvSpPr>
        <xdr:cNvPr id="6" name="Rectangle 5">
          <a:extLst>
            <a:ext uri="{FF2B5EF4-FFF2-40B4-BE49-F238E27FC236}">
              <a16:creationId xmlns:a16="http://schemas.microsoft.com/office/drawing/2014/main" id="{00000000-0008-0000-0400-000006000000}"/>
            </a:ext>
          </a:extLst>
        </xdr:cNvPr>
        <xdr:cNvSpPr/>
      </xdr:nvSpPr>
      <xdr:spPr>
        <a:xfrm>
          <a:off x="90055" y="16401819"/>
          <a:ext cx="6650181" cy="757036"/>
        </a:xfrm>
        <a:prstGeom prst="rect">
          <a:avLst/>
        </a:prstGeom>
        <a:solidFill>
          <a:schemeClr val="bg2"/>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lang="en-AU" sz="800" baseline="0">
              <a:solidFill>
                <a:sysClr val="windowText" lastClr="000000"/>
              </a:solidFill>
              <a:latin typeface="+mn-lt"/>
              <a:ea typeface="+mn-ea"/>
              <a:cs typeface="+mn-cs"/>
            </a:rPr>
            <a:t>Input future capex required below, noting that each component of future capex should be broken down into Phases as per the breakdown below. Future capex is to be considered as any future capital expenditure that will be required to realise the outcomes included in the investment business case. Please provide descriptions of future capex phase components (columns F - J) where required.</a:t>
          </a:r>
        </a:p>
        <a:p>
          <a:pPr marL="0" marR="0" lvl="0" indent="0" algn="l" defTabSz="914400" eaLnBrk="1" fontAlgn="auto" latinLnBrk="0" hangingPunct="1">
            <a:lnSpc>
              <a:spcPct val="100000"/>
            </a:lnSpc>
            <a:spcBef>
              <a:spcPts val="0"/>
            </a:spcBef>
            <a:spcAft>
              <a:spcPts val="0"/>
            </a:spcAft>
            <a:buClrTx/>
            <a:buSzTx/>
            <a:buFontTx/>
            <a:buNone/>
            <a:tabLst/>
            <a:defRPr/>
          </a:pPr>
          <a:r>
            <a:rPr lang="en-AU" sz="800" baseline="0">
              <a:solidFill>
                <a:sysClr val="windowText" lastClr="000000"/>
              </a:solidFill>
              <a:latin typeface="+mn-lt"/>
              <a:ea typeface="+mn-ea"/>
              <a:cs typeface="+mn-cs"/>
            </a:rPr>
            <a:t>Please ensure that inputs are not being sourced from the QuickCalcs sheet if using this input sheet for a detailed investment evaluation - these inputs are highlighted by a description (columns F - J) that says "Used for QuickCalc, override if using full inputs".</a:t>
          </a:r>
        </a:p>
        <a:p>
          <a:pPr marL="0" marR="0" lvl="0" indent="0" algn="l" defTabSz="914400" eaLnBrk="1" fontAlgn="auto" latinLnBrk="0" hangingPunct="1">
            <a:lnSpc>
              <a:spcPct val="100000"/>
            </a:lnSpc>
            <a:spcBef>
              <a:spcPts val="0"/>
            </a:spcBef>
            <a:spcAft>
              <a:spcPts val="0"/>
            </a:spcAft>
            <a:buClrTx/>
            <a:buSzTx/>
            <a:buFontTx/>
            <a:buNone/>
            <a:tabLst/>
            <a:defRPr/>
          </a:pPr>
          <a:endParaRPr lang="en-AU" sz="800" baseline="0">
            <a:solidFill>
              <a:sysClr val="windowText" lastClr="000000"/>
            </a:solidFill>
            <a:latin typeface="+mn-lt"/>
            <a:ea typeface="+mn-ea"/>
            <a:cs typeface="+mn-cs"/>
          </a:endParaRPr>
        </a:p>
        <a:p>
          <a:pPr algn="l"/>
          <a:endParaRPr lang="en-AU" sz="800">
            <a:solidFill>
              <a:sysClr val="windowText" lastClr="000000"/>
            </a:solidFill>
          </a:endParaRPr>
        </a:p>
      </xdr:txBody>
    </xdr:sp>
    <xdr:clientData/>
  </xdr:twoCellAnchor>
  <xdr:twoCellAnchor>
    <xdr:from>
      <xdr:col>0</xdr:col>
      <xdr:colOff>69850</xdr:colOff>
      <xdr:row>166</xdr:row>
      <xdr:rowOff>67888</xdr:rowOff>
    </xdr:from>
    <xdr:to>
      <xdr:col>11</xdr:col>
      <xdr:colOff>527050</xdr:colOff>
      <xdr:row>170</xdr:row>
      <xdr:rowOff>52649</xdr:rowOff>
    </xdr:to>
    <xdr:sp macro="" textlink="">
      <xdr:nvSpPr>
        <xdr:cNvPr id="7" name="Rectangle 6">
          <a:extLst>
            <a:ext uri="{FF2B5EF4-FFF2-40B4-BE49-F238E27FC236}">
              <a16:creationId xmlns:a16="http://schemas.microsoft.com/office/drawing/2014/main" id="{00000000-0008-0000-0400-000007000000}"/>
            </a:ext>
          </a:extLst>
        </xdr:cNvPr>
        <xdr:cNvSpPr/>
      </xdr:nvSpPr>
      <xdr:spPr>
        <a:xfrm>
          <a:off x="69850" y="22588452"/>
          <a:ext cx="6684818" cy="511233"/>
        </a:xfrm>
        <a:prstGeom prst="rect">
          <a:avLst/>
        </a:prstGeom>
        <a:solidFill>
          <a:schemeClr val="bg2"/>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lang="en-AU" sz="800">
              <a:solidFill>
                <a:sysClr val="windowText" lastClr="000000"/>
              </a:solidFill>
            </a:rPr>
            <a:t>Input</a:t>
          </a:r>
          <a:r>
            <a:rPr lang="en-AU" sz="800" baseline="0">
              <a:solidFill>
                <a:sysClr val="windowText" lastClr="000000"/>
              </a:solidFill>
            </a:rPr>
            <a:t> ACS. </a:t>
          </a:r>
          <a:r>
            <a:rPr lang="en-AU" sz="800" baseline="0">
              <a:solidFill>
                <a:sysClr val="windowText" lastClr="000000"/>
              </a:solidFill>
              <a:latin typeface="+mn-lt"/>
              <a:ea typeface="+mn-ea"/>
              <a:cs typeface="+mn-cs"/>
            </a:rPr>
            <a:t>Please provide descriptions of investment returns (columns F - J) where required. Please ensure that inputs are not being sourced from the QuickCalcs sheet if using this input sheet for a detailed investment evaluation - these inputs are highlighted by a description (columns F - J) that says "Used for QuickCalc, override if using full inputs".</a:t>
          </a:r>
        </a:p>
        <a:p>
          <a:pPr marL="0" marR="0" lvl="0" indent="0" algn="l" defTabSz="914400" eaLnBrk="1" fontAlgn="auto" latinLnBrk="0" hangingPunct="1">
            <a:lnSpc>
              <a:spcPct val="100000"/>
            </a:lnSpc>
            <a:spcBef>
              <a:spcPts val="0"/>
            </a:spcBef>
            <a:spcAft>
              <a:spcPts val="0"/>
            </a:spcAft>
            <a:buClrTx/>
            <a:buSzTx/>
            <a:buFontTx/>
            <a:buNone/>
            <a:tabLst/>
            <a:defRPr/>
          </a:pPr>
          <a:endParaRPr lang="en-AU" sz="800" baseline="0">
            <a:solidFill>
              <a:sysClr val="windowText" lastClr="000000"/>
            </a:solidFill>
            <a:latin typeface="+mn-lt"/>
            <a:ea typeface="+mn-ea"/>
            <a:cs typeface="+mn-cs"/>
          </a:endParaRPr>
        </a:p>
        <a:p>
          <a:pPr algn="l"/>
          <a:endParaRPr lang="en-AU" sz="800">
            <a:solidFill>
              <a:sysClr val="windowText" lastClr="000000"/>
            </a:solidFill>
          </a:endParaRPr>
        </a:p>
      </xdr:txBody>
    </xdr:sp>
    <xdr:clientData/>
  </xdr:twoCellAnchor>
  <xdr:twoCellAnchor>
    <xdr:from>
      <xdr:col>0</xdr:col>
      <xdr:colOff>68580</xdr:colOff>
      <xdr:row>149</xdr:row>
      <xdr:rowOff>90170</xdr:rowOff>
    </xdr:from>
    <xdr:to>
      <xdr:col>11</xdr:col>
      <xdr:colOff>525780</xdr:colOff>
      <xdr:row>159</xdr:row>
      <xdr:rowOff>36830</xdr:rowOff>
    </xdr:to>
    <xdr:sp macro="" textlink="">
      <xdr:nvSpPr>
        <xdr:cNvPr id="8" name="Rectangle 7">
          <a:extLst>
            <a:ext uri="{FF2B5EF4-FFF2-40B4-BE49-F238E27FC236}">
              <a16:creationId xmlns:a16="http://schemas.microsoft.com/office/drawing/2014/main" id="{00000000-0008-0000-0400-000008000000}"/>
            </a:ext>
          </a:extLst>
        </xdr:cNvPr>
        <xdr:cNvSpPr/>
      </xdr:nvSpPr>
      <xdr:spPr>
        <a:xfrm>
          <a:off x="68580" y="18119090"/>
          <a:ext cx="6637020" cy="1242060"/>
        </a:xfrm>
        <a:prstGeom prst="rect">
          <a:avLst/>
        </a:prstGeom>
        <a:solidFill>
          <a:schemeClr val="bg2"/>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lang="en-AU" sz="800">
              <a:solidFill>
                <a:sysClr val="windowText" lastClr="000000"/>
              </a:solidFill>
            </a:rPr>
            <a:t>Input</a:t>
          </a:r>
          <a:r>
            <a:rPr lang="en-AU" sz="800" baseline="0">
              <a:solidFill>
                <a:sysClr val="windowText" lastClr="000000"/>
              </a:solidFill>
            </a:rPr>
            <a:t> incentive scheme returns in the form of STPIS and the DMIS incentive rate below</a:t>
          </a:r>
          <a:r>
            <a:rPr lang="en-AU" sz="800" baseline="0">
              <a:solidFill>
                <a:sysClr val="windowText" lastClr="000000"/>
              </a:solidFill>
              <a:latin typeface="+mn-lt"/>
              <a:ea typeface="+mn-ea"/>
              <a:cs typeface="+mn-cs"/>
            </a:rPr>
            <a:t>. Please provide additional descriptions (columns F - J) if required.</a:t>
          </a:r>
          <a:br>
            <a:rPr lang="en-AU" sz="800" baseline="0">
              <a:solidFill>
                <a:sysClr val="windowText" lastClr="000000"/>
              </a:solidFill>
              <a:latin typeface="+mn-lt"/>
              <a:ea typeface="+mn-ea"/>
              <a:cs typeface="+mn-cs"/>
            </a:rPr>
          </a:br>
          <a:br>
            <a:rPr lang="en-AU" sz="800" baseline="0">
              <a:solidFill>
                <a:sysClr val="windowText" lastClr="000000"/>
              </a:solidFill>
              <a:latin typeface="+mn-lt"/>
              <a:ea typeface="+mn-ea"/>
              <a:cs typeface="+mn-cs"/>
            </a:rPr>
          </a:br>
          <a:r>
            <a:rPr lang="en-AU" sz="800" b="1" baseline="0">
              <a:solidFill>
                <a:sysClr val="windowText" lastClr="000000"/>
              </a:solidFill>
              <a:latin typeface="+mn-lt"/>
              <a:ea typeface="+mn-ea"/>
              <a:cs typeface="+mn-cs"/>
            </a:rPr>
            <a:t>STPIS: </a:t>
          </a:r>
          <a:r>
            <a:rPr lang="en-AU" sz="800" baseline="0">
              <a:solidFill>
                <a:sysClr val="windowText" lastClr="000000"/>
              </a:solidFill>
              <a:latin typeface="+mn-lt"/>
              <a:ea typeface="+mn-ea"/>
              <a:cs typeface="+mn-cs"/>
            </a:rPr>
            <a:t>STPIS and Network asset failure EUE are different inputs (Network asset failure EUE listed below under Probabilistic cost &amp; beneifts), as Network asset failure EUE relates to broader community benefits as opposed to STPIS which relates to a benefit for Ausgrid. STPIS should be entered such that it starts 2 years post completion and runs for a duration of 5 years. Note that after 5 years there will be no more STPIS impact to either the customer or the shareholder, as the improved reliability will be accounted for in the network expected unserved energy.</a:t>
          </a:r>
          <a:br>
            <a:rPr lang="en-AU" sz="800" baseline="0">
              <a:solidFill>
                <a:sysClr val="windowText" lastClr="000000"/>
              </a:solidFill>
              <a:latin typeface="+mn-lt"/>
              <a:ea typeface="+mn-ea"/>
              <a:cs typeface="+mn-cs"/>
            </a:rPr>
          </a:br>
          <a:r>
            <a:rPr lang="en-AU" sz="800" b="1">
              <a:solidFill>
                <a:sysClr val="windowText" lastClr="000000"/>
              </a:solidFill>
            </a:rPr>
            <a:t>DMIS: </a:t>
          </a:r>
          <a:r>
            <a:rPr lang="en-AU" sz="800">
              <a:solidFill>
                <a:sysClr val="windowText" lastClr="000000"/>
              </a:solidFill>
            </a:rPr>
            <a:t>Once investment completed</a:t>
          </a:r>
          <a:r>
            <a:rPr lang="en-AU" sz="800" baseline="0">
              <a:solidFill>
                <a:sysClr val="windowText" lastClr="000000"/>
              </a:solidFill>
            </a:rPr>
            <a:t> </a:t>
          </a:r>
          <a:r>
            <a:rPr lang="en-AU" sz="800">
              <a:solidFill>
                <a:sysClr val="windowText" lastClr="000000"/>
              </a:solidFill>
            </a:rPr>
            <a:t>(final year of capex), the following year a % of demand management opex is received (DMIS incentive %). The maximum DMIS</a:t>
          </a:r>
          <a:r>
            <a:rPr lang="en-AU" sz="800" baseline="0">
              <a:solidFill>
                <a:sysClr val="windowText" lastClr="000000"/>
              </a:solidFill>
            </a:rPr>
            <a:t> </a:t>
          </a:r>
          <a:r>
            <a:rPr lang="en-AU" sz="800">
              <a:solidFill>
                <a:sysClr val="windowText" lastClr="000000"/>
              </a:solidFill>
            </a:rPr>
            <a:t>is 50%,</a:t>
          </a:r>
          <a:r>
            <a:rPr lang="en-AU" sz="800" baseline="0">
              <a:solidFill>
                <a:sysClr val="windowText" lastClr="000000"/>
              </a:solidFill>
            </a:rPr>
            <a:t> and</a:t>
          </a:r>
          <a:r>
            <a:rPr lang="en-AU" sz="800">
              <a:solidFill>
                <a:sysClr val="windowText" lastClr="000000"/>
              </a:solidFill>
            </a:rPr>
            <a:t> Ausgrid picks the % for the AER to approve</a:t>
          </a:r>
          <a:r>
            <a:rPr lang="en-AU" sz="800">
              <a:solidFill>
                <a:sysClr val="windowText" lastClr="000000"/>
              </a:solidFill>
              <a:latin typeface="+mn-lt"/>
              <a:ea typeface="+mn-ea"/>
              <a:cs typeface="+mn-cs"/>
            </a:rPr>
            <a:t>. The total $ incentive has to be lower than the benefit from deferring capex.</a:t>
          </a:r>
        </a:p>
      </xdr:txBody>
    </xdr:sp>
    <xdr:clientData/>
  </xdr:twoCellAnchor>
  <xdr:twoCellAnchor>
    <xdr:from>
      <xdr:col>1</xdr:col>
      <xdr:colOff>19879</xdr:colOff>
      <xdr:row>203</xdr:row>
      <xdr:rowOff>66674</xdr:rowOff>
    </xdr:from>
    <xdr:to>
      <xdr:col>11</xdr:col>
      <xdr:colOff>514350</xdr:colOff>
      <xdr:row>214</xdr:row>
      <xdr:rowOff>96982</xdr:rowOff>
    </xdr:to>
    <xdr:sp macro="" textlink="">
      <xdr:nvSpPr>
        <xdr:cNvPr id="9" name="Rectangle 8">
          <a:extLst>
            <a:ext uri="{FF2B5EF4-FFF2-40B4-BE49-F238E27FC236}">
              <a16:creationId xmlns:a16="http://schemas.microsoft.com/office/drawing/2014/main" id="{00000000-0008-0000-0400-000009000000}"/>
            </a:ext>
          </a:extLst>
        </xdr:cNvPr>
        <xdr:cNvSpPr/>
      </xdr:nvSpPr>
      <xdr:spPr>
        <a:xfrm>
          <a:off x="109934" y="27457110"/>
          <a:ext cx="6632034" cy="1478108"/>
        </a:xfrm>
        <a:prstGeom prst="rect">
          <a:avLst/>
        </a:prstGeom>
        <a:solidFill>
          <a:schemeClr val="bg2"/>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marR="0" lvl="0" indent="0" algn="l" defTabSz="914400" rtl="0" eaLnBrk="1" fontAlgn="auto" latinLnBrk="0" hangingPunct="1">
            <a:lnSpc>
              <a:spcPct val="100000"/>
            </a:lnSpc>
            <a:spcBef>
              <a:spcPts val="0"/>
            </a:spcBef>
            <a:spcAft>
              <a:spcPts val="0"/>
            </a:spcAft>
            <a:buClrTx/>
            <a:buSzTx/>
            <a:buFontTx/>
            <a:buNone/>
            <a:tabLst/>
            <a:defRPr/>
          </a:pPr>
          <a:r>
            <a:rPr lang="en-AU" sz="800" baseline="0">
              <a:solidFill>
                <a:sysClr val="windowText" lastClr="000000"/>
              </a:solidFill>
              <a:latin typeface="+mn-lt"/>
              <a:ea typeface="+mn-ea"/>
              <a:cs typeface="+mn-cs"/>
            </a:rPr>
            <a:t>Input ongoing new opex (both positive and negative) below, noting that each component of opex impact should be broken down into direct labour, materials, contracted services, indirect labour / overheads, and other categories where applicable. Repairs impact in the form of both planned and unplanned repairs should also be input and broken down into the appropriate categories as shown below</a:t>
          </a:r>
          <a:r>
            <a:rPr lang="en-AU" sz="800" b="0" baseline="0">
              <a:solidFill>
                <a:sysClr val="windowText" lastClr="000000"/>
              </a:solidFill>
              <a:latin typeface="+mn-lt"/>
              <a:ea typeface="+mn-ea"/>
              <a:cs typeface="+mn-cs"/>
            </a:rPr>
            <a:t>. </a:t>
          </a:r>
        </a:p>
        <a:p>
          <a:pPr marL="0" marR="0" lvl="0" indent="0" algn="l" defTabSz="914400" rtl="0" eaLnBrk="1" fontAlgn="auto" latinLnBrk="0" hangingPunct="1">
            <a:lnSpc>
              <a:spcPct val="100000"/>
            </a:lnSpc>
            <a:spcBef>
              <a:spcPts val="0"/>
            </a:spcBef>
            <a:spcAft>
              <a:spcPts val="0"/>
            </a:spcAft>
            <a:buClrTx/>
            <a:buSzTx/>
            <a:buFontTx/>
            <a:buNone/>
            <a:tabLst/>
            <a:defRPr/>
          </a:pPr>
          <a:r>
            <a:rPr lang="en-AU" sz="800" b="0" baseline="0">
              <a:solidFill>
                <a:sysClr val="windowText" lastClr="000000"/>
              </a:solidFill>
              <a:latin typeface="+mn-lt"/>
              <a:ea typeface="+mn-ea"/>
              <a:cs typeface="+mn-cs"/>
            </a:rPr>
            <a:t>Additional ongoing new opex can be entered as either net benefit/cost, or broken down further into benefits and costs as shown below (see cells D248 and D255). Change labels of input cells (yellow) as required (including </a:t>
          </a:r>
          <a:r>
            <a:rPr lang="en-AU" sz="800" b="0" i="1" baseline="0">
              <a:solidFill>
                <a:sysClr val="windowText" lastClr="000000"/>
              </a:solidFill>
              <a:latin typeface="+mn-lt"/>
              <a:ea typeface="+mn-ea"/>
              <a:cs typeface="+mn-cs"/>
            </a:rPr>
            <a:t>Opex benefit 1</a:t>
          </a:r>
          <a:r>
            <a:rPr lang="en-AU" sz="800" b="0" baseline="0">
              <a:solidFill>
                <a:sysClr val="windowText" lastClr="000000"/>
              </a:solidFill>
              <a:latin typeface="+mn-lt"/>
              <a:ea typeface="+mn-ea"/>
              <a:cs typeface="+mn-cs"/>
            </a:rPr>
            <a:t> and </a:t>
          </a:r>
          <a:r>
            <a:rPr lang="en-AU" sz="800" b="0" i="1" baseline="0">
              <a:solidFill>
                <a:sysClr val="windowText" lastClr="000000"/>
              </a:solidFill>
              <a:latin typeface="+mn-lt"/>
              <a:ea typeface="+mn-ea"/>
              <a:cs typeface="+mn-cs"/>
            </a:rPr>
            <a:t>Opex cost 1</a:t>
          </a:r>
          <a:r>
            <a:rPr lang="en-AU" sz="800" b="0" i="0" baseline="0">
              <a:solidFill>
                <a:sysClr val="windowText" lastClr="000000"/>
              </a:solidFill>
              <a:latin typeface="+mn-lt"/>
              <a:ea typeface="+mn-ea"/>
              <a:cs typeface="+mn-cs"/>
            </a:rPr>
            <a:t>),</a:t>
          </a:r>
          <a:r>
            <a:rPr lang="en-AU" sz="800" b="0" baseline="0">
              <a:solidFill>
                <a:sysClr val="windowText" lastClr="000000"/>
              </a:solidFill>
              <a:latin typeface="+mn-lt"/>
              <a:ea typeface="+mn-ea"/>
              <a:cs typeface="+mn-cs"/>
            </a:rPr>
            <a:t> just be sure to capture all investment opex in this section.</a:t>
          </a:r>
        </a:p>
        <a:p>
          <a:pPr marL="0" marR="0" lvl="0" indent="0" algn="l" defTabSz="914400" rtl="0" eaLnBrk="1" fontAlgn="auto" latinLnBrk="0" hangingPunct="1">
            <a:lnSpc>
              <a:spcPct val="100000"/>
            </a:lnSpc>
            <a:spcBef>
              <a:spcPts val="0"/>
            </a:spcBef>
            <a:spcAft>
              <a:spcPts val="0"/>
            </a:spcAft>
            <a:buClrTx/>
            <a:buSzTx/>
            <a:buFontTx/>
            <a:buNone/>
            <a:tabLst/>
            <a:defRPr/>
          </a:pPr>
          <a:r>
            <a:rPr lang="en-AU" sz="800" b="0" baseline="0">
              <a:solidFill>
                <a:sysClr val="windowText" lastClr="000000"/>
              </a:solidFill>
              <a:latin typeface="+mn-lt"/>
              <a:ea typeface="+mn-ea"/>
              <a:cs typeface="+mn-cs"/>
            </a:rPr>
            <a:t>Please note that </a:t>
          </a:r>
          <a:r>
            <a:rPr lang="en-AU" sz="800" b="1" baseline="0">
              <a:solidFill>
                <a:sysClr val="windowText" lastClr="000000"/>
              </a:solidFill>
              <a:latin typeface="+mn-lt"/>
              <a:ea typeface="+mn-ea"/>
              <a:cs typeface="+mn-cs"/>
            </a:rPr>
            <a:t>opex forecasts after 5 years from the first cash flow will not be accounted for</a:t>
          </a:r>
          <a:r>
            <a:rPr lang="en-AU" sz="800" b="0" baseline="0">
              <a:solidFill>
                <a:sysClr val="windowText" lastClr="000000"/>
              </a:solidFill>
              <a:latin typeface="+mn-lt"/>
              <a:ea typeface="+mn-ea"/>
              <a:cs typeface="+mn-cs"/>
            </a:rPr>
            <a:t> in the model due to the EBSS modelling period. </a:t>
          </a:r>
          <a:r>
            <a:rPr lang="en-AU" sz="800" baseline="0">
              <a:solidFill>
                <a:sysClr val="windowText" lastClr="000000"/>
              </a:solidFill>
              <a:latin typeface="+mn-lt"/>
              <a:ea typeface="+mn-ea"/>
              <a:cs typeface="+mn-cs"/>
            </a:rPr>
            <a:t>Please provide additional descriptions (columns F - J) if required.</a:t>
          </a:r>
        </a:p>
        <a:p>
          <a:pPr marL="0" marR="0" lvl="0" indent="0" algn="l" defTabSz="914400" rtl="0" eaLnBrk="1" fontAlgn="auto" latinLnBrk="0" hangingPunct="1">
            <a:lnSpc>
              <a:spcPct val="100000"/>
            </a:lnSpc>
            <a:spcBef>
              <a:spcPts val="0"/>
            </a:spcBef>
            <a:spcAft>
              <a:spcPts val="0"/>
            </a:spcAft>
            <a:buClrTx/>
            <a:buSzTx/>
            <a:buFontTx/>
            <a:buNone/>
            <a:tabLst/>
            <a:defRPr/>
          </a:pPr>
          <a:r>
            <a:rPr lang="en-AU" sz="800" baseline="0">
              <a:solidFill>
                <a:sysClr val="windowText" lastClr="000000"/>
              </a:solidFill>
              <a:latin typeface="+mn-lt"/>
              <a:ea typeface="+mn-ea"/>
              <a:cs typeface="+mn-cs"/>
            </a:rPr>
            <a:t>Please also enter the number of years that EBSS customer benefits should be realised for.</a:t>
          </a:r>
        </a:p>
        <a:p>
          <a:pPr marL="0" marR="0" lvl="0" indent="0" algn="l" defTabSz="914400" rtl="0" eaLnBrk="1" fontAlgn="auto" latinLnBrk="0" hangingPunct="1">
            <a:lnSpc>
              <a:spcPct val="100000"/>
            </a:lnSpc>
            <a:spcBef>
              <a:spcPts val="0"/>
            </a:spcBef>
            <a:spcAft>
              <a:spcPts val="0"/>
            </a:spcAft>
            <a:buClrTx/>
            <a:buSzTx/>
            <a:buFontTx/>
            <a:buNone/>
            <a:tabLst/>
            <a:defRPr/>
          </a:pPr>
          <a:r>
            <a:rPr lang="en-AU" sz="800" baseline="0">
              <a:solidFill>
                <a:sysClr val="windowText" lastClr="000000"/>
              </a:solidFill>
              <a:latin typeface="+mn-lt"/>
              <a:ea typeface="+mn-ea"/>
              <a:cs typeface="+mn-cs"/>
            </a:rPr>
            <a:t>Please ensure that inputs are not being sourced from the QuickCalcs sheet if using this input sheet for a detailed investment evaluation - these inputs are highlighted by a description (columns F - J) that says "Used for QuickCalc, override if using full inputs".</a:t>
          </a:r>
        </a:p>
        <a:p>
          <a:pPr marL="0" marR="0" lvl="0" indent="0" algn="l" defTabSz="914400" rtl="0" eaLnBrk="1" fontAlgn="auto" latinLnBrk="0" hangingPunct="1">
            <a:lnSpc>
              <a:spcPct val="100000"/>
            </a:lnSpc>
            <a:spcBef>
              <a:spcPts val="0"/>
            </a:spcBef>
            <a:spcAft>
              <a:spcPts val="0"/>
            </a:spcAft>
            <a:buClrTx/>
            <a:buSzTx/>
            <a:buFontTx/>
            <a:buNone/>
            <a:tabLst/>
            <a:defRPr/>
          </a:pPr>
          <a:endParaRPr lang="en-AU" sz="800" baseline="0">
            <a:solidFill>
              <a:sysClr val="windowText" lastClr="000000"/>
            </a:solidFill>
            <a:latin typeface="+mn-lt"/>
            <a:ea typeface="+mn-ea"/>
            <a:cs typeface="+mn-cs"/>
          </a:endParaRPr>
        </a:p>
      </xdr:txBody>
    </xdr:sp>
    <xdr:clientData/>
  </xdr:twoCellAnchor>
  <xdr:twoCellAnchor>
    <xdr:from>
      <xdr:col>1</xdr:col>
      <xdr:colOff>6350</xdr:colOff>
      <xdr:row>263</xdr:row>
      <xdr:rowOff>3809</xdr:rowOff>
    </xdr:from>
    <xdr:to>
      <xdr:col>11</xdr:col>
      <xdr:colOff>498764</xdr:colOff>
      <xdr:row>274</xdr:row>
      <xdr:rowOff>34636</xdr:rowOff>
    </xdr:to>
    <xdr:sp macro="" textlink="">
      <xdr:nvSpPr>
        <xdr:cNvPr id="10" name="Rectangle 9">
          <a:extLst>
            <a:ext uri="{FF2B5EF4-FFF2-40B4-BE49-F238E27FC236}">
              <a16:creationId xmlns:a16="http://schemas.microsoft.com/office/drawing/2014/main" id="{00000000-0008-0000-0400-00000A000000}"/>
            </a:ext>
          </a:extLst>
        </xdr:cNvPr>
        <xdr:cNvSpPr/>
      </xdr:nvSpPr>
      <xdr:spPr>
        <a:xfrm>
          <a:off x="96405" y="35291336"/>
          <a:ext cx="6629977" cy="1478627"/>
        </a:xfrm>
        <a:prstGeom prst="rect">
          <a:avLst/>
        </a:prstGeom>
        <a:solidFill>
          <a:schemeClr val="bg2"/>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lang="en-AU" sz="800">
              <a:solidFill>
                <a:sysClr val="windowText" lastClr="000000"/>
              </a:solidFill>
            </a:rPr>
            <a:t>Input</a:t>
          </a:r>
          <a:r>
            <a:rPr lang="en-AU" sz="800" baseline="0">
              <a:solidFill>
                <a:sysClr val="windowText" lastClr="000000"/>
              </a:solidFill>
            </a:rPr>
            <a:t> risk impact (both benefits and dis-benefits) </a:t>
          </a:r>
          <a:r>
            <a:rPr lang="en-AU" sz="800" baseline="0">
              <a:solidFill>
                <a:sysClr val="windowText" lastClr="000000"/>
              </a:solidFill>
              <a:latin typeface="+mn-lt"/>
              <a:ea typeface="+mn-ea"/>
              <a:cs typeface="+mn-cs"/>
            </a:rPr>
            <a:t>below. Note that the </a:t>
          </a:r>
          <a:r>
            <a:rPr lang="en-AU" sz="800" b="1" baseline="0">
              <a:solidFill>
                <a:sysClr val="windowText" lastClr="000000"/>
              </a:solidFill>
              <a:latin typeface="+mn-lt"/>
              <a:ea typeface="+mn-ea"/>
              <a:cs typeface="+mn-cs"/>
            </a:rPr>
            <a:t>Probabilistic NPV </a:t>
          </a:r>
          <a:r>
            <a:rPr lang="en-AU" sz="800" b="0" baseline="0">
              <a:solidFill>
                <a:sysClr val="windowText" lastClr="000000"/>
              </a:solidFill>
              <a:latin typeface="+mn-lt"/>
              <a:ea typeface="+mn-ea"/>
              <a:cs typeface="+mn-cs"/>
            </a:rPr>
            <a:t>tool can be used to do this, however it is not a requirement that this tool's methodology be used. When using the </a:t>
          </a:r>
          <a:r>
            <a:rPr lang="en-AU" sz="800" b="1" baseline="0">
              <a:solidFill>
                <a:sysClr val="windowText" lastClr="000000"/>
              </a:solidFill>
              <a:latin typeface="+mn-lt"/>
              <a:ea typeface="+mn-ea"/>
              <a:cs typeface="+mn-cs"/>
            </a:rPr>
            <a:t>Probabilistic NPV </a:t>
          </a:r>
          <a:r>
            <a:rPr lang="en-AU" sz="800" b="0" baseline="0">
              <a:solidFill>
                <a:sysClr val="windowText" lastClr="000000"/>
              </a:solidFill>
              <a:latin typeface="+mn-lt"/>
              <a:ea typeface="+mn-ea"/>
              <a:cs typeface="+mn-cs"/>
            </a:rPr>
            <a:t>tool</a:t>
          </a:r>
          <a:r>
            <a:rPr lang="en-AU" sz="800" b="1" baseline="0">
              <a:solidFill>
                <a:sysClr val="windowText" lastClr="000000"/>
              </a:solidFill>
              <a:latin typeface="+mn-lt"/>
              <a:ea typeface="+mn-ea"/>
              <a:cs typeface="+mn-cs"/>
            </a:rPr>
            <a:t> </a:t>
          </a:r>
          <a:r>
            <a:rPr lang="en-AU" sz="800" b="0" baseline="0">
              <a:solidFill>
                <a:sysClr val="windowText" lastClr="000000"/>
              </a:solidFill>
              <a:latin typeface="+mn-lt"/>
              <a:ea typeface="+mn-ea"/>
              <a:cs typeface="+mn-cs"/>
            </a:rPr>
            <a:t>to calculate the inputs below, output values should be copied and pasted from the </a:t>
          </a:r>
          <a:r>
            <a:rPr lang="en-AU" sz="800" b="1" baseline="0">
              <a:solidFill>
                <a:sysClr val="windowText" lastClr="000000"/>
              </a:solidFill>
              <a:latin typeface="+mn-lt"/>
              <a:ea typeface="+mn-ea"/>
              <a:cs typeface="+mn-cs"/>
            </a:rPr>
            <a:t>ProbOutput </a:t>
          </a:r>
          <a:r>
            <a:rPr lang="en-AU" sz="800" b="0" baseline="0">
              <a:solidFill>
                <a:sysClr val="windowText" lastClr="000000"/>
              </a:solidFill>
              <a:latin typeface="+mn-lt"/>
              <a:ea typeface="+mn-ea"/>
              <a:cs typeface="+mn-cs"/>
            </a:rPr>
            <a:t>sheet as bordered by the </a:t>
          </a:r>
          <a:r>
            <a:rPr lang="en-AU" sz="800" b="1" baseline="0">
              <a:solidFill>
                <a:sysClr val="windowText" lastClr="000000"/>
              </a:solidFill>
              <a:latin typeface="+mn-lt"/>
              <a:ea typeface="+mn-ea"/>
              <a:cs typeface="+mn-cs"/>
            </a:rPr>
            <a:t>thick black border</a:t>
          </a:r>
          <a:r>
            <a:rPr lang="en-AU" sz="800" b="0" baseline="0">
              <a:solidFill>
                <a:sysClr val="windowText" lastClr="000000"/>
              </a:solidFill>
              <a:latin typeface="+mn-lt"/>
              <a:ea typeface="+mn-ea"/>
              <a:cs typeface="+mn-cs"/>
            </a:rPr>
            <a:t>,</a:t>
          </a:r>
          <a:r>
            <a:rPr lang="en-AU" sz="800" b="1" baseline="0">
              <a:solidFill>
                <a:sysClr val="windowText" lastClr="000000"/>
              </a:solidFill>
              <a:latin typeface="+mn-lt"/>
              <a:ea typeface="+mn-ea"/>
              <a:cs typeface="+mn-cs"/>
            </a:rPr>
            <a:t> </a:t>
          </a:r>
          <a:r>
            <a:rPr lang="en-AU" sz="800" b="0" baseline="0">
              <a:solidFill>
                <a:sysClr val="windowText" lastClr="000000"/>
              </a:solidFill>
              <a:latin typeface="+mn-lt"/>
              <a:ea typeface="+mn-ea"/>
              <a:cs typeface="+mn-cs"/>
            </a:rPr>
            <a:t>but take care to ensure that you do not copy any #DIV/0 values (see note in </a:t>
          </a:r>
          <a:r>
            <a:rPr lang="en-AU" sz="800" b="1" baseline="0">
              <a:solidFill>
                <a:sysClr val="windowText" lastClr="000000"/>
              </a:solidFill>
              <a:latin typeface="+mn-lt"/>
              <a:ea typeface="+mn-ea"/>
              <a:cs typeface="+mn-cs"/>
            </a:rPr>
            <a:t>ProbOutput</a:t>
          </a:r>
          <a:r>
            <a:rPr lang="en-AU" sz="800" b="0" baseline="0">
              <a:solidFill>
                <a:sysClr val="windowText" lastClr="000000"/>
              </a:solidFill>
              <a:latin typeface="+mn-lt"/>
              <a:ea typeface="+mn-ea"/>
              <a:cs typeface="+mn-cs"/>
            </a:rPr>
            <a:t> sheet). Should additional documentation be used to quantify risk impacts please provide them as supporting documents in addition to this workbook. Note that STPIS and Network asset failure EUE are different inputs (STPIS listed above under incentive schemes), as Network asset failure EUE relates to broader community benefits as opposed to STPIS which relates to a benefit for Ausgrid. Please provide additional descriptions (columns F - J) if required.</a:t>
          </a:r>
        </a:p>
        <a:p>
          <a:pPr marL="0" marR="0" lvl="0" indent="0" algn="l" defTabSz="914400" eaLnBrk="1" fontAlgn="auto" latinLnBrk="0" hangingPunct="1">
            <a:lnSpc>
              <a:spcPct val="100000"/>
            </a:lnSpc>
            <a:spcBef>
              <a:spcPts val="0"/>
            </a:spcBef>
            <a:spcAft>
              <a:spcPts val="0"/>
            </a:spcAft>
            <a:buClrTx/>
            <a:buSzTx/>
            <a:buFontTx/>
            <a:buNone/>
            <a:tabLst/>
            <a:defRPr/>
          </a:pPr>
          <a:r>
            <a:rPr lang="en-AU" sz="800" b="1" baseline="0">
              <a:solidFill>
                <a:sysClr val="windowText" lastClr="000000"/>
              </a:solidFill>
              <a:latin typeface="+mn-lt"/>
              <a:ea typeface="+mn-ea"/>
              <a:cs typeface="+mn-cs"/>
            </a:rPr>
            <a:t>Please provide a detailed breakdown of protective security risk, ICT/OT hardware or software failure risk, and employee engagement </a:t>
          </a:r>
          <a:r>
            <a:rPr lang="en-AU" sz="800" b="0" baseline="0">
              <a:solidFill>
                <a:sysClr val="windowText" lastClr="000000"/>
              </a:solidFill>
              <a:latin typeface="+mn-lt"/>
              <a:ea typeface="+mn-ea"/>
              <a:cs typeface="+mn-cs"/>
            </a:rPr>
            <a:t>as per the breakdown below. If unable to allocate into these categories, please enter under one of the subcategories or split evenly and make a note of this in the description (columns F - J).</a:t>
          </a:r>
        </a:p>
        <a:p>
          <a:pPr marL="0" marR="0" lvl="0" indent="0" algn="l" defTabSz="914400" rtl="0" eaLnBrk="1" fontAlgn="auto" latinLnBrk="0" hangingPunct="1">
            <a:lnSpc>
              <a:spcPct val="100000"/>
            </a:lnSpc>
            <a:spcBef>
              <a:spcPts val="0"/>
            </a:spcBef>
            <a:spcAft>
              <a:spcPts val="0"/>
            </a:spcAft>
            <a:buClrTx/>
            <a:buSzTx/>
            <a:buFontTx/>
            <a:buNone/>
            <a:tabLst/>
            <a:defRPr/>
          </a:pPr>
          <a:r>
            <a:rPr lang="en-AU" sz="800" b="0" baseline="0">
              <a:solidFill>
                <a:sysClr val="windowText" lastClr="000000"/>
              </a:solidFill>
              <a:latin typeface="+mn-lt"/>
              <a:ea typeface="+mn-ea"/>
              <a:cs typeface="+mn-cs"/>
            </a:rPr>
            <a:t>Please ensure that inputs are not being sourced from the QuickCalcs sheet if using this input sheet for a detailed investment evaluation - these inputs are highlighted by a description (columns F - J) that says "Used for QuickCalc, override if using full inputs".</a:t>
          </a:r>
        </a:p>
      </xdr:txBody>
    </xdr:sp>
    <xdr:clientData/>
  </xdr:twoCellAnchor>
  <xdr:twoCellAnchor>
    <xdr:from>
      <xdr:col>0</xdr:col>
      <xdr:colOff>69851</xdr:colOff>
      <xdr:row>110</xdr:row>
      <xdr:rowOff>6350</xdr:rowOff>
    </xdr:from>
    <xdr:to>
      <xdr:col>11</xdr:col>
      <xdr:colOff>527051</xdr:colOff>
      <xdr:row>112</xdr:row>
      <xdr:rowOff>55418</xdr:rowOff>
    </xdr:to>
    <xdr:sp macro="" textlink="">
      <xdr:nvSpPr>
        <xdr:cNvPr id="11" name="Rectangle 10">
          <a:extLst>
            <a:ext uri="{FF2B5EF4-FFF2-40B4-BE49-F238E27FC236}">
              <a16:creationId xmlns:a16="http://schemas.microsoft.com/office/drawing/2014/main" id="{00000000-0008-0000-0400-00000B000000}"/>
            </a:ext>
          </a:extLst>
        </xdr:cNvPr>
        <xdr:cNvSpPr/>
      </xdr:nvSpPr>
      <xdr:spPr>
        <a:xfrm>
          <a:off x="69851" y="15156295"/>
          <a:ext cx="6684818" cy="312305"/>
        </a:xfrm>
        <a:prstGeom prst="rect">
          <a:avLst/>
        </a:prstGeom>
        <a:solidFill>
          <a:schemeClr val="bg2"/>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lang="en-AU" sz="800" baseline="0">
              <a:solidFill>
                <a:sysClr val="windowText" lastClr="000000"/>
              </a:solidFill>
              <a:latin typeface="+mn-lt"/>
              <a:ea typeface="+mn-ea"/>
              <a:cs typeface="+mn-cs"/>
            </a:rPr>
            <a:t>Input costs already incurred which have not been capitalised into the RAB. It is capitalised in year 0.</a:t>
          </a:r>
        </a:p>
      </xdr:txBody>
    </xdr:sp>
    <xdr:clientData/>
  </xdr:twoCellAnchor>
  <xdr:twoCellAnchor>
    <xdr:from>
      <xdr:col>0</xdr:col>
      <xdr:colOff>69850</xdr:colOff>
      <xdr:row>177</xdr:row>
      <xdr:rowOff>41563</xdr:rowOff>
    </xdr:from>
    <xdr:to>
      <xdr:col>11</xdr:col>
      <xdr:colOff>527050</xdr:colOff>
      <xdr:row>182</xdr:row>
      <xdr:rowOff>131617</xdr:rowOff>
    </xdr:to>
    <xdr:sp macro="" textlink="">
      <xdr:nvSpPr>
        <xdr:cNvPr id="12" name="Rectangle 11">
          <a:extLst>
            <a:ext uri="{FF2B5EF4-FFF2-40B4-BE49-F238E27FC236}">
              <a16:creationId xmlns:a16="http://schemas.microsoft.com/office/drawing/2014/main" id="{00000000-0008-0000-0400-00000C000000}"/>
            </a:ext>
          </a:extLst>
        </xdr:cNvPr>
        <xdr:cNvSpPr/>
      </xdr:nvSpPr>
      <xdr:spPr>
        <a:xfrm>
          <a:off x="69850" y="24009927"/>
          <a:ext cx="6684818" cy="748145"/>
        </a:xfrm>
        <a:prstGeom prst="rect">
          <a:avLst/>
        </a:prstGeom>
        <a:solidFill>
          <a:schemeClr val="bg2"/>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lang="en-AU" sz="800">
              <a:solidFill>
                <a:sysClr val="windowText" lastClr="000000"/>
              </a:solidFill>
            </a:rPr>
            <a:t>Input</a:t>
          </a:r>
          <a:r>
            <a:rPr lang="en-AU" sz="800" baseline="0">
              <a:solidFill>
                <a:sysClr val="windowText" lastClr="000000"/>
              </a:solidFill>
            </a:rPr>
            <a:t> i</a:t>
          </a:r>
          <a:r>
            <a:rPr lang="en-AU" sz="800">
              <a:solidFill>
                <a:sysClr val="windowText" lastClr="000000"/>
              </a:solidFill>
            </a:rPr>
            <a:t>nvestment</a:t>
          </a:r>
          <a:r>
            <a:rPr lang="en-AU" sz="800" baseline="0">
              <a:solidFill>
                <a:sysClr val="windowText" lastClr="000000"/>
              </a:solidFill>
            </a:rPr>
            <a:t> returns in the form of any sources of non-regulatory revenue below. Please also select whether non-regulatory revenue is subject to SAG, noting that any additional components entered are also treated as non-regulatory revenues for the purpose of SAG treatment</a:t>
          </a:r>
          <a:r>
            <a:rPr lang="en-AU" sz="800" baseline="0">
              <a:solidFill>
                <a:sysClr val="windowText" lastClr="000000"/>
              </a:solidFill>
              <a:latin typeface="+mn-lt"/>
              <a:ea typeface="+mn-ea"/>
              <a:cs typeface="+mn-cs"/>
            </a:rPr>
            <a:t>. Please provide descriptions of investment returns (columns F - J) where required. </a:t>
          </a:r>
        </a:p>
        <a:p>
          <a:pPr marL="0" marR="0" lvl="0" indent="0" algn="l" defTabSz="914400" eaLnBrk="1" fontAlgn="auto" latinLnBrk="0" hangingPunct="1">
            <a:lnSpc>
              <a:spcPct val="100000"/>
            </a:lnSpc>
            <a:spcBef>
              <a:spcPts val="0"/>
            </a:spcBef>
            <a:spcAft>
              <a:spcPts val="0"/>
            </a:spcAft>
            <a:buClrTx/>
            <a:buSzTx/>
            <a:buFontTx/>
            <a:buNone/>
            <a:tabLst/>
            <a:defRPr/>
          </a:pPr>
          <a:r>
            <a:rPr lang="en-AU" sz="800" baseline="0">
              <a:solidFill>
                <a:sysClr val="windowText" lastClr="000000"/>
              </a:solidFill>
              <a:latin typeface="+mn-lt"/>
              <a:ea typeface="+mn-ea"/>
              <a:cs typeface="+mn-cs"/>
            </a:rPr>
            <a:t>Please ensure that inputs are not being sourced from the QuickCalcs sheet if using this input sheet for a detailed investment evaluation - these inputs are highlighted by a description (columns F - J) that says "Used for QuickCalc, override if using full inputs".</a:t>
          </a:r>
        </a:p>
        <a:p>
          <a:pPr marL="0" marR="0" lvl="0" indent="0" algn="l" defTabSz="914400" eaLnBrk="1" fontAlgn="auto" latinLnBrk="0" hangingPunct="1">
            <a:lnSpc>
              <a:spcPct val="100000"/>
            </a:lnSpc>
            <a:spcBef>
              <a:spcPts val="0"/>
            </a:spcBef>
            <a:spcAft>
              <a:spcPts val="0"/>
            </a:spcAft>
            <a:buClrTx/>
            <a:buSzTx/>
            <a:buFontTx/>
            <a:buNone/>
            <a:tabLst/>
            <a:defRPr/>
          </a:pPr>
          <a:endParaRPr lang="en-AU" sz="800" baseline="0">
            <a:solidFill>
              <a:sysClr val="windowText" lastClr="000000"/>
            </a:solidFill>
            <a:latin typeface="+mn-lt"/>
            <a:ea typeface="+mn-ea"/>
            <a:cs typeface="+mn-cs"/>
          </a:endParaRPr>
        </a:p>
        <a:p>
          <a:pPr algn="l"/>
          <a:endParaRPr lang="en-AU" sz="800">
            <a:solidFill>
              <a:sysClr val="windowText" lastClr="000000"/>
            </a:solidFill>
          </a:endParaRPr>
        </a:p>
      </xdr:txBody>
    </xdr:sp>
    <xdr:clientData/>
  </xdr:twoCellAnchor>
  <xdr:twoCellAnchor>
    <xdr:from>
      <xdr:col>0</xdr:col>
      <xdr:colOff>80735</xdr:colOff>
      <xdr:row>189</xdr:row>
      <xdr:rowOff>40096</xdr:rowOff>
    </xdr:from>
    <xdr:to>
      <xdr:col>11</xdr:col>
      <xdr:colOff>537935</xdr:colOff>
      <xdr:row>193</xdr:row>
      <xdr:rowOff>124690</xdr:rowOff>
    </xdr:to>
    <xdr:sp macro="" textlink="">
      <xdr:nvSpPr>
        <xdr:cNvPr id="13" name="Rectangle 12">
          <a:extLst>
            <a:ext uri="{FF2B5EF4-FFF2-40B4-BE49-F238E27FC236}">
              <a16:creationId xmlns:a16="http://schemas.microsoft.com/office/drawing/2014/main" id="{88448053-ED79-45F9-8336-4B486E3AC234}"/>
            </a:ext>
          </a:extLst>
        </xdr:cNvPr>
        <xdr:cNvSpPr/>
      </xdr:nvSpPr>
      <xdr:spPr>
        <a:xfrm>
          <a:off x="80735" y="25587878"/>
          <a:ext cx="6684818" cy="611067"/>
        </a:xfrm>
        <a:prstGeom prst="rect">
          <a:avLst/>
        </a:prstGeom>
        <a:solidFill>
          <a:schemeClr val="bg2"/>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lang="en-AU" sz="800">
              <a:solidFill>
                <a:sysClr val="windowText" lastClr="000000"/>
              </a:solidFill>
              <a:latin typeface="+mn-lt"/>
              <a:ea typeface="+mn-ea"/>
              <a:cs typeface="+mn-cs"/>
            </a:rPr>
            <a:t>One-off investment </a:t>
          </a:r>
          <a:r>
            <a:rPr lang="en-AU" sz="800">
              <a:solidFill>
                <a:sysClr val="windowText" lastClr="000000"/>
              </a:solidFill>
            </a:rPr>
            <a:t>opex to be entered here. For</a:t>
          </a:r>
          <a:r>
            <a:rPr lang="en-AU" sz="800" baseline="0">
              <a:solidFill>
                <a:sysClr val="windowText" lastClr="000000"/>
              </a:solidFill>
            </a:rPr>
            <a:t> example, the implementation of a SaaS solution.</a:t>
          </a:r>
        </a:p>
        <a:p>
          <a:pPr marL="0" marR="0" lvl="0" indent="0" algn="l" defTabSz="914400" eaLnBrk="1" fontAlgn="auto" latinLnBrk="0" hangingPunct="1">
            <a:lnSpc>
              <a:spcPct val="100000"/>
            </a:lnSpc>
            <a:spcBef>
              <a:spcPts val="0"/>
            </a:spcBef>
            <a:spcAft>
              <a:spcPts val="0"/>
            </a:spcAft>
            <a:buClrTx/>
            <a:buSzTx/>
            <a:buFontTx/>
            <a:buNone/>
            <a:tabLst/>
            <a:defRPr/>
          </a:pPr>
          <a:r>
            <a:rPr lang="en-AU" sz="800" baseline="0">
              <a:solidFill>
                <a:sysClr val="windowText" lastClr="000000"/>
              </a:solidFill>
            </a:rPr>
            <a:t>Use toggles across years to indicate whether costs impact </a:t>
          </a:r>
          <a:r>
            <a:rPr lang="en-AU" sz="800" baseline="0">
              <a:solidFill>
                <a:sysClr val="windowText" lastClr="000000"/>
              </a:solidFill>
              <a:latin typeface="+mn-lt"/>
              <a:ea typeface="+mn-ea"/>
              <a:cs typeface="+mn-cs"/>
            </a:rPr>
            <a:t>shareholder (select 1 - i.e. absorbed in the opex allowance) or customer (select 0 - i.e. results in a change in the opex allowance). Please ensure that inputs are not being sourced from the QuickCalcs sheet if using this input sheet for a detailed investment evaluation - these inputs are highlighted by a description (columns F - J) that says "Used for QuickCalc, override if using full inputs".</a:t>
          </a:r>
        </a:p>
        <a:p>
          <a:pPr marL="0" marR="0" lvl="0" indent="0" algn="l" defTabSz="914400" eaLnBrk="1" fontAlgn="auto" latinLnBrk="0" hangingPunct="1">
            <a:lnSpc>
              <a:spcPct val="100000"/>
            </a:lnSpc>
            <a:spcBef>
              <a:spcPts val="0"/>
            </a:spcBef>
            <a:spcAft>
              <a:spcPts val="0"/>
            </a:spcAft>
            <a:buClrTx/>
            <a:buSzTx/>
            <a:buFontTx/>
            <a:buNone/>
            <a:tabLst/>
            <a:defRPr/>
          </a:pPr>
          <a:endParaRPr lang="en-AU" sz="800">
            <a:solidFill>
              <a:sysClr val="windowText" lastClr="000000"/>
            </a:solidFill>
          </a:endParaRPr>
        </a:p>
      </xdr:txBody>
    </xdr:sp>
    <xdr:clientData/>
  </xdr:twoCellAnchor>
  <xdr:twoCellAnchor>
    <xdr:from>
      <xdr:col>0</xdr:col>
      <xdr:colOff>69851</xdr:colOff>
      <xdr:row>137</xdr:row>
      <xdr:rowOff>57150</xdr:rowOff>
    </xdr:from>
    <xdr:to>
      <xdr:col>11</xdr:col>
      <xdr:colOff>527051</xdr:colOff>
      <xdr:row>141</xdr:row>
      <xdr:rowOff>83127</xdr:rowOff>
    </xdr:to>
    <xdr:sp macro="" textlink="">
      <xdr:nvSpPr>
        <xdr:cNvPr id="14" name="Rectangle 13">
          <a:extLst>
            <a:ext uri="{FF2B5EF4-FFF2-40B4-BE49-F238E27FC236}">
              <a16:creationId xmlns:a16="http://schemas.microsoft.com/office/drawing/2014/main" id="{BBA86519-E5A7-42C9-B060-929FB5A1FE10}"/>
            </a:ext>
          </a:extLst>
        </xdr:cNvPr>
        <xdr:cNvSpPr/>
      </xdr:nvSpPr>
      <xdr:spPr>
        <a:xfrm>
          <a:off x="69851" y="5743575"/>
          <a:ext cx="7086600" cy="521277"/>
        </a:xfrm>
        <a:prstGeom prst="rect">
          <a:avLst/>
        </a:prstGeom>
        <a:solidFill>
          <a:schemeClr val="bg2"/>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lang="en-AU" sz="800" baseline="0">
              <a:solidFill>
                <a:sysClr val="windowText" lastClr="000000"/>
              </a:solidFill>
              <a:latin typeface="+mn-lt"/>
              <a:ea typeface="+mn-ea"/>
              <a:cs typeface="+mn-cs"/>
            </a:rPr>
            <a:t>Benefits should be recorded for the life of the asset. Supporting calculations for any expected capex benefits over the investment horizon should be provided, and/or available if requested. Please ensure that inputs are not being sourced from the QuickCalcs sheet if using this input sheet for a detailed investment evaluation - these inputs are highlighted by a description (columns F - J) that says "Used for QuickCalc, override if using full inputs".</a:t>
          </a:r>
        </a:p>
        <a:p>
          <a:pPr marL="0" marR="0" lvl="0" indent="0" algn="l" defTabSz="914400" eaLnBrk="1" fontAlgn="auto" latinLnBrk="0" hangingPunct="1">
            <a:lnSpc>
              <a:spcPct val="100000"/>
            </a:lnSpc>
            <a:spcBef>
              <a:spcPts val="0"/>
            </a:spcBef>
            <a:spcAft>
              <a:spcPts val="0"/>
            </a:spcAft>
            <a:buClrTx/>
            <a:buSzTx/>
            <a:buFontTx/>
            <a:buNone/>
            <a:tabLst/>
            <a:defRPr/>
          </a:pPr>
          <a:endParaRPr lang="en-AU" sz="800" baseline="0">
            <a:solidFill>
              <a:sysClr val="windowText" lastClr="000000"/>
            </a:solidFill>
            <a:latin typeface="+mn-lt"/>
            <a:ea typeface="+mn-ea"/>
            <a:cs typeface="+mn-cs"/>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8</xdr:row>
      <xdr:rowOff>39689</xdr:rowOff>
    </xdr:from>
    <xdr:to>
      <xdr:col>32</xdr:col>
      <xdr:colOff>104054</xdr:colOff>
      <xdr:row>10</xdr:row>
      <xdr:rowOff>198438</xdr:rowOff>
    </xdr:to>
    <xdr:sp macro="" textlink="">
      <xdr:nvSpPr>
        <xdr:cNvPr id="3" name="Rectangle 2">
          <a:extLst>
            <a:ext uri="{FF2B5EF4-FFF2-40B4-BE49-F238E27FC236}">
              <a16:creationId xmlns:a16="http://schemas.microsoft.com/office/drawing/2014/main" id="{00000000-0008-0000-0700-000003000000}"/>
            </a:ext>
          </a:extLst>
        </xdr:cNvPr>
        <xdr:cNvSpPr/>
      </xdr:nvSpPr>
      <xdr:spPr>
        <a:xfrm>
          <a:off x="0" y="1881189"/>
          <a:ext cx="26710554" cy="619124"/>
        </a:xfrm>
        <a:prstGeom prst="rect">
          <a:avLst/>
        </a:prstGeom>
        <a:solidFill>
          <a:schemeClr val="bg2"/>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lang="en-AU" sz="1600" baseline="0">
              <a:solidFill>
                <a:sysClr val="windowText" lastClr="000000"/>
              </a:solidFill>
            </a:rPr>
            <a:t>This </a:t>
          </a:r>
          <a:r>
            <a:rPr lang="en-AU" sz="1600" b="1" baseline="0">
              <a:solidFill>
                <a:sysClr val="windowText" lastClr="000000"/>
              </a:solidFill>
            </a:rPr>
            <a:t>Output </a:t>
          </a:r>
          <a:r>
            <a:rPr lang="en-AU" sz="1600" b="0" baseline="0">
              <a:solidFill>
                <a:sysClr val="windowText" lastClr="000000"/>
              </a:solidFill>
            </a:rPr>
            <a:t>sheet provides output data that is required to fill out the </a:t>
          </a:r>
          <a:r>
            <a:rPr lang="en-AU" sz="1600" b="1" baseline="0">
              <a:solidFill>
                <a:sysClr val="windowText" lastClr="000000"/>
              </a:solidFill>
            </a:rPr>
            <a:t>business case template. </a:t>
          </a:r>
          <a:r>
            <a:rPr lang="en-AU" sz="1600" b="0" baseline="0">
              <a:solidFill>
                <a:sysClr val="windowText" lastClr="000000"/>
              </a:solidFill>
            </a:rPr>
            <a:t>The WACC rate can be changed using the drop down selection in cells E14 and F14.</a:t>
          </a:r>
          <a:r>
            <a:rPr lang="en-AU" sz="1600" baseline="0">
              <a:solidFill>
                <a:sysClr val="windowText" lastClr="000000"/>
              </a:solidFill>
            </a:rPr>
            <a:t> </a:t>
          </a:r>
          <a:r>
            <a:rPr lang="en-AU" sz="1600" b="0" baseline="0">
              <a:solidFill>
                <a:sysClr val="windowText" lastClr="000000"/>
              </a:solidFill>
              <a:latin typeface="+mn-lt"/>
              <a:ea typeface="+mn-ea"/>
              <a:cs typeface="+mn-cs"/>
            </a:rPr>
            <a:t>As a guide, WACC rates should be selected as high for ring-fenced unregulated investments and low for regulated investments. WACC rates should not be altered.</a:t>
          </a:r>
        </a:p>
        <a:p>
          <a:pPr marL="0" marR="0" lvl="0" indent="0" algn="l" defTabSz="914400" eaLnBrk="1" fontAlgn="auto" latinLnBrk="0" hangingPunct="1">
            <a:lnSpc>
              <a:spcPct val="100000"/>
            </a:lnSpc>
            <a:spcBef>
              <a:spcPts val="0"/>
            </a:spcBef>
            <a:spcAft>
              <a:spcPts val="0"/>
            </a:spcAft>
            <a:buClrTx/>
            <a:buSzTx/>
            <a:buFontTx/>
            <a:buNone/>
            <a:tabLst/>
            <a:defRPr/>
          </a:pPr>
          <a:r>
            <a:rPr lang="en-AU" sz="1600" baseline="0">
              <a:solidFill>
                <a:sysClr val="windowText" lastClr="000000"/>
              </a:solidFill>
            </a:rPr>
            <a:t>EBSS and CESS can be included or excluded using the switch in cells H14 and I14. Consult with finance before changing these settings</a:t>
          </a:r>
        </a:p>
        <a:p>
          <a:pPr marL="0" marR="0" lvl="0" indent="0" algn="l" defTabSz="914400" eaLnBrk="1" fontAlgn="auto" latinLnBrk="0" hangingPunct="1">
            <a:lnSpc>
              <a:spcPct val="100000"/>
            </a:lnSpc>
            <a:spcBef>
              <a:spcPts val="0"/>
            </a:spcBef>
            <a:spcAft>
              <a:spcPts val="0"/>
            </a:spcAft>
            <a:buClrTx/>
            <a:buSzTx/>
            <a:buFontTx/>
            <a:buNone/>
            <a:tabLst/>
            <a:defRPr/>
          </a:pPr>
          <a:r>
            <a:rPr lang="en-AU" sz="1600" b="1" baseline="0">
              <a:solidFill>
                <a:sysClr val="windowText" lastClr="000000"/>
              </a:solidFill>
            </a:rPr>
            <a:t>STPIS benefits </a:t>
          </a:r>
          <a:r>
            <a:rPr lang="en-AU" sz="1600" baseline="0">
              <a:solidFill>
                <a:sysClr val="windowText" lastClr="000000"/>
              </a:solidFill>
            </a:rPr>
            <a:t>are a cost to the customer in the first five (5) years and thereafter result in an ongoing customer benefit as a result of improvments in the network and lower EUE. These benefits can either be calculated manually, or automatically based on the STPIS calculation by turning the switch in cell U14 to "yes"</a:t>
          </a:r>
        </a:p>
        <a:p>
          <a:pPr marL="0" marR="0" lvl="0" indent="0" algn="l" defTabSz="914400" eaLnBrk="1" fontAlgn="auto" latinLnBrk="0" hangingPunct="1">
            <a:lnSpc>
              <a:spcPct val="100000"/>
            </a:lnSpc>
            <a:spcBef>
              <a:spcPts val="0"/>
            </a:spcBef>
            <a:spcAft>
              <a:spcPts val="0"/>
            </a:spcAft>
            <a:buClrTx/>
            <a:buSzTx/>
            <a:buFontTx/>
            <a:buNone/>
            <a:tabLst/>
            <a:defRPr/>
          </a:pPr>
          <a:r>
            <a:rPr lang="en-AU" sz="1600" baseline="0">
              <a:solidFill>
                <a:sysClr val="windowText" lastClr="000000"/>
              </a:solidFill>
            </a:rPr>
            <a:t>The </a:t>
          </a:r>
          <a:r>
            <a:rPr lang="en-AU" sz="1600" b="1" baseline="0">
              <a:solidFill>
                <a:sysClr val="windowText" lastClr="000000"/>
              </a:solidFill>
            </a:rPr>
            <a:t>NPV valuation period can be switched </a:t>
          </a:r>
          <a:r>
            <a:rPr lang="en-AU" sz="1600" b="0" baseline="0">
              <a:solidFill>
                <a:sysClr val="windowText" lastClr="000000"/>
              </a:solidFill>
            </a:rPr>
            <a:t>between </a:t>
          </a:r>
          <a:r>
            <a:rPr lang="en-AU" sz="1600" baseline="0">
              <a:solidFill>
                <a:sysClr val="windowText" lastClr="000000"/>
              </a:solidFill>
            </a:rPr>
            <a:t>the period defined by the user input </a:t>
          </a:r>
          <a:r>
            <a:rPr lang="en-AU" sz="1600" b="1" baseline="0">
              <a:solidFill>
                <a:sysClr val="windowText" lastClr="000000"/>
              </a:solidFill>
            </a:rPr>
            <a:t>last year of longest useful asset life option</a:t>
          </a:r>
          <a:r>
            <a:rPr lang="en-AU" sz="1600" baseline="0">
              <a:solidFill>
                <a:sysClr val="windowText" lastClr="000000"/>
              </a:solidFill>
            </a:rPr>
            <a:t>, and </a:t>
          </a:r>
          <a:r>
            <a:rPr lang="en-AU" sz="1600" b="0" baseline="0">
              <a:solidFill>
                <a:sysClr val="windowText" lastClr="000000"/>
              </a:solidFill>
            </a:rPr>
            <a:t>the</a:t>
          </a:r>
          <a:r>
            <a:rPr lang="en-AU" sz="1600" b="1" baseline="0">
              <a:solidFill>
                <a:sysClr val="windowText" lastClr="000000"/>
              </a:solidFill>
            </a:rPr>
            <a:t> full model valuation period</a:t>
          </a:r>
          <a:r>
            <a:rPr lang="en-AU" sz="1600" baseline="0">
              <a:solidFill>
                <a:sysClr val="windowText" lastClr="000000"/>
              </a:solidFill>
            </a:rPr>
            <a:t> using the on/off switch located in cell P14 (where "on" restricts the valuation timeline to finish in </a:t>
          </a:r>
          <a:r>
            <a:rPr lang="en-AU" sz="1600" baseline="0">
              <a:solidFill>
                <a:sysClr val="windowText" lastClr="000000"/>
              </a:solidFill>
              <a:latin typeface="+mn-lt"/>
              <a:ea typeface="+mn-ea"/>
              <a:cs typeface="+mn-cs"/>
            </a:rPr>
            <a:t>the last year of the longest useful asset life option as input by the user).</a:t>
          </a:r>
        </a:p>
        <a:p>
          <a:pPr marL="0" marR="0" lvl="0" indent="0" algn="l" defTabSz="914400" eaLnBrk="1" fontAlgn="auto" latinLnBrk="0" hangingPunct="1">
            <a:lnSpc>
              <a:spcPct val="100000"/>
            </a:lnSpc>
            <a:spcBef>
              <a:spcPts val="0"/>
            </a:spcBef>
            <a:spcAft>
              <a:spcPts val="0"/>
            </a:spcAft>
            <a:buClrTx/>
            <a:buSzTx/>
            <a:buFontTx/>
            <a:buNone/>
            <a:tabLst/>
            <a:defRPr/>
          </a:pPr>
          <a:r>
            <a:rPr lang="en-AU" sz="1600" b="1" baseline="0">
              <a:solidFill>
                <a:sysClr val="windowText" lastClr="000000"/>
              </a:solidFill>
            </a:rPr>
            <a:t>Do not change the font size and formatting of output graphs.</a:t>
          </a:r>
          <a:r>
            <a:rPr lang="en-AU" sz="1600" b="0" baseline="0">
              <a:solidFill>
                <a:sysClr val="windowText" lastClr="000000"/>
              </a:solidFill>
            </a:rPr>
            <a:t> This is intentional and is required to ensure they remain legible when screenshotting/pasting into the business case template. (note however that graph x-axis labels can be changed if required - see column AE of graph tables and accompanying notes)</a:t>
          </a:r>
          <a:endParaRPr lang="en-AU" sz="1600" b="1">
            <a:solidFill>
              <a:sysClr val="windowText" lastClr="000000"/>
            </a:solidFill>
          </a:endParaRPr>
        </a:p>
      </xdr:txBody>
    </xdr:sp>
    <xdr:clientData/>
  </xdr:twoCellAnchor>
  <xdr:twoCellAnchor>
    <xdr:from>
      <xdr:col>3</xdr:col>
      <xdr:colOff>0</xdr:colOff>
      <xdr:row>328</xdr:row>
      <xdr:rowOff>76200</xdr:rowOff>
    </xdr:from>
    <xdr:to>
      <xdr:col>21</xdr:col>
      <xdr:colOff>0</xdr:colOff>
      <xdr:row>371</xdr:row>
      <xdr:rowOff>76200</xdr:rowOff>
    </xdr:to>
    <xdr:graphicFrame macro="">
      <xdr:nvGraphicFramePr>
        <xdr:cNvPr id="9" name="Chart 8">
          <a:extLst>
            <a:ext uri="{FF2B5EF4-FFF2-40B4-BE49-F238E27FC236}">
              <a16:creationId xmlns:a16="http://schemas.microsoft.com/office/drawing/2014/main" id="{00000000-0008-0000-07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oneCellAnchor>
    <xdr:from>
      <xdr:col>3</xdr:col>
      <xdr:colOff>94383</xdr:colOff>
      <xdr:row>276</xdr:row>
      <xdr:rowOff>155121</xdr:rowOff>
    </xdr:from>
    <xdr:ext cx="18000000" cy="5760000"/>
    <xdr:graphicFrame macro="">
      <xdr:nvGraphicFramePr>
        <xdr:cNvPr id="11" name="Chart 10">
          <a:extLst>
            <a:ext uri="{FF2B5EF4-FFF2-40B4-BE49-F238E27FC236}">
              <a16:creationId xmlns:a16="http://schemas.microsoft.com/office/drawing/2014/main" id="{00000000-0008-0000-07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oneCellAnchor>
  <xdr:twoCellAnchor>
    <xdr:from>
      <xdr:col>3</xdr:col>
      <xdr:colOff>244929</xdr:colOff>
      <xdr:row>271</xdr:row>
      <xdr:rowOff>40820</xdr:rowOff>
    </xdr:from>
    <xdr:to>
      <xdr:col>18</xdr:col>
      <xdr:colOff>64226</xdr:colOff>
      <xdr:row>275</xdr:row>
      <xdr:rowOff>16871</xdr:rowOff>
    </xdr:to>
    <xdr:sp macro="" textlink="">
      <xdr:nvSpPr>
        <xdr:cNvPr id="2" name="Rectangle 1">
          <a:extLst>
            <a:ext uri="{FF2B5EF4-FFF2-40B4-BE49-F238E27FC236}">
              <a16:creationId xmlns:a16="http://schemas.microsoft.com/office/drawing/2014/main" id="{00000000-0008-0000-0700-000002000000}"/>
            </a:ext>
          </a:extLst>
        </xdr:cNvPr>
        <xdr:cNvSpPr/>
      </xdr:nvSpPr>
      <xdr:spPr>
        <a:xfrm>
          <a:off x="530679" y="22805570"/>
          <a:ext cx="12841333" cy="62919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en-AU" sz="2400" b="1">
              <a:solidFill>
                <a:sysClr val="windowText" lastClr="000000"/>
              </a:solidFill>
            </a:rPr>
            <a:t>Market</a:t>
          </a:r>
        </a:p>
      </xdr:txBody>
    </xdr:sp>
    <xdr:clientData/>
  </xdr:twoCellAnchor>
  <xdr:oneCellAnchor>
    <xdr:from>
      <xdr:col>0</xdr:col>
      <xdr:colOff>0</xdr:colOff>
      <xdr:row>193</xdr:row>
      <xdr:rowOff>108857</xdr:rowOff>
    </xdr:from>
    <xdr:ext cx="18000000" cy="5760000"/>
    <xdr:graphicFrame macro="">
      <xdr:nvGraphicFramePr>
        <xdr:cNvPr id="14" name="Chart 13">
          <a:extLst>
            <a:ext uri="{FF2B5EF4-FFF2-40B4-BE49-F238E27FC236}">
              <a16:creationId xmlns:a16="http://schemas.microsoft.com/office/drawing/2014/main" id="{00000000-0008-0000-0700-00000E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oneCellAnchor>
  <xdr:twoCellAnchor>
    <xdr:from>
      <xdr:col>3</xdr:col>
      <xdr:colOff>272143</xdr:colOff>
      <xdr:row>187</xdr:row>
      <xdr:rowOff>67128</xdr:rowOff>
    </xdr:from>
    <xdr:to>
      <xdr:col>20</xdr:col>
      <xdr:colOff>482600</xdr:colOff>
      <xdr:row>191</xdr:row>
      <xdr:rowOff>43179</xdr:rowOff>
    </xdr:to>
    <xdr:sp macro="" textlink="">
      <xdr:nvSpPr>
        <xdr:cNvPr id="15" name="Rectangle 14">
          <a:extLst>
            <a:ext uri="{FF2B5EF4-FFF2-40B4-BE49-F238E27FC236}">
              <a16:creationId xmlns:a16="http://schemas.microsoft.com/office/drawing/2014/main" id="{00000000-0008-0000-0700-00000F000000}"/>
            </a:ext>
          </a:extLst>
        </xdr:cNvPr>
        <xdr:cNvSpPr/>
      </xdr:nvSpPr>
      <xdr:spPr>
        <a:xfrm>
          <a:off x="522176" y="6055973"/>
          <a:ext cx="18974707" cy="642801"/>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en-AU" sz="2400" b="1">
              <a:solidFill>
                <a:sysClr val="windowText" lastClr="000000"/>
              </a:solidFill>
            </a:rPr>
            <a:t>Shareholder</a:t>
          </a:r>
        </a:p>
      </xdr:txBody>
    </xdr:sp>
    <xdr:clientData/>
  </xdr:twoCellAnchor>
  <xdr:oneCellAnchor>
    <xdr:from>
      <xdr:col>0</xdr:col>
      <xdr:colOff>84364</xdr:colOff>
      <xdr:row>235</xdr:row>
      <xdr:rowOff>63501</xdr:rowOff>
    </xdr:from>
    <xdr:ext cx="18000000" cy="5760000"/>
    <xdr:graphicFrame macro="">
      <xdr:nvGraphicFramePr>
        <xdr:cNvPr id="16" name="Chart 15">
          <a:extLst>
            <a:ext uri="{FF2B5EF4-FFF2-40B4-BE49-F238E27FC236}">
              <a16:creationId xmlns:a16="http://schemas.microsoft.com/office/drawing/2014/main" id="{00000000-0008-0000-07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oneCellAnchor>
  <xdr:twoCellAnchor>
    <xdr:from>
      <xdr:col>3</xdr:col>
      <xdr:colOff>95250</xdr:colOff>
      <xdr:row>230</xdr:row>
      <xdr:rowOff>116114</xdr:rowOff>
    </xdr:from>
    <xdr:to>
      <xdr:col>20</xdr:col>
      <xdr:colOff>305707</xdr:colOff>
      <xdr:row>234</xdr:row>
      <xdr:rowOff>92165</xdr:rowOff>
    </xdr:to>
    <xdr:sp macro="" textlink="">
      <xdr:nvSpPr>
        <xdr:cNvPr id="17" name="Rectangle 16">
          <a:extLst>
            <a:ext uri="{FF2B5EF4-FFF2-40B4-BE49-F238E27FC236}">
              <a16:creationId xmlns:a16="http://schemas.microsoft.com/office/drawing/2014/main" id="{00000000-0008-0000-0700-000011000000}"/>
            </a:ext>
          </a:extLst>
        </xdr:cNvPr>
        <xdr:cNvSpPr/>
      </xdr:nvSpPr>
      <xdr:spPr>
        <a:xfrm>
          <a:off x="345283" y="13784489"/>
          <a:ext cx="18974707" cy="642801"/>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en-AU" sz="2400" b="1">
              <a:solidFill>
                <a:sysClr val="windowText" lastClr="000000"/>
              </a:solidFill>
            </a:rPr>
            <a:t>Customer</a:t>
          </a:r>
        </a:p>
      </xdr:txBody>
    </xdr:sp>
    <xdr:clientData/>
  </xdr:twoCellAnchor>
  <xdr:twoCellAnchor>
    <xdr:from>
      <xdr:col>2</xdr:col>
      <xdr:colOff>0</xdr:colOff>
      <xdr:row>24</xdr:row>
      <xdr:rowOff>125730</xdr:rowOff>
    </xdr:from>
    <xdr:to>
      <xdr:col>17</xdr:col>
      <xdr:colOff>404707</xdr:colOff>
      <xdr:row>27</xdr:row>
      <xdr:rowOff>82549</xdr:rowOff>
    </xdr:to>
    <xdr:sp macro="" textlink="">
      <xdr:nvSpPr>
        <xdr:cNvPr id="21" name="Rectangle 20">
          <a:extLst>
            <a:ext uri="{FF2B5EF4-FFF2-40B4-BE49-F238E27FC236}">
              <a16:creationId xmlns:a16="http://schemas.microsoft.com/office/drawing/2014/main" id="{00000000-0008-0000-0700-000015000000}"/>
            </a:ext>
          </a:extLst>
        </xdr:cNvPr>
        <xdr:cNvSpPr/>
      </xdr:nvSpPr>
      <xdr:spPr>
        <a:xfrm>
          <a:off x="174171" y="6297930"/>
          <a:ext cx="11301307" cy="642619"/>
        </a:xfrm>
        <a:prstGeom prst="rect">
          <a:avLst/>
        </a:prstGeom>
        <a:solidFill>
          <a:schemeClr val="bg2"/>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lang="en-AU" sz="1400" b="0">
              <a:solidFill>
                <a:sysClr val="windowText" lastClr="000000"/>
              </a:solidFill>
            </a:rPr>
            <a:t>This table can be used to complete the </a:t>
          </a:r>
          <a:r>
            <a:rPr lang="en-AU" sz="1400" b="1">
              <a:solidFill>
                <a:sysClr val="windowText" lastClr="000000"/>
              </a:solidFill>
            </a:rPr>
            <a:t>Financials</a:t>
          </a:r>
          <a:r>
            <a:rPr lang="en-AU" sz="1400" b="0">
              <a:solidFill>
                <a:sysClr val="windowText" lastClr="000000"/>
              </a:solidFill>
            </a:rPr>
            <a:t> </a:t>
          </a:r>
          <a:r>
            <a:rPr lang="en-AU" sz="1400" b="1">
              <a:solidFill>
                <a:sysClr val="windowText" lastClr="000000"/>
              </a:solidFill>
            </a:rPr>
            <a:t>table</a:t>
          </a:r>
          <a:r>
            <a:rPr lang="en-AU" sz="1400" b="1" baseline="0">
              <a:solidFill>
                <a:sysClr val="windowText" lastClr="000000"/>
              </a:solidFill>
            </a:rPr>
            <a:t> </a:t>
          </a:r>
          <a:r>
            <a:rPr lang="en-AU" sz="1400" b="0" baseline="0">
              <a:solidFill>
                <a:sysClr val="windowText" lastClr="000000"/>
              </a:solidFill>
            </a:rPr>
            <a:t>within </a:t>
          </a:r>
          <a:r>
            <a:rPr lang="en-AU" sz="1400" b="1" baseline="0">
              <a:solidFill>
                <a:sysClr val="windowText" lastClr="000000"/>
              </a:solidFill>
            </a:rPr>
            <a:t>section 3 </a:t>
          </a:r>
          <a:r>
            <a:rPr lang="en-AU" sz="1400" b="0" baseline="0">
              <a:solidFill>
                <a:sysClr val="windowText" lastClr="000000"/>
              </a:solidFill>
            </a:rPr>
            <a:t>(detailed information and anlaysis). </a:t>
          </a:r>
          <a:r>
            <a:rPr lang="en-AU" sz="1400" b="0">
              <a:solidFill>
                <a:sysClr val="windowText" lastClr="000000"/>
              </a:solidFill>
            </a:rPr>
            <a:t>When</a:t>
          </a:r>
          <a:r>
            <a:rPr lang="en-AU" sz="1400" b="0" baseline="0">
              <a:solidFill>
                <a:sysClr val="windowText" lastClr="000000"/>
              </a:solidFill>
            </a:rPr>
            <a:t> using this table to complete the business case, </a:t>
          </a:r>
          <a:r>
            <a:rPr lang="en-AU" sz="1400" b="1" baseline="0">
              <a:solidFill>
                <a:sysClr val="windowText" lastClr="000000"/>
              </a:solidFill>
            </a:rPr>
            <a:t>be mindful of the last year of longest useful asset life option chosen </a:t>
          </a:r>
          <a:r>
            <a:rPr lang="en-AU" sz="1400" b="0" baseline="0">
              <a:solidFill>
                <a:sysClr val="windowText" lastClr="000000"/>
              </a:solidFill>
            </a:rPr>
            <a:t>as all years are shown in the table below.</a:t>
          </a:r>
          <a:endParaRPr lang="en-AU" sz="1400" b="0">
            <a:solidFill>
              <a:sysClr val="windowText" lastClr="000000"/>
            </a:solidFill>
          </a:endParaRPr>
        </a:p>
      </xdr:txBody>
    </xdr:sp>
    <xdr:clientData/>
  </xdr:twoCellAnchor>
  <xdr:twoCellAnchor>
    <xdr:from>
      <xdr:col>2</xdr:col>
      <xdr:colOff>0</xdr:colOff>
      <xdr:row>64</xdr:row>
      <xdr:rowOff>115570</xdr:rowOff>
    </xdr:from>
    <xdr:to>
      <xdr:col>17</xdr:col>
      <xdr:colOff>404707</xdr:colOff>
      <xdr:row>68</xdr:row>
      <xdr:rowOff>259080</xdr:rowOff>
    </xdr:to>
    <xdr:sp macro="" textlink="">
      <xdr:nvSpPr>
        <xdr:cNvPr id="22" name="Rectangle 21">
          <a:extLst>
            <a:ext uri="{FF2B5EF4-FFF2-40B4-BE49-F238E27FC236}">
              <a16:creationId xmlns:a16="http://schemas.microsoft.com/office/drawing/2014/main" id="{00000000-0008-0000-0700-000016000000}"/>
            </a:ext>
          </a:extLst>
        </xdr:cNvPr>
        <xdr:cNvSpPr/>
      </xdr:nvSpPr>
      <xdr:spPr>
        <a:xfrm>
          <a:off x="182880" y="16300450"/>
          <a:ext cx="11347027" cy="1240790"/>
        </a:xfrm>
        <a:prstGeom prst="rect">
          <a:avLst/>
        </a:prstGeom>
        <a:solidFill>
          <a:schemeClr val="bg2"/>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lang="en-AU" sz="1400" b="0">
              <a:solidFill>
                <a:sysClr val="windowText" lastClr="000000"/>
              </a:solidFill>
            </a:rPr>
            <a:t>The figures shown below can be pasted</a:t>
          </a:r>
          <a:r>
            <a:rPr lang="en-AU" sz="1400" b="0" baseline="0">
              <a:solidFill>
                <a:sysClr val="windowText" lastClr="000000"/>
              </a:solidFill>
            </a:rPr>
            <a:t> directly into the business case. The </a:t>
          </a:r>
          <a:r>
            <a:rPr lang="en-AU" sz="1400" b="1" baseline="0">
              <a:solidFill>
                <a:sysClr val="windowText" lastClr="000000"/>
              </a:solidFill>
            </a:rPr>
            <a:t>consolidated breakdowns </a:t>
          </a:r>
          <a:r>
            <a:rPr lang="en-AU" sz="1400" b="0" baseline="0">
              <a:solidFill>
                <a:sysClr val="windowText" lastClr="000000"/>
              </a:solidFill>
            </a:rPr>
            <a:t>are to be included in </a:t>
          </a:r>
          <a:r>
            <a:rPr lang="en-AU" sz="1400" b="1" baseline="0">
              <a:solidFill>
                <a:sysClr val="windowText" lastClr="000000"/>
              </a:solidFill>
            </a:rPr>
            <a:t>section </a:t>
          </a:r>
          <a:r>
            <a:rPr lang="en-AU" sz="1400" b="1" baseline="0">
              <a:solidFill>
                <a:sysClr val="windowText" lastClr="000000"/>
              </a:solidFill>
              <a:latin typeface="+mn-lt"/>
              <a:ea typeface="+mn-ea"/>
              <a:cs typeface="+mn-cs"/>
            </a:rPr>
            <a:t>3 </a:t>
          </a:r>
          <a:r>
            <a:rPr lang="en-AU" sz="1400" b="0" baseline="0">
              <a:solidFill>
                <a:sysClr val="windowText" lastClr="000000"/>
              </a:solidFill>
              <a:latin typeface="+mn-lt"/>
              <a:ea typeface="+mn-ea"/>
              <a:cs typeface="+mn-cs"/>
            </a:rPr>
            <a:t>(detailed information and analysis), while the </a:t>
          </a:r>
          <a:r>
            <a:rPr lang="en-AU" sz="1400" b="1" baseline="0">
              <a:solidFill>
                <a:sysClr val="windowText" lastClr="000000"/>
              </a:solidFill>
              <a:latin typeface="+mn-lt"/>
              <a:ea typeface="+mn-ea"/>
              <a:cs typeface="+mn-cs"/>
            </a:rPr>
            <a:t>detailed breakdowns </a:t>
          </a:r>
          <a:r>
            <a:rPr lang="en-AU" sz="1400" b="0" baseline="0">
              <a:solidFill>
                <a:sysClr val="windowText" lastClr="000000"/>
              </a:solidFill>
              <a:latin typeface="+mn-lt"/>
              <a:ea typeface="+mn-ea"/>
              <a:cs typeface="+mn-cs"/>
            </a:rPr>
            <a:t>are to be included in </a:t>
          </a:r>
          <a:r>
            <a:rPr lang="en-AU" sz="1400" b="1" baseline="0">
              <a:solidFill>
                <a:sysClr val="windowText" lastClr="000000"/>
              </a:solidFill>
              <a:latin typeface="+mn-lt"/>
              <a:ea typeface="+mn-ea"/>
              <a:cs typeface="+mn-cs"/>
            </a:rPr>
            <a:t>Appendix attachment 3 </a:t>
          </a:r>
          <a:r>
            <a:rPr lang="en-AU" sz="1400" b="0" baseline="0">
              <a:solidFill>
                <a:sysClr val="windowText" lastClr="000000"/>
              </a:solidFill>
              <a:latin typeface="+mn-lt"/>
              <a:ea typeface="+mn-ea"/>
              <a:cs typeface="+mn-cs"/>
            </a:rPr>
            <a:t>(financial analysis)</a:t>
          </a:r>
        </a:p>
        <a:p>
          <a:pPr marL="0" marR="0" lvl="0" indent="0" algn="l" defTabSz="914400" eaLnBrk="1" fontAlgn="auto" latinLnBrk="0" hangingPunct="1">
            <a:lnSpc>
              <a:spcPct val="100000"/>
            </a:lnSpc>
            <a:spcBef>
              <a:spcPts val="0"/>
            </a:spcBef>
            <a:spcAft>
              <a:spcPts val="0"/>
            </a:spcAft>
            <a:buClrTx/>
            <a:buSzTx/>
            <a:buFontTx/>
            <a:buNone/>
            <a:tabLst/>
            <a:defRPr/>
          </a:pPr>
          <a:endParaRPr lang="en-AU" sz="1400" b="0" baseline="0">
            <a:solidFill>
              <a:sysClr val="windowText" lastClr="000000"/>
            </a:solidFill>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lang="en-AU" sz="1400" b="0" baseline="0">
              <a:solidFill>
                <a:sysClr val="windowText" lastClr="000000"/>
              </a:solidFill>
              <a:latin typeface="+mn-lt"/>
              <a:ea typeface="+mn-ea"/>
              <a:cs typeface="+mn-cs"/>
            </a:rPr>
            <a:t>Note - </a:t>
          </a:r>
          <a:r>
            <a:rPr lang="en-AU" sz="1400" b="1" baseline="0">
              <a:solidFill>
                <a:sysClr val="windowText" lastClr="000000"/>
              </a:solidFill>
              <a:latin typeface="+mn-lt"/>
              <a:ea typeface="+mn-ea"/>
              <a:cs typeface="+mn-cs"/>
            </a:rPr>
            <a:t>Graph labels can be edited / tailored </a:t>
          </a:r>
          <a:r>
            <a:rPr lang="en-AU" sz="1400" b="0" baseline="0">
              <a:solidFill>
                <a:sysClr val="windowText" lastClr="000000"/>
              </a:solidFill>
              <a:latin typeface="+mn-lt"/>
              <a:ea typeface="+mn-ea"/>
              <a:cs typeface="+mn-cs"/>
            </a:rPr>
            <a:t>to better suit the investment case. To do this, edit the labels in the tables located on the right of the graph, in column AH (labels are highlighted in yellow - i.e. these are inputs for the x-axis labels)</a:t>
          </a:r>
        </a:p>
        <a:p>
          <a:pPr marL="0" marR="0" lvl="0" indent="0" algn="l" defTabSz="914400" eaLnBrk="1" fontAlgn="auto" latinLnBrk="0" hangingPunct="1">
            <a:lnSpc>
              <a:spcPct val="100000"/>
            </a:lnSpc>
            <a:spcBef>
              <a:spcPts val="0"/>
            </a:spcBef>
            <a:spcAft>
              <a:spcPts val="0"/>
            </a:spcAft>
            <a:buClrTx/>
            <a:buSzTx/>
            <a:buFontTx/>
            <a:buNone/>
            <a:tabLst/>
            <a:defRPr/>
          </a:pPr>
          <a:r>
            <a:rPr lang="en-AU" sz="1400" b="0" baseline="0">
              <a:solidFill>
                <a:sysClr val="windowText" lastClr="000000"/>
              </a:solidFill>
            </a:rPr>
            <a:t> </a:t>
          </a:r>
          <a:endParaRPr lang="en-AU" sz="1400" b="0">
            <a:solidFill>
              <a:sysClr val="windowText" lastClr="000000"/>
            </a:solidFill>
          </a:endParaRPr>
        </a:p>
      </xdr:txBody>
    </xdr:sp>
    <xdr:clientData/>
  </xdr:twoCellAnchor>
  <xdr:twoCellAnchor>
    <xdr:from>
      <xdr:col>1</xdr:col>
      <xdr:colOff>44450</xdr:colOff>
      <xdr:row>49</xdr:row>
      <xdr:rowOff>38101</xdr:rowOff>
    </xdr:from>
    <xdr:to>
      <xdr:col>17</xdr:col>
      <xdr:colOff>360257</xdr:colOff>
      <xdr:row>52</xdr:row>
      <xdr:rowOff>114301</xdr:rowOff>
    </xdr:to>
    <xdr:sp macro="" textlink="">
      <xdr:nvSpPr>
        <xdr:cNvPr id="24" name="Rectangle 23">
          <a:extLst>
            <a:ext uri="{FF2B5EF4-FFF2-40B4-BE49-F238E27FC236}">
              <a16:creationId xmlns:a16="http://schemas.microsoft.com/office/drawing/2014/main" id="{00000000-0008-0000-0700-000018000000}"/>
            </a:ext>
          </a:extLst>
        </xdr:cNvPr>
        <xdr:cNvSpPr/>
      </xdr:nvSpPr>
      <xdr:spPr>
        <a:xfrm>
          <a:off x="133350" y="11925301"/>
          <a:ext cx="11263207" cy="762000"/>
        </a:xfrm>
        <a:prstGeom prst="rect">
          <a:avLst/>
        </a:prstGeom>
        <a:solidFill>
          <a:schemeClr val="bg2"/>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lang="en-AU" sz="1400" b="0">
              <a:solidFill>
                <a:sysClr val="windowText" lastClr="000000"/>
              </a:solidFill>
            </a:rPr>
            <a:t>This</a:t>
          </a:r>
          <a:r>
            <a:rPr lang="en-AU" sz="1400" b="0" baseline="0">
              <a:solidFill>
                <a:sysClr val="windowText" lastClr="000000"/>
              </a:solidFill>
            </a:rPr>
            <a:t> table can be used to complete the </a:t>
          </a:r>
          <a:r>
            <a:rPr lang="en-AU" sz="1400" b="1" baseline="0">
              <a:solidFill>
                <a:sysClr val="windowText" lastClr="000000"/>
              </a:solidFill>
            </a:rPr>
            <a:t>customer and shareholder perspective tables </a:t>
          </a:r>
          <a:r>
            <a:rPr lang="en-AU" sz="1400" b="0" baseline="0">
              <a:solidFill>
                <a:sysClr val="windowText" lastClr="000000"/>
              </a:solidFill>
            </a:rPr>
            <a:t>within </a:t>
          </a:r>
          <a:r>
            <a:rPr lang="en-AU" sz="1400" b="1" baseline="0">
              <a:solidFill>
                <a:sysClr val="windowText" lastClr="000000"/>
              </a:solidFill>
            </a:rPr>
            <a:t>Appendix attachement 3</a:t>
          </a:r>
          <a:r>
            <a:rPr lang="en-AU" sz="1400" b="0" baseline="0">
              <a:solidFill>
                <a:sysClr val="windowText" lastClr="000000"/>
              </a:solidFill>
            </a:rPr>
            <a:t> (financial analysis) of the business case. </a:t>
          </a:r>
          <a:endParaRPr lang="en-AU" sz="1400" b="0">
            <a:solidFill>
              <a:sysClr val="windowText" lastClr="000000"/>
            </a:solidFill>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48490</xdr:colOff>
      <xdr:row>10</xdr:row>
      <xdr:rowOff>96982</xdr:rowOff>
    </xdr:from>
    <xdr:to>
      <xdr:col>13</xdr:col>
      <xdr:colOff>318653</xdr:colOff>
      <xdr:row>13</xdr:row>
      <xdr:rowOff>76200</xdr:rowOff>
    </xdr:to>
    <xdr:sp macro="" textlink="">
      <xdr:nvSpPr>
        <xdr:cNvPr id="2" name="Rectangle 1">
          <a:extLst>
            <a:ext uri="{FF2B5EF4-FFF2-40B4-BE49-F238E27FC236}">
              <a16:creationId xmlns:a16="http://schemas.microsoft.com/office/drawing/2014/main" id="{8590EE73-3371-490D-9090-A2D20B47664C}"/>
            </a:ext>
          </a:extLst>
        </xdr:cNvPr>
        <xdr:cNvSpPr/>
      </xdr:nvSpPr>
      <xdr:spPr>
        <a:xfrm>
          <a:off x="96981" y="1413164"/>
          <a:ext cx="7169727" cy="374072"/>
        </a:xfrm>
        <a:prstGeom prst="rect">
          <a:avLst/>
        </a:prstGeom>
        <a:solidFill>
          <a:schemeClr val="bg2"/>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lang="en-AU" sz="800" baseline="0">
              <a:solidFill>
                <a:sysClr val="windowText" lastClr="000000"/>
              </a:solidFill>
              <a:latin typeface="+mn-lt"/>
              <a:ea typeface="+mn-ea"/>
              <a:cs typeface="+mn-cs"/>
            </a:rPr>
            <a:t>See summary tables below for key data for input into business cases. While the full model evaluation period is shown here for completeness, please only select the first five years (including the total) for simplicity. The table area to copy paste is highlighted by blank (white) backgrounds, rather than pattern filled from year 6 onwards.</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4</xdr:col>
      <xdr:colOff>327660</xdr:colOff>
      <xdr:row>53</xdr:row>
      <xdr:rowOff>45720</xdr:rowOff>
    </xdr:from>
    <xdr:to>
      <xdr:col>13</xdr:col>
      <xdr:colOff>441960</xdr:colOff>
      <xdr:row>55</xdr:row>
      <xdr:rowOff>60960</xdr:rowOff>
    </xdr:to>
    <xdr:sp macro="" textlink="">
      <xdr:nvSpPr>
        <xdr:cNvPr id="204" name="Rectangle 203">
          <a:extLst>
            <a:ext uri="{FF2B5EF4-FFF2-40B4-BE49-F238E27FC236}">
              <a16:creationId xmlns:a16="http://schemas.microsoft.com/office/drawing/2014/main" id="{00000000-0008-0000-0000-0000CC000000}"/>
            </a:ext>
          </a:extLst>
        </xdr:cNvPr>
        <xdr:cNvSpPr/>
      </xdr:nvSpPr>
      <xdr:spPr>
        <a:xfrm>
          <a:off x="1173480" y="2247900"/>
          <a:ext cx="5257800" cy="27432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ctr"/>
        <a:lstStyle/>
        <a:p>
          <a:pPr algn="l"/>
          <a:r>
            <a:rPr lang="en-AU" sz="800" i="1">
              <a:solidFill>
                <a:schemeClr val="bg1">
                  <a:lumMod val="50000"/>
                </a:schemeClr>
              </a:solidFill>
            </a:rPr>
            <a:t>The ProbNPV</a:t>
          </a:r>
          <a:r>
            <a:rPr lang="en-AU" sz="800" i="1" baseline="0">
              <a:solidFill>
                <a:schemeClr val="bg1">
                  <a:lumMod val="50000"/>
                </a:schemeClr>
              </a:solidFill>
            </a:rPr>
            <a:t> tool can be used to quantify probabilistic benefits/dis-benefits for input into the NPV model in the Input sheet</a:t>
          </a:r>
          <a:endParaRPr lang="en-AU" sz="800" i="1">
            <a:solidFill>
              <a:schemeClr val="bg1">
                <a:lumMod val="50000"/>
              </a:schemeClr>
            </a:solidFill>
          </a:endParaRPr>
        </a:p>
      </xdr:txBody>
    </xdr:sp>
    <xdr:clientData/>
  </xdr:twoCellAnchor>
  <xdr:twoCellAnchor>
    <xdr:from>
      <xdr:col>3</xdr:col>
      <xdr:colOff>304800</xdr:colOff>
      <xdr:row>55</xdr:row>
      <xdr:rowOff>60960</xdr:rowOff>
    </xdr:from>
    <xdr:to>
      <xdr:col>20</xdr:col>
      <xdr:colOff>236220</xdr:colOff>
      <xdr:row>78</xdr:row>
      <xdr:rowOff>53340</xdr:rowOff>
    </xdr:to>
    <xdr:sp macro="" textlink="">
      <xdr:nvSpPr>
        <xdr:cNvPr id="213" name="Rectangle 212">
          <a:extLst>
            <a:ext uri="{FF2B5EF4-FFF2-40B4-BE49-F238E27FC236}">
              <a16:creationId xmlns:a16="http://schemas.microsoft.com/office/drawing/2014/main" id="{00000000-0008-0000-0000-0000D5000000}"/>
            </a:ext>
          </a:extLst>
        </xdr:cNvPr>
        <xdr:cNvSpPr/>
      </xdr:nvSpPr>
      <xdr:spPr>
        <a:xfrm>
          <a:off x="579120" y="2781300"/>
          <a:ext cx="9646920" cy="2971800"/>
        </a:xfrm>
        <a:prstGeom prst="rect">
          <a:avLst/>
        </a:prstGeom>
        <a:noFill/>
        <a:ln>
          <a:solidFill>
            <a:schemeClr val="bg1">
              <a:lumMod val="50000"/>
            </a:schemeClr>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endParaRPr lang="en-AU" sz="800">
            <a:solidFill>
              <a:sysClr val="windowText" lastClr="000000"/>
            </a:solidFill>
          </a:endParaRPr>
        </a:p>
      </xdr:txBody>
    </xdr:sp>
    <xdr:clientData/>
  </xdr:twoCellAnchor>
  <xdr:twoCellAnchor>
    <xdr:from>
      <xdr:col>5</xdr:col>
      <xdr:colOff>106680</xdr:colOff>
      <xdr:row>32</xdr:row>
      <xdr:rowOff>121920</xdr:rowOff>
    </xdr:from>
    <xdr:to>
      <xdr:col>6</xdr:col>
      <xdr:colOff>320040</xdr:colOff>
      <xdr:row>35</xdr:row>
      <xdr:rowOff>121920</xdr:rowOff>
    </xdr:to>
    <xdr:sp macro="" textlink="">
      <xdr:nvSpPr>
        <xdr:cNvPr id="9" name="Rectangle 8">
          <a:extLst>
            <a:ext uri="{FF2B5EF4-FFF2-40B4-BE49-F238E27FC236}">
              <a16:creationId xmlns:a16="http://schemas.microsoft.com/office/drawing/2014/main" id="{00000000-0008-0000-0000-000009000000}"/>
            </a:ext>
          </a:extLst>
        </xdr:cNvPr>
        <xdr:cNvSpPr/>
      </xdr:nvSpPr>
      <xdr:spPr>
        <a:xfrm>
          <a:off x="1524000" y="7635240"/>
          <a:ext cx="784860" cy="388620"/>
        </a:xfrm>
        <a:prstGeom prst="rect">
          <a:avLst/>
        </a:prstGeom>
        <a:solidFill>
          <a:schemeClr val="accent2">
            <a:lumMod val="20000"/>
            <a:lumOff val="80000"/>
          </a:schemeClr>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AU" sz="800">
              <a:solidFill>
                <a:sysClr val="windowText" lastClr="000000"/>
              </a:solidFill>
            </a:rPr>
            <a:t>Assumptions</a:t>
          </a:r>
        </a:p>
      </xdr:txBody>
    </xdr:sp>
    <xdr:clientData/>
  </xdr:twoCellAnchor>
  <xdr:twoCellAnchor>
    <xdr:from>
      <xdr:col>7</xdr:col>
      <xdr:colOff>487680</xdr:colOff>
      <xdr:row>32</xdr:row>
      <xdr:rowOff>121920</xdr:rowOff>
    </xdr:from>
    <xdr:to>
      <xdr:col>9</xdr:col>
      <xdr:colOff>99060</xdr:colOff>
      <xdr:row>35</xdr:row>
      <xdr:rowOff>121920</xdr:rowOff>
    </xdr:to>
    <xdr:sp macro="" textlink="">
      <xdr:nvSpPr>
        <xdr:cNvPr id="10" name="Rectangle 9">
          <a:extLst>
            <a:ext uri="{FF2B5EF4-FFF2-40B4-BE49-F238E27FC236}">
              <a16:creationId xmlns:a16="http://schemas.microsoft.com/office/drawing/2014/main" id="{00000000-0008-0000-0000-00000A000000}"/>
            </a:ext>
          </a:extLst>
        </xdr:cNvPr>
        <xdr:cNvSpPr/>
      </xdr:nvSpPr>
      <xdr:spPr>
        <a:xfrm>
          <a:off x="3048000" y="7635240"/>
          <a:ext cx="754380" cy="388620"/>
        </a:xfrm>
        <a:prstGeom prst="rect">
          <a:avLst/>
        </a:prstGeom>
        <a:solidFill>
          <a:schemeClr val="accent4">
            <a:lumMod val="20000"/>
            <a:lumOff val="80000"/>
          </a:schemeClr>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AU" sz="800">
              <a:solidFill>
                <a:sysClr val="windowText" lastClr="000000"/>
              </a:solidFill>
            </a:rPr>
            <a:t>Input*</a:t>
          </a:r>
        </a:p>
      </xdr:txBody>
    </xdr:sp>
    <xdr:clientData/>
  </xdr:twoCellAnchor>
  <xdr:twoCellAnchor>
    <xdr:from>
      <xdr:col>10</xdr:col>
      <xdr:colOff>182880</xdr:colOff>
      <xdr:row>32</xdr:row>
      <xdr:rowOff>121920</xdr:rowOff>
    </xdr:from>
    <xdr:to>
      <xdr:col>11</xdr:col>
      <xdr:colOff>365760</xdr:colOff>
      <xdr:row>35</xdr:row>
      <xdr:rowOff>121920</xdr:rowOff>
    </xdr:to>
    <xdr:sp macro="" textlink="">
      <xdr:nvSpPr>
        <xdr:cNvPr id="11" name="Rectangle 10">
          <a:extLst>
            <a:ext uri="{FF2B5EF4-FFF2-40B4-BE49-F238E27FC236}">
              <a16:creationId xmlns:a16="http://schemas.microsoft.com/office/drawing/2014/main" id="{00000000-0008-0000-0000-00000B000000}"/>
            </a:ext>
          </a:extLst>
        </xdr:cNvPr>
        <xdr:cNvSpPr/>
      </xdr:nvSpPr>
      <xdr:spPr>
        <a:xfrm>
          <a:off x="4457700" y="7635240"/>
          <a:ext cx="754380" cy="388620"/>
        </a:xfrm>
        <a:prstGeom prst="rect">
          <a:avLst/>
        </a:prstGeom>
        <a:solidFill>
          <a:schemeClr val="bg1">
            <a:lumMod val="75000"/>
          </a:schemeClr>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AU" sz="800">
              <a:solidFill>
                <a:sysClr val="windowText" lastClr="000000"/>
              </a:solidFill>
            </a:rPr>
            <a:t>EBSS_CESS</a:t>
          </a:r>
        </a:p>
      </xdr:txBody>
    </xdr:sp>
    <xdr:clientData/>
  </xdr:twoCellAnchor>
  <xdr:twoCellAnchor>
    <xdr:from>
      <xdr:col>12</xdr:col>
      <xdr:colOff>441960</xdr:colOff>
      <xdr:row>32</xdr:row>
      <xdr:rowOff>121920</xdr:rowOff>
    </xdr:from>
    <xdr:to>
      <xdr:col>14</xdr:col>
      <xdr:colOff>53340</xdr:colOff>
      <xdr:row>35</xdr:row>
      <xdr:rowOff>121920</xdr:rowOff>
    </xdr:to>
    <xdr:sp macro="" textlink="">
      <xdr:nvSpPr>
        <xdr:cNvPr id="12" name="Rectangle 11">
          <a:extLst>
            <a:ext uri="{FF2B5EF4-FFF2-40B4-BE49-F238E27FC236}">
              <a16:creationId xmlns:a16="http://schemas.microsoft.com/office/drawing/2014/main" id="{00000000-0008-0000-0000-00000C000000}"/>
            </a:ext>
          </a:extLst>
        </xdr:cNvPr>
        <xdr:cNvSpPr/>
      </xdr:nvSpPr>
      <xdr:spPr>
        <a:xfrm>
          <a:off x="5859780" y="7635240"/>
          <a:ext cx="754380" cy="388620"/>
        </a:xfrm>
        <a:prstGeom prst="rect">
          <a:avLst/>
        </a:prstGeom>
        <a:solidFill>
          <a:schemeClr val="bg1">
            <a:lumMod val="75000"/>
          </a:schemeClr>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AU" sz="800">
              <a:solidFill>
                <a:sysClr val="windowText" lastClr="000000"/>
              </a:solidFill>
            </a:rPr>
            <a:t>Calculations</a:t>
          </a:r>
        </a:p>
      </xdr:txBody>
    </xdr:sp>
    <xdr:clientData/>
  </xdr:twoCellAnchor>
  <xdr:twoCellAnchor>
    <xdr:from>
      <xdr:col>15</xdr:col>
      <xdr:colOff>121920</xdr:colOff>
      <xdr:row>32</xdr:row>
      <xdr:rowOff>121920</xdr:rowOff>
    </xdr:from>
    <xdr:to>
      <xdr:col>16</xdr:col>
      <xdr:colOff>304800</xdr:colOff>
      <xdr:row>35</xdr:row>
      <xdr:rowOff>121920</xdr:rowOff>
    </xdr:to>
    <xdr:sp macro="" textlink="">
      <xdr:nvSpPr>
        <xdr:cNvPr id="13" name="Rectangle 12">
          <a:extLst>
            <a:ext uri="{FF2B5EF4-FFF2-40B4-BE49-F238E27FC236}">
              <a16:creationId xmlns:a16="http://schemas.microsoft.com/office/drawing/2014/main" id="{00000000-0008-0000-0000-00000D000000}"/>
            </a:ext>
          </a:extLst>
        </xdr:cNvPr>
        <xdr:cNvSpPr/>
      </xdr:nvSpPr>
      <xdr:spPr>
        <a:xfrm>
          <a:off x="7254240" y="7635240"/>
          <a:ext cx="754380" cy="388620"/>
        </a:xfrm>
        <a:prstGeom prst="rect">
          <a:avLst/>
        </a:prstGeom>
        <a:solidFill>
          <a:srgbClr val="209AD2"/>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AU" sz="800">
              <a:solidFill>
                <a:sysClr val="windowText" lastClr="000000"/>
              </a:solidFill>
            </a:rPr>
            <a:t>Output</a:t>
          </a:r>
        </a:p>
      </xdr:txBody>
    </xdr:sp>
    <xdr:clientData/>
  </xdr:twoCellAnchor>
  <xdr:twoCellAnchor>
    <xdr:from>
      <xdr:col>6</xdr:col>
      <xdr:colOff>373380</xdr:colOff>
      <xdr:row>63</xdr:row>
      <xdr:rowOff>45720</xdr:rowOff>
    </xdr:from>
    <xdr:to>
      <xdr:col>8</xdr:col>
      <xdr:colOff>160020</xdr:colOff>
      <xdr:row>66</xdr:row>
      <xdr:rowOff>45720</xdr:rowOff>
    </xdr:to>
    <xdr:sp macro="" textlink="">
      <xdr:nvSpPr>
        <xdr:cNvPr id="15" name="Rectangle 14">
          <a:extLst>
            <a:ext uri="{FF2B5EF4-FFF2-40B4-BE49-F238E27FC236}">
              <a16:creationId xmlns:a16="http://schemas.microsoft.com/office/drawing/2014/main" id="{00000000-0008-0000-0000-00000F000000}"/>
            </a:ext>
          </a:extLst>
        </xdr:cNvPr>
        <xdr:cNvSpPr/>
      </xdr:nvSpPr>
      <xdr:spPr>
        <a:xfrm>
          <a:off x="2362200" y="3543300"/>
          <a:ext cx="929640" cy="388620"/>
        </a:xfrm>
        <a:prstGeom prst="rect">
          <a:avLst/>
        </a:prstGeom>
        <a:solidFill>
          <a:schemeClr val="accent2">
            <a:lumMod val="20000"/>
            <a:lumOff val="80000"/>
          </a:schemeClr>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AU" sz="800">
              <a:solidFill>
                <a:sysClr val="windowText" lastClr="000000"/>
              </a:solidFill>
            </a:rPr>
            <a:t>Prob Assumptions</a:t>
          </a:r>
        </a:p>
      </xdr:txBody>
    </xdr:sp>
    <xdr:clientData/>
  </xdr:twoCellAnchor>
  <xdr:twoCellAnchor>
    <xdr:from>
      <xdr:col>6</xdr:col>
      <xdr:colOff>358140</xdr:colOff>
      <xdr:row>67</xdr:row>
      <xdr:rowOff>114300</xdr:rowOff>
    </xdr:from>
    <xdr:to>
      <xdr:col>8</xdr:col>
      <xdr:colOff>182880</xdr:colOff>
      <xdr:row>70</xdr:row>
      <xdr:rowOff>114300</xdr:rowOff>
    </xdr:to>
    <xdr:sp macro="" textlink="">
      <xdr:nvSpPr>
        <xdr:cNvPr id="16" name="Rectangle 15">
          <a:extLst>
            <a:ext uri="{FF2B5EF4-FFF2-40B4-BE49-F238E27FC236}">
              <a16:creationId xmlns:a16="http://schemas.microsoft.com/office/drawing/2014/main" id="{00000000-0008-0000-0000-000010000000}"/>
            </a:ext>
          </a:extLst>
        </xdr:cNvPr>
        <xdr:cNvSpPr/>
      </xdr:nvSpPr>
      <xdr:spPr>
        <a:xfrm>
          <a:off x="2346960" y="8793480"/>
          <a:ext cx="967740" cy="388620"/>
        </a:xfrm>
        <a:prstGeom prst="rect">
          <a:avLst/>
        </a:prstGeom>
        <a:solidFill>
          <a:schemeClr val="accent1">
            <a:lumMod val="40000"/>
            <a:lumOff val="60000"/>
          </a:schemeClr>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AU" sz="800">
              <a:solidFill>
                <a:sysClr val="windowText" lastClr="000000"/>
              </a:solidFill>
            </a:rPr>
            <a:t>ProbNPVoverview</a:t>
          </a:r>
        </a:p>
      </xdr:txBody>
    </xdr:sp>
    <xdr:clientData/>
  </xdr:twoCellAnchor>
  <xdr:twoCellAnchor>
    <xdr:from>
      <xdr:col>3</xdr:col>
      <xdr:colOff>464820</xdr:colOff>
      <xdr:row>37</xdr:row>
      <xdr:rowOff>99060</xdr:rowOff>
    </xdr:from>
    <xdr:to>
      <xdr:col>5</xdr:col>
      <xdr:colOff>76200</xdr:colOff>
      <xdr:row>40</xdr:row>
      <xdr:rowOff>99060</xdr:rowOff>
    </xdr:to>
    <xdr:sp macro="" textlink="">
      <xdr:nvSpPr>
        <xdr:cNvPr id="17" name="Rectangle 16">
          <a:extLst>
            <a:ext uri="{FF2B5EF4-FFF2-40B4-BE49-F238E27FC236}">
              <a16:creationId xmlns:a16="http://schemas.microsoft.com/office/drawing/2014/main" id="{00000000-0008-0000-0000-000011000000}"/>
            </a:ext>
          </a:extLst>
        </xdr:cNvPr>
        <xdr:cNvSpPr/>
      </xdr:nvSpPr>
      <xdr:spPr>
        <a:xfrm>
          <a:off x="739140" y="4892040"/>
          <a:ext cx="754380" cy="388620"/>
        </a:xfrm>
        <a:prstGeom prst="rect">
          <a:avLst/>
        </a:prstGeom>
        <a:solidFill>
          <a:schemeClr val="tx1"/>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AU" sz="800">
              <a:solidFill>
                <a:schemeClr val="bg1"/>
              </a:solidFill>
            </a:rPr>
            <a:t>QuickCalc</a:t>
          </a:r>
        </a:p>
      </xdr:txBody>
    </xdr:sp>
    <xdr:clientData/>
  </xdr:twoCellAnchor>
  <xdr:twoCellAnchor>
    <xdr:from>
      <xdr:col>6</xdr:col>
      <xdr:colOff>327660</xdr:colOff>
      <xdr:row>57</xdr:row>
      <xdr:rowOff>83820</xdr:rowOff>
    </xdr:from>
    <xdr:to>
      <xdr:col>8</xdr:col>
      <xdr:colOff>198120</xdr:colOff>
      <xdr:row>60</xdr:row>
      <xdr:rowOff>83820</xdr:rowOff>
    </xdr:to>
    <xdr:sp macro="" textlink="">
      <xdr:nvSpPr>
        <xdr:cNvPr id="19" name="Rectangle 18">
          <a:extLst>
            <a:ext uri="{FF2B5EF4-FFF2-40B4-BE49-F238E27FC236}">
              <a16:creationId xmlns:a16="http://schemas.microsoft.com/office/drawing/2014/main" id="{00000000-0008-0000-0000-000013000000}"/>
            </a:ext>
          </a:extLst>
        </xdr:cNvPr>
        <xdr:cNvSpPr/>
      </xdr:nvSpPr>
      <xdr:spPr>
        <a:xfrm>
          <a:off x="2316480" y="2804160"/>
          <a:ext cx="1013460" cy="388620"/>
        </a:xfrm>
        <a:prstGeom prst="rect">
          <a:avLst/>
        </a:prstGeom>
        <a:solidFill>
          <a:schemeClr val="accent4">
            <a:lumMod val="20000"/>
            <a:lumOff val="80000"/>
          </a:schemeClr>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AU" sz="800">
              <a:solidFill>
                <a:sysClr val="windowText" lastClr="000000"/>
              </a:solidFill>
            </a:rPr>
            <a:t>Prob</a:t>
          </a:r>
        </a:p>
        <a:p>
          <a:pPr algn="ctr"/>
          <a:r>
            <a:rPr lang="en-AU" sz="800">
              <a:solidFill>
                <a:sysClr val="windowText" lastClr="000000"/>
              </a:solidFill>
            </a:rPr>
            <a:t>Inputs</a:t>
          </a:r>
        </a:p>
      </xdr:txBody>
    </xdr:sp>
    <xdr:clientData/>
  </xdr:twoCellAnchor>
  <xdr:twoCellAnchor>
    <xdr:from>
      <xdr:col>9</xdr:col>
      <xdr:colOff>556260</xdr:colOff>
      <xdr:row>60</xdr:row>
      <xdr:rowOff>7620</xdr:rowOff>
    </xdr:from>
    <xdr:to>
      <xdr:col>11</xdr:col>
      <xdr:colOff>426720</xdr:colOff>
      <xdr:row>63</xdr:row>
      <xdr:rowOff>7620</xdr:rowOff>
    </xdr:to>
    <xdr:sp macro="" textlink="">
      <xdr:nvSpPr>
        <xdr:cNvPr id="23" name="Rectangle 22">
          <a:extLst>
            <a:ext uri="{FF2B5EF4-FFF2-40B4-BE49-F238E27FC236}">
              <a16:creationId xmlns:a16="http://schemas.microsoft.com/office/drawing/2014/main" id="{00000000-0008-0000-0000-000017000000}"/>
            </a:ext>
          </a:extLst>
        </xdr:cNvPr>
        <xdr:cNvSpPr/>
      </xdr:nvSpPr>
      <xdr:spPr>
        <a:xfrm>
          <a:off x="4259580" y="3116580"/>
          <a:ext cx="1013460" cy="388620"/>
        </a:xfrm>
        <a:prstGeom prst="rect">
          <a:avLst/>
        </a:prstGeom>
        <a:solidFill>
          <a:schemeClr val="bg1">
            <a:lumMod val="75000"/>
          </a:schemeClr>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AU" sz="800">
              <a:solidFill>
                <a:sysClr val="windowText" lastClr="000000"/>
              </a:solidFill>
            </a:rPr>
            <a:t>Prob</a:t>
          </a:r>
        </a:p>
        <a:p>
          <a:pPr algn="ctr"/>
          <a:r>
            <a:rPr lang="en-AU" sz="800">
              <a:solidFill>
                <a:sysClr val="windowText" lastClr="000000"/>
              </a:solidFill>
            </a:rPr>
            <a:t>Calcs</a:t>
          </a:r>
        </a:p>
      </xdr:txBody>
    </xdr:sp>
    <xdr:clientData/>
  </xdr:twoCellAnchor>
  <xdr:twoCellAnchor>
    <xdr:from>
      <xdr:col>13</xdr:col>
      <xdr:colOff>198120</xdr:colOff>
      <xdr:row>60</xdr:row>
      <xdr:rowOff>7620</xdr:rowOff>
    </xdr:from>
    <xdr:to>
      <xdr:col>14</xdr:col>
      <xdr:colOff>556260</xdr:colOff>
      <xdr:row>63</xdr:row>
      <xdr:rowOff>7620</xdr:rowOff>
    </xdr:to>
    <xdr:sp macro="" textlink="">
      <xdr:nvSpPr>
        <xdr:cNvPr id="25" name="Rectangle 24">
          <a:extLst>
            <a:ext uri="{FF2B5EF4-FFF2-40B4-BE49-F238E27FC236}">
              <a16:creationId xmlns:a16="http://schemas.microsoft.com/office/drawing/2014/main" id="{00000000-0008-0000-0000-000019000000}"/>
            </a:ext>
          </a:extLst>
        </xdr:cNvPr>
        <xdr:cNvSpPr/>
      </xdr:nvSpPr>
      <xdr:spPr>
        <a:xfrm>
          <a:off x="6187440" y="7780020"/>
          <a:ext cx="929640" cy="388620"/>
        </a:xfrm>
        <a:prstGeom prst="rect">
          <a:avLst/>
        </a:prstGeom>
        <a:solidFill>
          <a:srgbClr val="209AD2"/>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AU" sz="800">
              <a:solidFill>
                <a:sysClr val="windowText" lastClr="000000"/>
              </a:solidFill>
            </a:rPr>
            <a:t>ProbOutput</a:t>
          </a:r>
        </a:p>
      </xdr:txBody>
    </xdr:sp>
    <xdr:clientData/>
  </xdr:twoCellAnchor>
  <xdr:twoCellAnchor>
    <xdr:from>
      <xdr:col>8</xdr:col>
      <xdr:colOff>160020</xdr:colOff>
      <xdr:row>62</xdr:row>
      <xdr:rowOff>60960</xdr:rowOff>
    </xdr:from>
    <xdr:to>
      <xdr:col>9</xdr:col>
      <xdr:colOff>525780</xdr:colOff>
      <xdr:row>64</xdr:row>
      <xdr:rowOff>110490</xdr:rowOff>
    </xdr:to>
    <xdr:cxnSp macro="">
      <xdr:nvCxnSpPr>
        <xdr:cNvPr id="7" name="Elbow Connector 6">
          <a:extLst>
            <a:ext uri="{FF2B5EF4-FFF2-40B4-BE49-F238E27FC236}">
              <a16:creationId xmlns:a16="http://schemas.microsoft.com/office/drawing/2014/main" id="{00000000-0008-0000-0000-000007000000}"/>
            </a:ext>
          </a:extLst>
        </xdr:cNvPr>
        <xdr:cNvCxnSpPr>
          <a:stCxn id="15" idx="3"/>
        </xdr:cNvCxnSpPr>
      </xdr:nvCxnSpPr>
      <xdr:spPr>
        <a:xfrm flipV="1">
          <a:off x="3291840" y="3429000"/>
          <a:ext cx="937260" cy="308610"/>
        </a:xfrm>
        <a:prstGeom prst="bentConnector3">
          <a:avLst>
            <a:gd name="adj1" fmla="val 50000"/>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198120</xdr:colOff>
      <xdr:row>59</xdr:row>
      <xdr:rowOff>19050</xdr:rowOff>
    </xdr:from>
    <xdr:to>
      <xdr:col>9</xdr:col>
      <xdr:colOff>533400</xdr:colOff>
      <xdr:row>60</xdr:row>
      <xdr:rowOff>83820</xdr:rowOff>
    </xdr:to>
    <xdr:cxnSp macro="">
      <xdr:nvCxnSpPr>
        <xdr:cNvPr id="203" name="Elbow Connector 202">
          <a:extLst>
            <a:ext uri="{FF2B5EF4-FFF2-40B4-BE49-F238E27FC236}">
              <a16:creationId xmlns:a16="http://schemas.microsoft.com/office/drawing/2014/main" id="{00000000-0008-0000-0000-0000CB000000}"/>
            </a:ext>
          </a:extLst>
        </xdr:cNvPr>
        <xdr:cNvCxnSpPr>
          <a:stCxn id="19" idx="3"/>
        </xdr:cNvCxnSpPr>
      </xdr:nvCxnSpPr>
      <xdr:spPr>
        <a:xfrm>
          <a:off x="3329940" y="2998470"/>
          <a:ext cx="906780" cy="194310"/>
        </a:xfrm>
        <a:prstGeom prst="bentConnector3">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228600</xdr:colOff>
      <xdr:row>68</xdr:row>
      <xdr:rowOff>22860</xdr:rowOff>
    </xdr:from>
    <xdr:to>
      <xdr:col>12</xdr:col>
      <xdr:colOff>411480</xdr:colOff>
      <xdr:row>70</xdr:row>
      <xdr:rowOff>30480</xdr:rowOff>
    </xdr:to>
    <xdr:sp macro="" textlink="">
      <xdr:nvSpPr>
        <xdr:cNvPr id="61" name="Rectangle 60">
          <a:extLst>
            <a:ext uri="{FF2B5EF4-FFF2-40B4-BE49-F238E27FC236}">
              <a16:creationId xmlns:a16="http://schemas.microsoft.com/office/drawing/2014/main" id="{00000000-0008-0000-0000-00003D000000}"/>
            </a:ext>
          </a:extLst>
        </xdr:cNvPr>
        <xdr:cNvSpPr/>
      </xdr:nvSpPr>
      <xdr:spPr>
        <a:xfrm>
          <a:off x="3360420" y="8831580"/>
          <a:ext cx="2468880" cy="2667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ctr"/>
        <a:lstStyle/>
        <a:p>
          <a:pPr algn="l"/>
          <a:r>
            <a:rPr lang="en-AU" sz="800" i="1">
              <a:solidFill>
                <a:schemeClr val="bg1">
                  <a:lumMod val="50000"/>
                </a:schemeClr>
              </a:solidFill>
            </a:rPr>
            <a:t>Provides an overview of the probabilistic</a:t>
          </a:r>
          <a:r>
            <a:rPr lang="en-AU" sz="800" i="1" baseline="0">
              <a:solidFill>
                <a:schemeClr val="bg1">
                  <a:lumMod val="50000"/>
                </a:schemeClr>
              </a:solidFill>
            </a:rPr>
            <a:t> cash flow</a:t>
          </a:r>
          <a:r>
            <a:rPr lang="en-AU" sz="800" i="1">
              <a:solidFill>
                <a:schemeClr val="bg1">
                  <a:lumMod val="50000"/>
                </a:schemeClr>
              </a:solidFill>
            </a:rPr>
            <a:t> calculation methodology</a:t>
          </a:r>
        </a:p>
      </xdr:txBody>
    </xdr:sp>
    <xdr:clientData/>
  </xdr:twoCellAnchor>
  <xdr:twoCellAnchor>
    <xdr:from>
      <xdr:col>10</xdr:col>
      <xdr:colOff>0</xdr:colOff>
      <xdr:row>56</xdr:row>
      <xdr:rowOff>114300</xdr:rowOff>
    </xdr:from>
    <xdr:to>
      <xdr:col>12</xdr:col>
      <xdr:colOff>243840</xdr:colOff>
      <xdr:row>59</xdr:row>
      <xdr:rowOff>106680</xdr:rowOff>
    </xdr:to>
    <xdr:sp macro="" textlink="">
      <xdr:nvSpPr>
        <xdr:cNvPr id="63" name="Rectangle 62">
          <a:extLst>
            <a:ext uri="{FF2B5EF4-FFF2-40B4-BE49-F238E27FC236}">
              <a16:creationId xmlns:a16="http://schemas.microsoft.com/office/drawing/2014/main" id="{00000000-0008-0000-0000-00003F000000}"/>
            </a:ext>
          </a:extLst>
        </xdr:cNvPr>
        <xdr:cNvSpPr/>
      </xdr:nvSpPr>
      <xdr:spPr>
        <a:xfrm>
          <a:off x="4274820" y="7368540"/>
          <a:ext cx="1386840" cy="3810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ctr"/>
        <a:lstStyle/>
        <a:p>
          <a:pPr algn="l"/>
          <a:r>
            <a:rPr lang="en-AU" sz="800" i="1">
              <a:solidFill>
                <a:schemeClr val="bg1">
                  <a:lumMod val="50000"/>
                </a:schemeClr>
              </a:solidFill>
            </a:rPr>
            <a:t>Performs required calculations</a:t>
          </a:r>
          <a:r>
            <a:rPr lang="en-AU" sz="800" i="1" baseline="0">
              <a:solidFill>
                <a:schemeClr val="bg1">
                  <a:lumMod val="50000"/>
                </a:schemeClr>
              </a:solidFill>
            </a:rPr>
            <a:t> based on probabilistic inputs and assumptions</a:t>
          </a:r>
          <a:endParaRPr lang="en-AU" sz="800" i="1">
            <a:solidFill>
              <a:schemeClr val="bg1">
                <a:lumMod val="50000"/>
              </a:schemeClr>
            </a:solidFill>
          </a:endParaRPr>
        </a:p>
      </xdr:txBody>
    </xdr:sp>
    <xdr:clientData/>
  </xdr:twoCellAnchor>
  <xdr:twoCellAnchor>
    <xdr:from>
      <xdr:col>15</xdr:col>
      <xdr:colOff>68580</xdr:colOff>
      <xdr:row>60</xdr:row>
      <xdr:rowOff>53340</xdr:rowOff>
    </xdr:from>
    <xdr:to>
      <xdr:col>18</xdr:col>
      <xdr:colOff>495300</xdr:colOff>
      <xdr:row>62</xdr:row>
      <xdr:rowOff>60960</xdr:rowOff>
    </xdr:to>
    <xdr:sp macro="" textlink="">
      <xdr:nvSpPr>
        <xdr:cNvPr id="64" name="Rectangle 63">
          <a:extLst>
            <a:ext uri="{FF2B5EF4-FFF2-40B4-BE49-F238E27FC236}">
              <a16:creationId xmlns:a16="http://schemas.microsoft.com/office/drawing/2014/main" id="{00000000-0008-0000-0000-000040000000}"/>
            </a:ext>
          </a:extLst>
        </xdr:cNvPr>
        <xdr:cNvSpPr/>
      </xdr:nvSpPr>
      <xdr:spPr>
        <a:xfrm>
          <a:off x="7200900" y="7825740"/>
          <a:ext cx="2141220" cy="2667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ctr"/>
        <a:lstStyle/>
        <a:p>
          <a:pPr algn="l"/>
          <a:r>
            <a:rPr lang="en-AU" sz="800" i="1">
              <a:solidFill>
                <a:schemeClr val="bg1">
                  <a:lumMod val="50000"/>
                </a:schemeClr>
              </a:solidFill>
            </a:rPr>
            <a:t>Outputs </a:t>
          </a:r>
          <a:r>
            <a:rPr lang="en-AU" sz="800" i="1" baseline="0">
              <a:solidFill>
                <a:schemeClr val="bg1">
                  <a:lumMod val="50000"/>
                </a:schemeClr>
              </a:solidFill>
            </a:rPr>
            <a:t>the probabilistic benefit/dis-benefit (delta) due to the proposed investment</a:t>
          </a:r>
          <a:endParaRPr lang="en-AU" sz="800" i="1">
            <a:solidFill>
              <a:schemeClr val="bg1">
                <a:lumMod val="50000"/>
              </a:schemeClr>
            </a:solidFill>
          </a:endParaRPr>
        </a:p>
      </xdr:txBody>
    </xdr:sp>
    <xdr:clientData/>
  </xdr:twoCellAnchor>
  <xdr:twoCellAnchor>
    <xdr:from>
      <xdr:col>4</xdr:col>
      <xdr:colOff>350520</xdr:colOff>
      <xdr:row>57</xdr:row>
      <xdr:rowOff>60960</xdr:rowOff>
    </xdr:from>
    <xdr:to>
      <xdr:col>6</xdr:col>
      <xdr:colOff>236220</xdr:colOff>
      <xdr:row>60</xdr:row>
      <xdr:rowOff>68580</xdr:rowOff>
    </xdr:to>
    <xdr:sp macro="" textlink="">
      <xdr:nvSpPr>
        <xdr:cNvPr id="65" name="Rectangle 64">
          <a:extLst>
            <a:ext uri="{FF2B5EF4-FFF2-40B4-BE49-F238E27FC236}">
              <a16:creationId xmlns:a16="http://schemas.microsoft.com/office/drawing/2014/main" id="{00000000-0008-0000-0000-000041000000}"/>
            </a:ext>
          </a:extLst>
        </xdr:cNvPr>
        <xdr:cNvSpPr/>
      </xdr:nvSpPr>
      <xdr:spPr>
        <a:xfrm>
          <a:off x="1196340" y="7444740"/>
          <a:ext cx="1028700" cy="39624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ctr"/>
        <a:lstStyle/>
        <a:p>
          <a:pPr algn="r"/>
          <a:r>
            <a:rPr lang="en-AU" sz="800" i="1">
              <a:solidFill>
                <a:schemeClr val="bg1">
                  <a:lumMod val="50000"/>
                </a:schemeClr>
              </a:solidFill>
            </a:rPr>
            <a:t>Probabilistic inputs relating</a:t>
          </a:r>
          <a:r>
            <a:rPr lang="en-AU" sz="800" i="1" baseline="0">
              <a:solidFill>
                <a:schemeClr val="bg1">
                  <a:lumMod val="50000"/>
                </a:schemeClr>
              </a:solidFill>
            </a:rPr>
            <a:t> to the delta (i.e. residual - current) state</a:t>
          </a:r>
          <a:endParaRPr lang="en-AU" sz="800" i="1">
            <a:solidFill>
              <a:schemeClr val="bg1">
                <a:lumMod val="50000"/>
              </a:schemeClr>
            </a:solidFill>
          </a:endParaRPr>
        </a:p>
      </xdr:txBody>
    </xdr:sp>
    <xdr:clientData/>
  </xdr:twoCellAnchor>
  <xdr:twoCellAnchor>
    <xdr:from>
      <xdr:col>3</xdr:col>
      <xdr:colOff>510540</xdr:colOff>
      <xdr:row>63</xdr:row>
      <xdr:rowOff>53340</xdr:rowOff>
    </xdr:from>
    <xdr:to>
      <xdr:col>6</xdr:col>
      <xdr:colOff>236220</xdr:colOff>
      <xdr:row>66</xdr:row>
      <xdr:rowOff>45720</xdr:rowOff>
    </xdr:to>
    <xdr:sp macro="" textlink="">
      <xdr:nvSpPr>
        <xdr:cNvPr id="67" name="Rectangle 66">
          <a:extLst>
            <a:ext uri="{FF2B5EF4-FFF2-40B4-BE49-F238E27FC236}">
              <a16:creationId xmlns:a16="http://schemas.microsoft.com/office/drawing/2014/main" id="{00000000-0008-0000-0000-000043000000}"/>
            </a:ext>
          </a:extLst>
        </xdr:cNvPr>
        <xdr:cNvSpPr/>
      </xdr:nvSpPr>
      <xdr:spPr>
        <a:xfrm>
          <a:off x="784860" y="3550920"/>
          <a:ext cx="1440180" cy="3810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ctr"/>
        <a:lstStyle/>
        <a:p>
          <a:pPr algn="r"/>
          <a:r>
            <a:rPr lang="en-AU" sz="800" i="1">
              <a:solidFill>
                <a:schemeClr val="bg1">
                  <a:lumMod val="50000"/>
                </a:schemeClr>
              </a:solidFill>
            </a:rPr>
            <a:t>Probabilistic assumptions that are common between investments and controlled by the model owner</a:t>
          </a:r>
        </a:p>
      </xdr:txBody>
    </xdr:sp>
    <xdr:clientData/>
  </xdr:twoCellAnchor>
  <xdr:twoCellAnchor>
    <xdr:from>
      <xdr:col>3</xdr:col>
      <xdr:colOff>129540</xdr:colOff>
      <xdr:row>53</xdr:row>
      <xdr:rowOff>106680</xdr:rowOff>
    </xdr:from>
    <xdr:to>
      <xdr:col>4</xdr:col>
      <xdr:colOff>239357</xdr:colOff>
      <xdr:row>57</xdr:row>
      <xdr:rowOff>45720</xdr:rowOff>
    </xdr:to>
    <xdr:sp macro="" textlink="">
      <xdr:nvSpPr>
        <xdr:cNvPr id="3" name="Rectangle 2">
          <a:extLst>
            <a:ext uri="{FF2B5EF4-FFF2-40B4-BE49-F238E27FC236}">
              <a16:creationId xmlns:a16="http://schemas.microsoft.com/office/drawing/2014/main" id="{00000000-0008-0000-0000-000003000000}"/>
            </a:ext>
          </a:extLst>
        </xdr:cNvPr>
        <xdr:cNvSpPr/>
      </xdr:nvSpPr>
      <xdr:spPr>
        <a:xfrm>
          <a:off x="403860" y="2308860"/>
          <a:ext cx="681317" cy="457200"/>
        </a:xfrm>
        <a:prstGeom prst="rect">
          <a:avLst/>
        </a:prstGeom>
        <a:solidFill>
          <a:schemeClr val="bg1"/>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AU" sz="1000" b="1">
              <a:solidFill>
                <a:sysClr val="windowText" lastClr="000000"/>
              </a:solidFill>
            </a:rPr>
            <a:t>ProbNPV</a:t>
          </a:r>
        </a:p>
      </xdr:txBody>
    </xdr:sp>
    <xdr:clientData/>
  </xdr:twoCellAnchor>
  <xdr:twoCellAnchor>
    <xdr:from>
      <xdr:col>3</xdr:col>
      <xdr:colOff>304800</xdr:colOff>
      <xdr:row>23</xdr:row>
      <xdr:rowOff>121920</xdr:rowOff>
    </xdr:from>
    <xdr:to>
      <xdr:col>20</xdr:col>
      <xdr:colOff>236220</xdr:colOff>
      <xdr:row>50</xdr:row>
      <xdr:rowOff>53340</xdr:rowOff>
    </xdr:to>
    <xdr:sp macro="" textlink="">
      <xdr:nvSpPr>
        <xdr:cNvPr id="69" name="Rectangle 68">
          <a:extLst>
            <a:ext uri="{FF2B5EF4-FFF2-40B4-BE49-F238E27FC236}">
              <a16:creationId xmlns:a16="http://schemas.microsoft.com/office/drawing/2014/main" id="{00000000-0008-0000-0000-000045000000}"/>
            </a:ext>
          </a:extLst>
        </xdr:cNvPr>
        <xdr:cNvSpPr/>
      </xdr:nvSpPr>
      <xdr:spPr>
        <a:xfrm>
          <a:off x="579120" y="3101340"/>
          <a:ext cx="9646920" cy="3429000"/>
        </a:xfrm>
        <a:prstGeom prst="rect">
          <a:avLst/>
        </a:prstGeom>
        <a:noFill/>
        <a:ln>
          <a:solidFill>
            <a:schemeClr val="bg1">
              <a:lumMod val="50000"/>
            </a:schemeClr>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endParaRPr lang="en-AU" sz="800">
            <a:solidFill>
              <a:sysClr val="windowText" lastClr="000000"/>
            </a:solidFill>
          </a:endParaRPr>
        </a:p>
      </xdr:txBody>
    </xdr:sp>
    <xdr:clientData/>
  </xdr:twoCellAnchor>
  <xdr:twoCellAnchor>
    <xdr:from>
      <xdr:col>3</xdr:col>
      <xdr:colOff>129540</xdr:colOff>
      <xdr:row>22</xdr:row>
      <xdr:rowOff>53339</xdr:rowOff>
    </xdr:from>
    <xdr:to>
      <xdr:col>4</xdr:col>
      <xdr:colOff>259080</xdr:colOff>
      <xdr:row>26</xdr:row>
      <xdr:rowOff>5614</xdr:rowOff>
    </xdr:to>
    <xdr:sp macro="" textlink="">
      <xdr:nvSpPr>
        <xdr:cNvPr id="68" name="Rectangle 67">
          <a:extLst>
            <a:ext uri="{FF2B5EF4-FFF2-40B4-BE49-F238E27FC236}">
              <a16:creationId xmlns:a16="http://schemas.microsoft.com/office/drawing/2014/main" id="{00000000-0008-0000-0000-000044000000}"/>
            </a:ext>
          </a:extLst>
        </xdr:cNvPr>
        <xdr:cNvSpPr/>
      </xdr:nvSpPr>
      <xdr:spPr>
        <a:xfrm>
          <a:off x="403860" y="6271259"/>
          <a:ext cx="701040" cy="470435"/>
        </a:xfrm>
        <a:prstGeom prst="rect">
          <a:avLst/>
        </a:prstGeom>
        <a:solidFill>
          <a:schemeClr val="bg1"/>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AU" sz="1000" b="1">
              <a:solidFill>
                <a:sysClr val="windowText" lastClr="000000"/>
              </a:solidFill>
            </a:rPr>
            <a:t>NPV</a:t>
          </a:r>
        </a:p>
      </xdr:txBody>
    </xdr:sp>
    <xdr:clientData/>
  </xdr:twoCellAnchor>
  <xdr:twoCellAnchor>
    <xdr:from>
      <xdr:col>6</xdr:col>
      <xdr:colOff>320040</xdr:colOff>
      <xdr:row>34</xdr:row>
      <xdr:rowOff>57150</xdr:rowOff>
    </xdr:from>
    <xdr:to>
      <xdr:col>7</xdr:col>
      <xdr:colOff>487680</xdr:colOff>
      <xdr:row>34</xdr:row>
      <xdr:rowOff>57150</xdr:rowOff>
    </xdr:to>
    <xdr:cxnSp macro="">
      <xdr:nvCxnSpPr>
        <xdr:cNvPr id="222" name="Straight Arrow Connector 221">
          <a:extLst>
            <a:ext uri="{FF2B5EF4-FFF2-40B4-BE49-F238E27FC236}">
              <a16:creationId xmlns:a16="http://schemas.microsoft.com/office/drawing/2014/main" id="{00000000-0008-0000-0000-0000DE000000}"/>
            </a:ext>
          </a:extLst>
        </xdr:cNvPr>
        <xdr:cNvCxnSpPr>
          <a:stCxn id="9" idx="3"/>
          <a:endCxn id="10" idx="1"/>
        </xdr:cNvCxnSpPr>
      </xdr:nvCxnSpPr>
      <xdr:spPr>
        <a:xfrm>
          <a:off x="2308860" y="7829550"/>
          <a:ext cx="739140" cy="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99060</xdr:colOff>
      <xdr:row>34</xdr:row>
      <xdr:rowOff>57150</xdr:rowOff>
    </xdr:from>
    <xdr:to>
      <xdr:col>10</xdr:col>
      <xdr:colOff>182880</xdr:colOff>
      <xdr:row>34</xdr:row>
      <xdr:rowOff>57150</xdr:rowOff>
    </xdr:to>
    <xdr:cxnSp macro="">
      <xdr:nvCxnSpPr>
        <xdr:cNvPr id="32" name="Straight Arrow Connector 31">
          <a:extLst>
            <a:ext uri="{FF2B5EF4-FFF2-40B4-BE49-F238E27FC236}">
              <a16:creationId xmlns:a16="http://schemas.microsoft.com/office/drawing/2014/main" id="{00000000-0008-0000-0000-000020000000}"/>
            </a:ext>
          </a:extLst>
        </xdr:cNvPr>
        <xdr:cNvCxnSpPr>
          <a:stCxn id="10" idx="3"/>
          <a:endCxn id="11" idx="1"/>
        </xdr:cNvCxnSpPr>
      </xdr:nvCxnSpPr>
      <xdr:spPr>
        <a:xfrm>
          <a:off x="3802380" y="7829550"/>
          <a:ext cx="655320" cy="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365760</xdr:colOff>
      <xdr:row>34</xdr:row>
      <xdr:rowOff>57150</xdr:rowOff>
    </xdr:from>
    <xdr:to>
      <xdr:col>12</xdr:col>
      <xdr:colOff>441960</xdr:colOff>
      <xdr:row>34</xdr:row>
      <xdr:rowOff>57150</xdr:rowOff>
    </xdr:to>
    <xdr:cxnSp macro="">
      <xdr:nvCxnSpPr>
        <xdr:cNvPr id="34" name="Straight Arrow Connector 33">
          <a:extLst>
            <a:ext uri="{FF2B5EF4-FFF2-40B4-BE49-F238E27FC236}">
              <a16:creationId xmlns:a16="http://schemas.microsoft.com/office/drawing/2014/main" id="{00000000-0008-0000-0000-000022000000}"/>
            </a:ext>
          </a:extLst>
        </xdr:cNvPr>
        <xdr:cNvCxnSpPr>
          <a:stCxn id="11" idx="3"/>
          <a:endCxn id="12" idx="1"/>
        </xdr:cNvCxnSpPr>
      </xdr:nvCxnSpPr>
      <xdr:spPr>
        <a:xfrm>
          <a:off x="5212080" y="7829550"/>
          <a:ext cx="647700" cy="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14</xdr:col>
      <xdr:colOff>53340</xdr:colOff>
      <xdr:row>34</xdr:row>
      <xdr:rowOff>57150</xdr:rowOff>
    </xdr:from>
    <xdr:to>
      <xdr:col>15</xdr:col>
      <xdr:colOff>121920</xdr:colOff>
      <xdr:row>34</xdr:row>
      <xdr:rowOff>57150</xdr:rowOff>
    </xdr:to>
    <xdr:cxnSp macro="">
      <xdr:nvCxnSpPr>
        <xdr:cNvPr id="36" name="Straight Arrow Connector 35">
          <a:extLst>
            <a:ext uri="{FF2B5EF4-FFF2-40B4-BE49-F238E27FC236}">
              <a16:creationId xmlns:a16="http://schemas.microsoft.com/office/drawing/2014/main" id="{00000000-0008-0000-0000-000024000000}"/>
            </a:ext>
          </a:extLst>
        </xdr:cNvPr>
        <xdr:cNvCxnSpPr>
          <a:stCxn id="12" idx="3"/>
          <a:endCxn id="13" idx="1"/>
        </xdr:cNvCxnSpPr>
      </xdr:nvCxnSpPr>
      <xdr:spPr>
        <a:xfrm>
          <a:off x="6614160" y="7829550"/>
          <a:ext cx="640080" cy="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190500</xdr:colOff>
      <xdr:row>35</xdr:row>
      <xdr:rowOff>121920</xdr:rowOff>
    </xdr:from>
    <xdr:to>
      <xdr:col>11</xdr:col>
      <xdr:colOff>563880</xdr:colOff>
      <xdr:row>42</xdr:row>
      <xdr:rowOff>30480</xdr:rowOff>
    </xdr:to>
    <xdr:sp macro="" textlink="">
      <xdr:nvSpPr>
        <xdr:cNvPr id="78" name="Rectangle 77">
          <a:extLst>
            <a:ext uri="{FF2B5EF4-FFF2-40B4-BE49-F238E27FC236}">
              <a16:creationId xmlns:a16="http://schemas.microsoft.com/office/drawing/2014/main" id="{00000000-0008-0000-0000-00004E000000}"/>
            </a:ext>
          </a:extLst>
        </xdr:cNvPr>
        <xdr:cNvSpPr/>
      </xdr:nvSpPr>
      <xdr:spPr>
        <a:xfrm>
          <a:off x="4465320" y="5044440"/>
          <a:ext cx="944880" cy="81534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ctr"/>
        <a:lstStyle/>
        <a:p>
          <a:pPr algn="l"/>
          <a:r>
            <a:rPr lang="en-AU" sz="800" i="1">
              <a:solidFill>
                <a:schemeClr val="bg1">
                  <a:lumMod val="50000"/>
                </a:schemeClr>
              </a:solidFill>
            </a:rPr>
            <a:t>Capex</a:t>
          </a:r>
          <a:r>
            <a:rPr lang="en-AU" sz="800" i="1" baseline="0">
              <a:solidFill>
                <a:schemeClr val="bg1">
                  <a:lumMod val="50000"/>
                </a:schemeClr>
              </a:solidFill>
            </a:rPr>
            <a:t> and opex investment inputs are entered to estimate CESS and EBSS benefits/dis-benefits</a:t>
          </a:r>
          <a:endParaRPr lang="en-AU" sz="800" i="1">
            <a:solidFill>
              <a:schemeClr val="bg1">
                <a:lumMod val="50000"/>
              </a:schemeClr>
            </a:solidFill>
          </a:endParaRPr>
        </a:p>
      </xdr:txBody>
    </xdr:sp>
    <xdr:clientData/>
  </xdr:twoCellAnchor>
  <xdr:twoCellAnchor>
    <xdr:from>
      <xdr:col>12</xdr:col>
      <xdr:colOff>441960</xdr:colOff>
      <xdr:row>35</xdr:row>
      <xdr:rowOff>121920</xdr:rowOff>
    </xdr:from>
    <xdr:to>
      <xdr:col>14</xdr:col>
      <xdr:colOff>175260</xdr:colOff>
      <xdr:row>42</xdr:row>
      <xdr:rowOff>30480</xdr:rowOff>
    </xdr:to>
    <xdr:sp macro="" textlink="">
      <xdr:nvSpPr>
        <xdr:cNvPr id="79" name="Rectangle 78">
          <a:extLst>
            <a:ext uri="{FF2B5EF4-FFF2-40B4-BE49-F238E27FC236}">
              <a16:creationId xmlns:a16="http://schemas.microsoft.com/office/drawing/2014/main" id="{00000000-0008-0000-0000-00004F000000}"/>
            </a:ext>
          </a:extLst>
        </xdr:cNvPr>
        <xdr:cNvSpPr/>
      </xdr:nvSpPr>
      <xdr:spPr>
        <a:xfrm>
          <a:off x="5859780" y="5044440"/>
          <a:ext cx="876300" cy="81534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ctr"/>
        <a:lstStyle/>
        <a:p>
          <a:pPr algn="l"/>
          <a:r>
            <a:rPr lang="en-AU" sz="800" i="1">
              <a:solidFill>
                <a:schemeClr val="bg1">
                  <a:lumMod val="50000"/>
                </a:schemeClr>
              </a:solidFill>
            </a:rPr>
            <a:t>NPV</a:t>
          </a:r>
          <a:r>
            <a:rPr lang="en-AU" sz="800" i="1" baseline="0">
              <a:solidFill>
                <a:schemeClr val="bg1">
                  <a:lumMod val="50000"/>
                </a:schemeClr>
              </a:solidFill>
            </a:rPr>
            <a:t> calculations are done using both cash and probabilistic inputs and assumptions</a:t>
          </a:r>
          <a:endParaRPr lang="en-AU" sz="800" i="1">
            <a:solidFill>
              <a:schemeClr val="bg1">
                <a:lumMod val="50000"/>
              </a:schemeClr>
            </a:solidFill>
          </a:endParaRPr>
        </a:p>
      </xdr:txBody>
    </xdr:sp>
    <xdr:clientData/>
  </xdr:twoCellAnchor>
  <xdr:twoCellAnchor>
    <xdr:from>
      <xdr:col>7</xdr:col>
      <xdr:colOff>487680</xdr:colOff>
      <xdr:row>24</xdr:row>
      <xdr:rowOff>38100</xdr:rowOff>
    </xdr:from>
    <xdr:to>
      <xdr:col>10</xdr:col>
      <xdr:colOff>152400</xdr:colOff>
      <xdr:row>32</xdr:row>
      <xdr:rowOff>106680</xdr:rowOff>
    </xdr:to>
    <xdr:sp macro="" textlink="">
      <xdr:nvSpPr>
        <xdr:cNvPr id="80" name="Rectangle 79">
          <a:extLst>
            <a:ext uri="{FF2B5EF4-FFF2-40B4-BE49-F238E27FC236}">
              <a16:creationId xmlns:a16="http://schemas.microsoft.com/office/drawing/2014/main" id="{00000000-0008-0000-0000-000050000000}"/>
            </a:ext>
          </a:extLst>
        </xdr:cNvPr>
        <xdr:cNvSpPr/>
      </xdr:nvSpPr>
      <xdr:spPr>
        <a:xfrm>
          <a:off x="3048000" y="3535680"/>
          <a:ext cx="1379220" cy="1104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ctr"/>
        <a:lstStyle/>
        <a:p>
          <a:pPr algn="l"/>
          <a:r>
            <a:rPr lang="en-AU" sz="800" i="1">
              <a:solidFill>
                <a:schemeClr val="bg1">
                  <a:lumMod val="50000"/>
                </a:schemeClr>
              </a:solidFill>
            </a:rPr>
            <a:t>Investment</a:t>
          </a:r>
          <a:r>
            <a:rPr lang="en-AU" sz="800" i="1" baseline="0">
              <a:solidFill>
                <a:schemeClr val="bg1">
                  <a:lumMod val="50000"/>
                </a:schemeClr>
              </a:solidFill>
            </a:rPr>
            <a:t> inputs are entered relating to cash flows and probabilistic benefits/dis-benefits</a:t>
          </a:r>
        </a:p>
        <a:p>
          <a:pPr marL="0" marR="0" lvl="0" indent="0" algn="l" defTabSz="914400" eaLnBrk="1" fontAlgn="auto" latinLnBrk="0" hangingPunct="1">
            <a:lnSpc>
              <a:spcPct val="100000"/>
            </a:lnSpc>
            <a:spcBef>
              <a:spcPts val="0"/>
            </a:spcBef>
            <a:spcAft>
              <a:spcPts val="0"/>
            </a:spcAft>
            <a:buClrTx/>
            <a:buSzTx/>
            <a:buFontTx/>
            <a:buNone/>
            <a:tabLst/>
            <a:defRPr/>
          </a:pPr>
          <a:endParaRPr lang="en-AU" sz="800" i="1">
            <a:solidFill>
              <a:schemeClr val="bg1">
                <a:lumMod val="50000"/>
              </a:schemeClr>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lang="en-AU" sz="800" i="1">
              <a:solidFill>
                <a:schemeClr val="bg1">
                  <a:lumMod val="50000"/>
                </a:schemeClr>
              </a:solidFill>
              <a:effectLst/>
              <a:latin typeface="+mn-lt"/>
              <a:ea typeface="+mn-ea"/>
              <a:cs typeface="+mn-cs"/>
            </a:rPr>
            <a:t>*Probabilistic benefits/dis-benefits</a:t>
          </a:r>
          <a:r>
            <a:rPr lang="en-AU" sz="800" i="1" baseline="0">
              <a:solidFill>
                <a:schemeClr val="bg1">
                  <a:lumMod val="50000"/>
                </a:schemeClr>
              </a:solidFill>
              <a:effectLst/>
              <a:latin typeface="+mn-lt"/>
              <a:ea typeface="+mn-ea"/>
              <a:cs typeface="+mn-cs"/>
            </a:rPr>
            <a:t> can be entered without use of the ProbNPV tool if required</a:t>
          </a:r>
          <a:endParaRPr lang="en-AU" sz="800">
            <a:solidFill>
              <a:schemeClr val="bg1">
                <a:lumMod val="50000"/>
              </a:schemeClr>
            </a:solidFill>
            <a:effectLst/>
          </a:endParaRPr>
        </a:p>
      </xdr:txBody>
    </xdr:sp>
    <xdr:clientData/>
  </xdr:twoCellAnchor>
  <xdr:twoCellAnchor>
    <xdr:from>
      <xdr:col>8</xdr:col>
      <xdr:colOff>388620</xdr:colOff>
      <xdr:row>47</xdr:row>
      <xdr:rowOff>83820</xdr:rowOff>
    </xdr:from>
    <xdr:to>
      <xdr:col>16</xdr:col>
      <xdr:colOff>281940</xdr:colOff>
      <xdr:row>49</xdr:row>
      <xdr:rowOff>91440</xdr:rowOff>
    </xdr:to>
    <xdr:sp macro="" textlink="">
      <xdr:nvSpPr>
        <xdr:cNvPr id="84" name="Rectangle 83">
          <a:extLst>
            <a:ext uri="{FF2B5EF4-FFF2-40B4-BE49-F238E27FC236}">
              <a16:creationId xmlns:a16="http://schemas.microsoft.com/office/drawing/2014/main" id="{00000000-0008-0000-0000-000054000000}"/>
            </a:ext>
          </a:extLst>
        </xdr:cNvPr>
        <xdr:cNvSpPr/>
      </xdr:nvSpPr>
      <xdr:spPr>
        <a:xfrm>
          <a:off x="3520440" y="6172200"/>
          <a:ext cx="4465320" cy="2667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ctr"/>
        <a:lstStyle/>
        <a:p>
          <a:pPr algn="l"/>
          <a:r>
            <a:rPr lang="en-AU" sz="800" i="1">
              <a:solidFill>
                <a:schemeClr val="bg1">
                  <a:lumMod val="50000"/>
                </a:schemeClr>
              </a:solidFill>
            </a:rPr>
            <a:t>Probabilistic benefits/dis-benefits</a:t>
          </a:r>
          <a:r>
            <a:rPr lang="en-AU" sz="800" i="1" baseline="0">
              <a:solidFill>
                <a:schemeClr val="bg1">
                  <a:lumMod val="50000"/>
                </a:schemeClr>
              </a:solidFill>
            </a:rPr>
            <a:t> can be calculated and copied directly into the NPV model Input sheet</a:t>
          </a:r>
          <a:endParaRPr lang="en-AU" sz="800" i="1">
            <a:solidFill>
              <a:schemeClr val="bg1">
                <a:lumMod val="50000"/>
              </a:schemeClr>
            </a:solidFill>
          </a:endParaRPr>
        </a:p>
      </xdr:txBody>
    </xdr:sp>
    <xdr:clientData/>
  </xdr:twoCellAnchor>
  <xdr:twoCellAnchor>
    <xdr:from>
      <xdr:col>5</xdr:col>
      <xdr:colOff>152400</xdr:colOff>
      <xdr:row>37</xdr:row>
      <xdr:rowOff>45720</xdr:rowOff>
    </xdr:from>
    <xdr:to>
      <xdr:col>8</xdr:col>
      <xdr:colOff>76200</xdr:colOff>
      <xdr:row>41</xdr:row>
      <xdr:rowOff>7620</xdr:rowOff>
    </xdr:to>
    <xdr:sp macro="" textlink="">
      <xdr:nvSpPr>
        <xdr:cNvPr id="85" name="Rectangle 84">
          <a:extLst>
            <a:ext uri="{FF2B5EF4-FFF2-40B4-BE49-F238E27FC236}">
              <a16:creationId xmlns:a16="http://schemas.microsoft.com/office/drawing/2014/main" id="{00000000-0008-0000-0000-000055000000}"/>
            </a:ext>
          </a:extLst>
        </xdr:cNvPr>
        <xdr:cNvSpPr/>
      </xdr:nvSpPr>
      <xdr:spPr>
        <a:xfrm>
          <a:off x="1569720" y="4838700"/>
          <a:ext cx="1638300" cy="48006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ctr"/>
        <a:lstStyle/>
        <a:p>
          <a:pPr algn="l"/>
          <a:r>
            <a:rPr lang="en-AU" sz="800" i="1">
              <a:solidFill>
                <a:schemeClr val="bg1">
                  <a:lumMod val="50000"/>
                </a:schemeClr>
              </a:solidFill>
            </a:rPr>
            <a:t>Provides a faster and easier calculation approach for the purpose of initial estimates only (sense-checking etc.)</a:t>
          </a:r>
        </a:p>
      </xdr:txBody>
    </xdr:sp>
    <xdr:clientData/>
  </xdr:twoCellAnchor>
  <xdr:twoCellAnchor>
    <xdr:from>
      <xdr:col>5</xdr:col>
      <xdr:colOff>106680</xdr:colOff>
      <xdr:row>25</xdr:row>
      <xdr:rowOff>114300</xdr:rowOff>
    </xdr:from>
    <xdr:to>
      <xdr:col>6</xdr:col>
      <xdr:colOff>480060</xdr:colOff>
      <xdr:row>32</xdr:row>
      <xdr:rowOff>114300</xdr:rowOff>
    </xdr:to>
    <xdr:sp macro="" textlink="">
      <xdr:nvSpPr>
        <xdr:cNvPr id="86" name="Rectangle 85">
          <a:extLst>
            <a:ext uri="{FF2B5EF4-FFF2-40B4-BE49-F238E27FC236}">
              <a16:creationId xmlns:a16="http://schemas.microsoft.com/office/drawing/2014/main" id="{00000000-0008-0000-0000-000056000000}"/>
            </a:ext>
          </a:extLst>
        </xdr:cNvPr>
        <xdr:cNvSpPr/>
      </xdr:nvSpPr>
      <xdr:spPr>
        <a:xfrm>
          <a:off x="1524000" y="6720840"/>
          <a:ext cx="944880" cy="90678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ctr"/>
        <a:lstStyle/>
        <a:p>
          <a:r>
            <a:rPr lang="en-AU" sz="800" i="1">
              <a:solidFill>
                <a:schemeClr val="bg1">
                  <a:lumMod val="50000"/>
                </a:schemeClr>
              </a:solidFill>
              <a:effectLst/>
              <a:latin typeface="+mn-lt"/>
              <a:ea typeface="+mn-ea"/>
              <a:cs typeface="+mn-cs"/>
            </a:rPr>
            <a:t>Investment assumptions that are common between investments and controlled by the model owner</a:t>
          </a:r>
          <a:endParaRPr lang="en-AU" sz="800">
            <a:solidFill>
              <a:schemeClr val="bg1">
                <a:lumMod val="50000"/>
              </a:schemeClr>
            </a:solidFill>
            <a:effectLst/>
          </a:endParaRPr>
        </a:p>
      </xdr:txBody>
    </xdr:sp>
    <xdr:clientData/>
  </xdr:twoCellAnchor>
  <xdr:twoCellAnchor>
    <xdr:from>
      <xdr:col>15</xdr:col>
      <xdr:colOff>121920</xdr:colOff>
      <xdr:row>25</xdr:row>
      <xdr:rowOff>83820</xdr:rowOff>
    </xdr:from>
    <xdr:to>
      <xdr:col>19</xdr:col>
      <xdr:colOff>518160</xdr:colOff>
      <xdr:row>32</xdr:row>
      <xdr:rowOff>114300</xdr:rowOff>
    </xdr:to>
    <xdr:sp macro="" textlink="">
      <xdr:nvSpPr>
        <xdr:cNvPr id="87" name="Rectangle 86">
          <a:extLst>
            <a:ext uri="{FF2B5EF4-FFF2-40B4-BE49-F238E27FC236}">
              <a16:creationId xmlns:a16="http://schemas.microsoft.com/office/drawing/2014/main" id="{00000000-0008-0000-0000-000057000000}"/>
            </a:ext>
          </a:extLst>
        </xdr:cNvPr>
        <xdr:cNvSpPr/>
      </xdr:nvSpPr>
      <xdr:spPr>
        <a:xfrm>
          <a:off x="7254240" y="7208520"/>
          <a:ext cx="2682240" cy="93726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ctr"/>
        <a:lstStyle/>
        <a:p>
          <a:pPr algn="l"/>
          <a:r>
            <a:rPr lang="en-AU" sz="800" i="1">
              <a:solidFill>
                <a:schemeClr val="bg1">
                  <a:lumMod val="50000"/>
                </a:schemeClr>
              </a:solidFill>
            </a:rPr>
            <a:t>NPV</a:t>
          </a:r>
          <a:r>
            <a:rPr lang="en-AU" sz="800" i="1" baseline="0">
              <a:solidFill>
                <a:schemeClr val="bg1">
                  <a:lumMod val="50000"/>
                </a:schemeClr>
              </a:solidFill>
            </a:rPr>
            <a:t> output data from the perspective of shareholders, customers, and the market. Also highlights key prioritisation metrics with respect to investment required, and value investment ratios, both with and without consideration of probabilistic cash flows. This sheet also provides key tables and figures to be entered into business cases for investment approval</a:t>
          </a:r>
          <a:endParaRPr lang="en-AU" sz="800" i="1">
            <a:solidFill>
              <a:schemeClr val="bg1">
                <a:lumMod val="50000"/>
              </a:schemeClr>
            </a:solidFill>
          </a:endParaRPr>
        </a:p>
      </xdr:txBody>
    </xdr:sp>
    <xdr:clientData/>
  </xdr:twoCellAnchor>
  <xdr:twoCellAnchor>
    <xdr:from>
      <xdr:col>8</xdr:col>
      <xdr:colOff>293370</xdr:colOff>
      <xdr:row>35</xdr:row>
      <xdr:rowOff>121920</xdr:rowOff>
    </xdr:from>
    <xdr:to>
      <xdr:col>14</xdr:col>
      <xdr:colOff>91440</xdr:colOff>
      <xdr:row>60</xdr:row>
      <xdr:rowOff>7620</xdr:rowOff>
    </xdr:to>
    <xdr:cxnSp macro="">
      <xdr:nvCxnSpPr>
        <xdr:cNvPr id="4" name="Elbow Connector 3">
          <a:extLst>
            <a:ext uri="{FF2B5EF4-FFF2-40B4-BE49-F238E27FC236}">
              <a16:creationId xmlns:a16="http://schemas.microsoft.com/office/drawing/2014/main" id="{00000000-0008-0000-0000-000004000000}"/>
            </a:ext>
          </a:extLst>
        </xdr:cNvPr>
        <xdr:cNvCxnSpPr>
          <a:stCxn id="25" idx="0"/>
          <a:endCxn id="10" idx="2"/>
        </xdr:cNvCxnSpPr>
      </xdr:nvCxnSpPr>
      <xdr:spPr>
        <a:xfrm rot="16200000" flipV="1">
          <a:off x="3476625" y="4604385"/>
          <a:ext cx="3124200" cy="3227070"/>
        </a:xfrm>
        <a:prstGeom prst="bentConnector3">
          <a:avLst>
            <a:gd name="adj1" fmla="val 43658"/>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426720</xdr:colOff>
      <xdr:row>61</xdr:row>
      <xdr:rowOff>72390</xdr:rowOff>
    </xdr:from>
    <xdr:to>
      <xdr:col>13</xdr:col>
      <xdr:colOff>198120</xdr:colOff>
      <xdr:row>61</xdr:row>
      <xdr:rowOff>72390</xdr:rowOff>
    </xdr:to>
    <xdr:cxnSp macro="">
      <xdr:nvCxnSpPr>
        <xdr:cNvPr id="8" name="Straight Arrow Connector 7">
          <a:extLst>
            <a:ext uri="{FF2B5EF4-FFF2-40B4-BE49-F238E27FC236}">
              <a16:creationId xmlns:a16="http://schemas.microsoft.com/office/drawing/2014/main" id="{6103FCA8-39AB-4314-91B6-C83DF984953A}"/>
            </a:ext>
          </a:extLst>
        </xdr:cNvPr>
        <xdr:cNvCxnSpPr>
          <a:stCxn id="23" idx="3"/>
          <a:endCxn id="25" idx="1"/>
        </xdr:cNvCxnSpPr>
      </xdr:nvCxnSpPr>
      <xdr:spPr>
        <a:xfrm>
          <a:off x="5273040" y="7974330"/>
          <a:ext cx="914400" cy="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358140</xdr:colOff>
      <xdr:row>72</xdr:row>
      <xdr:rowOff>15240</xdr:rowOff>
    </xdr:from>
    <xdr:to>
      <xdr:col>8</xdr:col>
      <xdr:colOff>182880</xdr:colOff>
      <xdr:row>75</xdr:row>
      <xdr:rowOff>15240</xdr:rowOff>
    </xdr:to>
    <xdr:sp macro="" textlink="">
      <xdr:nvSpPr>
        <xdr:cNvPr id="49" name="Rectangle 48">
          <a:extLst>
            <a:ext uri="{FF2B5EF4-FFF2-40B4-BE49-F238E27FC236}">
              <a16:creationId xmlns:a16="http://schemas.microsoft.com/office/drawing/2014/main" id="{3EA7E673-F6AC-48FA-B298-86F7E0F6B2BF}"/>
            </a:ext>
          </a:extLst>
        </xdr:cNvPr>
        <xdr:cNvSpPr/>
      </xdr:nvSpPr>
      <xdr:spPr>
        <a:xfrm>
          <a:off x="2346960" y="9342120"/>
          <a:ext cx="967740" cy="388620"/>
        </a:xfrm>
        <a:prstGeom prst="rect">
          <a:avLst/>
        </a:prstGeom>
        <a:solidFill>
          <a:srgbClr val="FF0000"/>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AU" sz="800">
              <a:solidFill>
                <a:sysClr val="windowText" lastClr="000000"/>
              </a:solidFill>
            </a:rPr>
            <a:t>Probabilistic</a:t>
          </a:r>
          <a:r>
            <a:rPr lang="en-AU" sz="800" baseline="0">
              <a:solidFill>
                <a:sysClr val="windowText" lastClr="000000"/>
              </a:solidFill>
            </a:rPr>
            <a:t> NPV matrix</a:t>
          </a:r>
          <a:endParaRPr lang="en-AU" sz="800">
            <a:solidFill>
              <a:sysClr val="windowText" lastClr="000000"/>
            </a:solidFill>
          </a:endParaRPr>
        </a:p>
      </xdr:txBody>
    </xdr:sp>
    <xdr:clientData/>
  </xdr:twoCellAnchor>
  <xdr:twoCellAnchor>
    <xdr:from>
      <xdr:col>8</xdr:col>
      <xdr:colOff>228600</xdr:colOff>
      <xdr:row>72</xdr:row>
      <xdr:rowOff>22860</xdr:rowOff>
    </xdr:from>
    <xdr:to>
      <xdr:col>12</xdr:col>
      <xdr:colOff>411480</xdr:colOff>
      <xdr:row>75</xdr:row>
      <xdr:rowOff>15240</xdr:rowOff>
    </xdr:to>
    <xdr:sp macro="" textlink="">
      <xdr:nvSpPr>
        <xdr:cNvPr id="50" name="Rectangle 49">
          <a:extLst>
            <a:ext uri="{FF2B5EF4-FFF2-40B4-BE49-F238E27FC236}">
              <a16:creationId xmlns:a16="http://schemas.microsoft.com/office/drawing/2014/main" id="{B7A04CDB-9C45-4292-BD5D-C370F80D5796}"/>
            </a:ext>
          </a:extLst>
        </xdr:cNvPr>
        <xdr:cNvSpPr/>
      </xdr:nvSpPr>
      <xdr:spPr>
        <a:xfrm>
          <a:off x="3360420" y="9349740"/>
          <a:ext cx="2468880" cy="3810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ctr"/>
        <a:lstStyle/>
        <a:p>
          <a:pPr algn="l"/>
          <a:r>
            <a:rPr lang="en-AU" sz="800" i="1">
              <a:solidFill>
                <a:schemeClr val="bg1">
                  <a:lumMod val="50000"/>
                </a:schemeClr>
              </a:solidFill>
            </a:rPr>
            <a:t>Indicative matrix that shows whether probabilistic cashflows</a:t>
          </a:r>
          <a:r>
            <a:rPr lang="en-AU" sz="800" i="1" baseline="0">
              <a:solidFill>
                <a:schemeClr val="bg1">
                  <a:lumMod val="50000"/>
                </a:schemeClr>
              </a:solidFill>
            </a:rPr>
            <a:t> are expected (highly likely, somewhat likely, unlikely) by investment type</a:t>
          </a:r>
          <a:endParaRPr lang="en-AU" sz="800" i="1">
            <a:solidFill>
              <a:schemeClr val="bg1">
                <a:lumMod val="50000"/>
              </a:schemeClr>
            </a:solidFill>
          </a:endParaRPr>
        </a:p>
      </xdr:txBody>
    </xdr:sp>
    <xdr:clientData/>
  </xdr:twoCellAnchor>
  <xdr:twoCellAnchor>
    <xdr:from>
      <xdr:col>3</xdr:col>
      <xdr:colOff>464820</xdr:colOff>
      <xdr:row>43</xdr:row>
      <xdr:rowOff>0</xdr:rowOff>
    </xdr:from>
    <xdr:to>
      <xdr:col>5</xdr:col>
      <xdr:colOff>76200</xdr:colOff>
      <xdr:row>46</xdr:row>
      <xdr:rowOff>0</xdr:rowOff>
    </xdr:to>
    <xdr:sp macro="" textlink="">
      <xdr:nvSpPr>
        <xdr:cNvPr id="51" name="Rectangle 50">
          <a:extLst>
            <a:ext uri="{FF2B5EF4-FFF2-40B4-BE49-F238E27FC236}">
              <a16:creationId xmlns:a16="http://schemas.microsoft.com/office/drawing/2014/main" id="{D8D4674A-799C-483E-9CAA-080ADB070383}"/>
            </a:ext>
          </a:extLst>
        </xdr:cNvPr>
        <xdr:cNvSpPr/>
      </xdr:nvSpPr>
      <xdr:spPr>
        <a:xfrm>
          <a:off x="739140" y="5570220"/>
          <a:ext cx="754380" cy="388620"/>
        </a:xfrm>
        <a:prstGeom prst="rect">
          <a:avLst/>
        </a:prstGeom>
        <a:solidFill>
          <a:srgbClr val="FF0000"/>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AU" sz="800">
              <a:solidFill>
                <a:sysClr val="windowText" lastClr="000000"/>
              </a:solidFill>
            </a:rPr>
            <a:t>User guide</a:t>
          </a:r>
        </a:p>
      </xdr:txBody>
    </xdr:sp>
    <xdr:clientData/>
  </xdr:twoCellAnchor>
  <xdr:twoCellAnchor>
    <xdr:from>
      <xdr:col>5</xdr:col>
      <xdr:colOff>152400</xdr:colOff>
      <xdr:row>42</xdr:row>
      <xdr:rowOff>121920</xdr:rowOff>
    </xdr:from>
    <xdr:to>
      <xdr:col>8</xdr:col>
      <xdr:colOff>15240</xdr:colOff>
      <xdr:row>46</xdr:row>
      <xdr:rowOff>0</xdr:rowOff>
    </xdr:to>
    <xdr:sp macro="" textlink="">
      <xdr:nvSpPr>
        <xdr:cNvPr id="52" name="Rectangle 51">
          <a:extLst>
            <a:ext uri="{FF2B5EF4-FFF2-40B4-BE49-F238E27FC236}">
              <a16:creationId xmlns:a16="http://schemas.microsoft.com/office/drawing/2014/main" id="{F6213859-0D8C-45B4-93F3-5A51B8719D1F}"/>
            </a:ext>
          </a:extLst>
        </xdr:cNvPr>
        <xdr:cNvSpPr/>
      </xdr:nvSpPr>
      <xdr:spPr>
        <a:xfrm>
          <a:off x="1569720" y="5562600"/>
          <a:ext cx="1577340" cy="39624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ctr"/>
        <a:lstStyle/>
        <a:p>
          <a:pPr algn="l"/>
          <a:r>
            <a:rPr lang="en-AU" sz="800" i="1">
              <a:solidFill>
                <a:schemeClr val="bg1">
                  <a:lumMod val="50000"/>
                </a:schemeClr>
              </a:solidFill>
            </a:rPr>
            <a:t>Provides an overview of sheets within the model and what their</a:t>
          </a:r>
          <a:r>
            <a:rPr lang="en-AU" sz="800" i="1" baseline="0">
              <a:solidFill>
                <a:schemeClr val="bg1">
                  <a:lumMod val="50000"/>
                </a:schemeClr>
              </a:solidFill>
            </a:rPr>
            <a:t> purpose is, as well as various user instructions</a:t>
          </a:r>
          <a:endParaRPr lang="en-AU" sz="800" i="1">
            <a:solidFill>
              <a:schemeClr val="bg1">
                <a:lumMod val="50000"/>
              </a:schemeClr>
            </a:solidFill>
          </a:endParaRPr>
        </a:p>
      </xdr:txBody>
    </xdr:sp>
    <xdr:clientData/>
  </xdr:twoCellAnchor>
  <xdr:twoCellAnchor>
    <xdr:from>
      <xdr:col>3</xdr:col>
      <xdr:colOff>464820</xdr:colOff>
      <xdr:row>46</xdr:row>
      <xdr:rowOff>53340</xdr:rowOff>
    </xdr:from>
    <xdr:to>
      <xdr:col>5</xdr:col>
      <xdr:colOff>76200</xdr:colOff>
      <xdr:row>49</xdr:row>
      <xdr:rowOff>53340</xdr:rowOff>
    </xdr:to>
    <xdr:sp macro="" textlink="">
      <xdr:nvSpPr>
        <xdr:cNvPr id="55" name="Rectangle 54">
          <a:extLst>
            <a:ext uri="{FF2B5EF4-FFF2-40B4-BE49-F238E27FC236}">
              <a16:creationId xmlns:a16="http://schemas.microsoft.com/office/drawing/2014/main" id="{487885D1-570D-4135-9149-12B85E3660B8}"/>
            </a:ext>
          </a:extLst>
        </xdr:cNvPr>
        <xdr:cNvSpPr/>
      </xdr:nvSpPr>
      <xdr:spPr>
        <a:xfrm>
          <a:off x="739140" y="6012180"/>
          <a:ext cx="754380" cy="388620"/>
        </a:xfrm>
        <a:prstGeom prst="rect">
          <a:avLst/>
        </a:prstGeom>
        <a:solidFill>
          <a:schemeClr val="accent1">
            <a:lumMod val="40000"/>
            <a:lumOff val="60000"/>
          </a:schemeClr>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r>
            <a:rPr lang="en-AU" sz="800">
              <a:solidFill>
                <a:sysClr val="windowText" lastClr="000000"/>
              </a:solidFill>
              <a:effectLst/>
              <a:latin typeface="+mn-lt"/>
              <a:ea typeface="+mn-ea"/>
              <a:cs typeface="+mn-cs"/>
            </a:rPr>
            <a:t>NPVoverview</a:t>
          </a:r>
          <a:endParaRPr lang="en-AU" sz="800">
            <a:solidFill>
              <a:sysClr val="windowText" lastClr="000000"/>
            </a:solidFill>
            <a:effectLst/>
          </a:endParaRPr>
        </a:p>
      </xdr:txBody>
    </xdr:sp>
    <xdr:clientData/>
  </xdr:twoCellAnchor>
  <xdr:twoCellAnchor>
    <xdr:from>
      <xdr:col>5</xdr:col>
      <xdr:colOff>152400</xdr:colOff>
      <xdr:row>46</xdr:row>
      <xdr:rowOff>106680</xdr:rowOff>
    </xdr:from>
    <xdr:to>
      <xdr:col>7</xdr:col>
      <xdr:colOff>327660</xdr:colOff>
      <xdr:row>48</xdr:row>
      <xdr:rowOff>114300</xdr:rowOff>
    </xdr:to>
    <xdr:sp macro="" textlink="">
      <xdr:nvSpPr>
        <xdr:cNvPr id="56" name="Rectangle 55">
          <a:extLst>
            <a:ext uri="{FF2B5EF4-FFF2-40B4-BE49-F238E27FC236}">
              <a16:creationId xmlns:a16="http://schemas.microsoft.com/office/drawing/2014/main" id="{4D4BB00B-4532-4323-9ADF-101146D1FBA3}"/>
            </a:ext>
          </a:extLst>
        </xdr:cNvPr>
        <xdr:cNvSpPr/>
      </xdr:nvSpPr>
      <xdr:spPr>
        <a:xfrm>
          <a:off x="1569720" y="6065520"/>
          <a:ext cx="1318260" cy="2667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ctr"/>
        <a:lstStyle/>
        <a:p>
          <a:pPr algn="l"/>
          <a:r>
            <a:rPr lang="en-AU" sz="800" i="1">
              <a:solidFill>
                <a:schemeClr val="bg1">
                  <a:lumMod val="50000"/>
                </a:schemeClr>
              </a:solidFill>
            </a:rPr>
            <a:t>Provides an overview of the NPV calculation methodology</a:t>
          </a:r>
        </a:p>
      </xdr:txBody>
    </xdr:sp>
    <xdr:clientData/>
  </xdr:twoCellAnchor>
  <xdr:twoCellAnchor>
    <xdr:from>
      <xdr:col>4</xdr:col>
      <xdr:colOff>270510</xdr:colOff>
      <xdr:row>35</xdr:row>
      <xdr:rowOff>121920</xdr:rowOff>
    </xdr:from>
    <xdr:to>
      <xdr:col>8</xdr:col>
      <xdr:colOff>293370</xdr:colOff>
      <xdr:row>37</xdr:row>
      <xdr:rowOff>99060</xdr:rowOff>
    </xdr:to>
    <xdr:cxnSp macro="">
      <xdr:nvCxnSpPr>
        <xdr:cNvPr id="22" name="Connector: Elbow 21">
          <a:extLst>
            <a:ext uri="{FF2B5EF4-FFF2-40B4-BE49-F238E27FC236}">
              <a16:creationId xmlns:a16="http://schemas.microsoft.com/office/drawing/2014/main" id="{1D9A74F0-5EB6-4FE1-85BE-D135A9AF9271}"/>
            </a:ext>
          </a:extLst>
        </xdr:cNvPr>
        <xdr:cNvCxnSpPr>
          <a:stCxn id="17" idx="0"/>
          <a:endCxn id="10" idx="2"/>
        </xdr:cNvCxnSpPr>
      </xdr:nvCxnSpPr>
      <xdr:spPr>
        <a:xfrm rot="5400000" flipH="1" flipV="1">
          <a:off x="2152650" y="3619500"/>
          <a:ext cx="236220" cy="2308860"/>
        </a:xfrm>
        <a:prstGeom prst="bentConnector3">
          <a:avLst>
            <a:gd name="adj1" fmla="val 3387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270510</xdr:colOff>
      <xdr:row>35</xdr:row>
      <xdr:rowOff>121920</xdr:rowOff>
    </xdr:from>
    <xdr:to>
      <xdr:col>15</xdr:col>
      <xdr:colOff>499110</xdr:colOff>
      <xdr:row>40</xdr:row>
      <xdr:rowOff>99060</xdr:rowOff>
    </xdr:to>
    <xdr:cxnSp macro="">
      <xdr:nvCxnSpPr>
        <xdr:cNvPr id="70" name="Connector: Elbow 69">
          <a:extLst>
            <a:ext uri="{FF2B5EF4-FFF2-40B4-BE49-F238E27FC236}">
              <a16:creationId xmlns:a16="http://schemas.microsoft.com/office/drawing/2014/main" id="{AA392292-2A18-438B-B10B-B8B594546F74}"/>
            </a:ext>
          </a:extLst>
        </xdr:cNvPr>
        <xdr:cNvCxnSpPr>
          <a:stCxn id="13" idx="2"/>
          <a:endCxn id="17" idx="2"/>
        </xdr:cNvCxnSpPr>
      </xdr:nvCxnSpPr>
      <xdr:spPr>
        <a:xfrm rot="5400000">
          <a:off x="4061460" y="1710690"/>
          <a:ext cx="624840" cy="6515100"/>
        </a:xfrm>
        <a:prstGeom prst="bentConnector3">
          <a:avLst>
            <a:gd name="adj1" fmla="val 125609"/>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16</xdr:col>
      <xdr:colOff>0</xdr:colOff>
      <xdr:row>38</xdr:row>
      <xdr:rowOff>68580</xdr:rowOff>
    </xdr:from>
    <xdr:to>
      <xdr:col>18</xdr:col>
      <xdr:colOff>220980</xdr:colOff>
      <xdr:row>42</xdr:row>
      <xdr:rowOff>15240</xdr:rowOff>
    </xdr:to>
    <xdr:sp macro="" textlink="">
      <xdr:nvSpPr>
        <xdr:cNvPr id="72" name="Rectangle 71">
          <a:extLst>
            <a:ext uri="{FF2B5EF4-FFF2-40B4-BE49-F238E27FC236}">
              <a16:creationId xmlns:a16="http://schemas.microsoft.com/office/drawing/2014/main" id="{678E8125-3609-4549-B8A1-37307656407C}"/>
            </a:ext>
          </a:extLst>
        </xdr:cNvPr>
        <xdr:cNvSpPr/>
      </xdr:nvSpPr>
      <xdr:spPr>
        <a:xfrm>
          <a:off x="7703820" y="4991100"/>
          <a:ext cx="1363980" cy="46482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ctr"/>
        <a:lstStyle/>
        <a:p>
          <a:pPr algn="l"/>
          <a:r>
            <a:rPr lang="en-AU" sz="800" i="1">
              <a:solidFill>
                <a:schemeClr val="bg1">
                  <a:lumMod val="50000"/>
                </a:schemeClr>
              </a:solidFill>
            </a:rPr>
            <a:t>When the QuickCalc sheet is used for initial</a:t>
          </a:r>
          <a:r>
            <a:rPr lang="en-AU" sz="800" i="1" baseline="0">
              <a:solidFill>
                <a:schemeClr val="bg1">
                  <a:lumMod val="50000"/>
                </a:schemeClr>
              </a:solidFill>
            </a:rPr>
            <a:t> estimates, key o</a:t>
          </a:r>
          <a:r>
            <a:rPr lang="en-AU" sz="800" i="1">
              <a:solidFill>
                <a:schemeClr val="bg1">
                  <a:lumMod val="50000"/>
                </a:schemeClr>
              </a:solidFill>
            </a:rPr>
            <a:t>utputs are fed back to the sheet</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3</xdr:col>
      <xdr:colOff>563880</xdr:colOff>
      <xdr:row>16</xdr:row>
      <xdr:rowOff>114300</xdr:rowOff>
    </xdr:from>
    <xdr:to>
      <xdr:col>6</xdr:col>
      <xdr:colOff>0</xdr:colOff>
      <xdr:row>19</xdr:row>
      <xdr:rowOff>114300</xdr:rowOff>
    </xdr:to>
    <xdr:sp macro="" textlink="">
      <xdr:nvSpPr>
        <xdr:cNvPr id="3" name="Rectangle 2">
          <a:extLst>
            <a:ext uri="{FF2B5EF4-FFF2-40B4-BE49-F238E27FC236}">
              <a16:creationId xmlns:a16="http://schemas.microsoft.com/office/drawing/2014/main" id="{00000000-0008-0000-0200-000003000000}"/>
            </a:ext>
          </a:extLst>
        </xdr:cNvPr>
        <xdr:cNvSpPr/>
      </xdr:nvSpPr>
      <xdr:spPr>
        <a:xfrm>
          <a:off x="838200" y="2446020"/>
          <a:ext cx="1150620" cy="388620"/>
        </a:xfrm>
        <a:prstGeom prst="rect">
          <a:avLst/>
        </a:prstGeom>
        <a:solidFill>
          <a:schemeClr val="accent4">
            <a:lumMod val="20000"/>
            <a:lumOff val="80000"/>
          </a:schemeClr>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AU" sz="800">
              <a:solidFill>
                <a:sysClr val="windowText" lastClr="000000"/>
              </a:solidFill>
            </a:rPr>
            <a:t>Capex (Excl. Land, $)</a:t>
          </a:r>
        </a:p>
      </xdr:txBody>
    </xdr:sp>
    <xdr:clientData/>
  </xdr:twoCellAnchor>
  <xdr:twoCellAnchor>
    <xdr:from>
      <xdr:col>3</xdr:col>
      <xdr:colOff>563880</xdr:colOff>
      <xdr:row>20</xdr:row>
      <xdr:rowOff>99060</xdr:rowOff>
    </xdr:from>
    <xdr:to>
      <xdr:col>6</xdr:col>
      <xdr:colOff>0</xdr:colOff>
      <xdr:row>23</xdr:row>
      <xdr:rowOff>99060</xdr:rowOff>
    </xdr:to>
    <xdr:sp macro="" textlink="">
      <xdr:nvSpPr>
        <xdr:cNvPr id="6" name="Rectangle 5">
          <a:extLst>
            <a:ext uri="{FF2B5EF4-FFF2-40B4-BE49-F238E27FC236}">
              <a16:creationId xmlns:a16="http://schemas.microsoft.com/office/drawing/2014/main" id="{00000000-0008-0000-0200-000006000000}"/>
            </a:ext>
          </a:extLst>
        </xdr:cNvPr>
        <xdr:cNvSpPr/>
      </xdr:nvSpPr>
      <xdr:spPr>
        <a:xfrm>
          <a:off x="838200" y="2948940"/>
          <a:ext cx="1150620" cy="388620"/>
        </a:xfrm>
        <a:prstGeom prst="rect">
          <a:avLst/>
        </a:prstGeom>
        <a:solidFill>
          <a:schemeClr val="accent4">
            <a:lumMod val="20000"/>
            <a:lumOff val="80000"/>
          </a:schemeClr>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AU" sz="800">
              <a:solidFill>
                <a:sysClr val="windowText" lastClr="000000"/>
              </a:solidFill>
            </a:rPr>
            <a:t>Contingency ($)</a:t>
          </a:r>
        </a:p>
      </xdr:txBody>
    </xdr:sp>
    <xdr:clientData/>
  </xdr:twoCellAnchor>
  <xdr:twoCellAnchor>
    <xdr:from>
      <xdr:col>3</xdr:col>
      <xdr:colOff>566420</xdr:colOff>
      <xdr:row>28</xdr:row>
      <xdr:rowOff>76200</xdr:rowOff>
    </xdr:from>
    <xdr:to>
      <xdr:col>6</xdr:col>
      <xdr:colOff>0</xdr:colOff>
      <xdr:row>31</xdr:row>
      <xdr:rowOff>76200</xdr:rowOff>
    </xdr:to>
    <xdr:sp macro="" textlink="">
      <xdr:nvSpPr>
        <xdr:cNvPr id="7" name="Rectangle 6">
          <a:extLst>
            <a:ext uri="{FF2B5EF4-FFF2-40B4-BE49-F238E27FC236}">
              <a16:creationId xmlns:a16="http://schemas.microsoft.com/office/drawing/2014/main" id="{00000000-0008-0000-0200-000007000000}"/>
            </a:ext>
          </a:extLst>
        </xdr:cNvPr>
        <xdr:cNvSpPr/>
      </xdr:nvSpPr>
      <xdr:spPr>
        <a:xfrm>
          <a:off x="840740" y="3962400"/>
          <a:ext cx="1148080" cy="388620"/>
        </a:xfrm>
        <a:prstGeom prst="rect">
          <a:avLst/>
        </a:prstGeom>
        <a:solidFill>
          <a:schemeClr val="accent4">
            <a:lumMod val="20000"/>
            <a:lumOff val="80000"/>
          </a:schemeClr>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AU" sz="800">
              <a:solidFill>
                <a:sysClr val="windowText" lastClr="000000"/>
              </a:solidFill>
            </a:rPr>
            <a:t>Land Capex ($)</a:t>
          </a:r>
        </a:p>
      </xdr:txBody>
    </xdr:sp>
    <xdr:clientData/>
  </xdr:twoCellAnchor>
  <xdr:twoCellAnchor>
    <xdr:from>
      <xdr:col>6</xdr:col>
      <xdr:colOff>0</xdr:colOff>
      <xdr:row>18</xdr:row>
      <xdr:rowOff>49530</xdr:rowOff>
    </xdr:from>
    <xdr:to>
      <xdr:col>15</xdr:col>
      <xdr:colOff>265006</xdr:colOff>
      <xdr:row>23</xdr:row>
      <xdr:rowOff>73238</xdr:rowOff>
    </xdr:to>
    <xdr:cxnSp macro="">
      <xdr:nvCxnSpPr>
        <xdr:cNvPr id="12" name="Elbow Connector 11">
          <a:extLst>
            <a:ext uri="{FF2B5EF4-FFF2-40B4-BE49-F238E27FC236}">
              <a16:creationId xmlns:a16="http://schemas.microsoft.com/office/drawing/2014/main" id="{00000000-0008-0000-0200-00000C000000}"/>
            </a:ext>
          </a:extLst>
        </xdr:cNvPr>
        <xdr:cNvCxnSpPr>
          <a:stCxn id="3" idx="3"/>
          <a:endCxn id="108" idx="1"/>
        </xdr:cNvCxnSpPr>
      </xdr:nvCxnSpPr>
      <xdr:spPr>
        <a:xfrm>
          <a:off x="1988820" y="2640330"/>
          <a:ext cx="5408506" cy="671408"/>
        </a:xfrm>
        <a:prstGeom prst="bentConnector3">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0</xdr:colOff>
      <xdr:row>23</xdr:row>
      <xdr:rowOff>73238</xdr:rowOff>
    </xdr:from>
    <xdr:to>
      <xdr:col>15</xdr:col>
      <xdr:colOff>265006</xdr:colOff>
      <xdr:row>30</xdr:row>
      <xdr:rowOff>11430</xdr:rowOff>
    </xdr:to>
    <xdr:cxnSp macro="">
      <xdr:nvCxnSpPr>
        <xdr:cNvPr id="16" name="Elbow Connector 15">
          <a:extLst>
            <a:ext uri="{FF2B5EF4-FFF2-40B4-BE49-F238E27FC236}">
              <a16:creationId xmlns:a16="http://schemas.microsoft.com/office/drawing/2014/main" id="{00000000-0008-0000-0200-000010000000}"/>
            </a:ext>
          </a:extLst>
        </xdr:cNvPr>
        <xdr:cNvCxnSpPr>
          <a:stCxn id="7" idx="3"/>
          <a:endCxn id="108" idx="1"/>
        </xdr:cNvCxnSpPr>
      </xdr:nvCxnSpPr>
      <xdr:spPr>
        <a:xfrm flipV="1">
          <a:off x="1988820" y="3311738"/>
          <a:ext cx="5408506" cy="844972"/>
        </a:xfrm>
        <a:prstGeom prst="bentConnector3">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563880</xdr:colOff>
      <xdr:row>34</xdr:row>
      <xdr:rowOff>76200</xdr:rowOff>
    </xdr:from>
    <xdr:to>
      <xdr:col>6</xdr:col>
      <xdr:colOff>22860</xdr:colOff>
      <xdr:row>37</xdr:row>
      <xdr:rowOff>76200</xdr:rowOff>
    </xdr:to>
    <xdr:sp macro="" textlink="">
      <xdr:nvSpPr>
        <xdr:cNvPr id="26" name="Rectangle 25">
          <a:extLst>
            <a:ext uri="{FF2B5EF4-FFF2-40B4-BE49-F238E27FC236}">
              <a16:creationId xmlns:a16="http://schemas.microsoft.com/office/drawing/2014/main" id="{00000000-0008-0000-0200-00001A000000}"/>
            </a:ext>
          </a:extLst>
        </xdr:cNvPr>
        <xdr:cNvSpPr/>
      </xdr:nvSpPr>
      <xdr:spPr>
        <a:xfrm>
          <a:off x="838200" y="4998720"/>
          <a:ext cx="1173480" cy="388620"/>
        </a:xfrm>
        <a:prstGeom prst="rect">
          <a:avLst/>
        </a:prstGeom>
        <a:solidFill>
          <a:schemeClr val="accent4">
            <a:lumMod val="20000"/>
            <a:lumOff val="80000"/>
          </a:schemeClr>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AU" sz="800">
              <a:solidFill>
                <a:sysClr val="windowText" lastClr="000000"/>
              </a:solidFill>
            </a:rPr>
            <a:t>Future Capex ($)</a:t>
          </a:r>
        </a:p>
      </xdr:txBody>
    </xdr:sp>
    <xdr:clientData/>
  </xdr:twoCellAnchor>
  <xdr:twoCellAnchor>
    <xdr:from>
      <xdr:col>3</xdr:col>
      <xdr:colOff>563880</xdr:colOff>
      <xdr:row>102</xdr:row>
      <xdr:rowOff>54429</xdr:rowOff>
    </xdr:from>
    <xdr:to>
      <xdr:col>5</xdr:col>
      <xdr:colOff>472440</xdr:colOff>
      <xdr:row>105</xdr:row>
      <xdr:rowOff>54428</xdr:rowOff>
    </xdr:to>
    <xdr:sp macro="" textlink="">
      <xdr:nvSpPr>
        <xdr:cNvPr id="45" name="Rectangle 44">
          <a:extLst>
            <a:ext uri="{FF2B5EF4-FFF2-40B4-BE49-F238E27FC236}">
              <a16:creationId xmlns:a16="http://schemas.microsoft.com/office/drawing/2014/main" id="{00000000-0008-0000-0200-00002D000000}"/>
            </a:ext>
          </a:extLst>
        </xdr:cNvPr>
        <xdr:cNvSpPr/>
      </xdr:nvSpPr>
      <xdr:spPr>
        <a:xfrm>
          <a:off x="838200" y="7697289"/>
          <a:ext cx="1051560" cy="388619"/>
        </a:xfrm>
        <a:prstGeom prst="rect">
          <a:avLst/>
        </a:prstGeom>
        <a:solidFill>
          <a:schemeClr val="accent4">
            <a:lumMod val="20000"/>
            <a:lumOff val="80000"/>
          </a:schemeClr>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AU" sz="800">
              <a:solidFill>
                <a:sysClr val="windowText" lastClr="000000"/>
              </a:solidFill>
            </a:rPr>
            <a:t>Capex (Excl. Land, $)</a:t>
          </a:r>
        </a:p>
      </xdr:txBody>
    </xdr:sp>
    <xdr:clientData/>
  </xdr:twoCellAnchor>
  <xdr:twoCellAnchor>
    <xdr:from>
      <xdr:col>3</xdr:col>
      <xdr:colOff>563880</xdr:colOff>
      <xdr:row>106</xdr:row>
      <xdr:rowOff>84908</xdr:rowOff>
    </xdr:from>
    <xdr:to>
      <xdr:col>5</xdr:col>
      <xdr:colOff>480060</xdr:colOff>
      <xdr:row>109</xdr:row>
      <xdr:rowOff>84908</xdr:rowOff>
    </xdr:to>
    <xdr:sp macro="" textlink="">
      <xdr:nvSpPr>
        <xdr:cNvPr id="46" name="Rectangle 45">
          <a:extLst>
            <a:ext uri="{FF2B5EF4-FFF2-40B4-BE49-F238E27FC236}">
              <a16:creationId xmlns:a16="http://schemas.microsoft.com/office/drawing/2014/main" id="{00000000-0008-0000-0200-00002E000000}"/>
            </a:ext>
          </a:extLst>
        </xdr:cNvPr>
        <xdr:cNvSpPr/>
      </xdr:nvSpPr>
      <xdr:spPr>
        <a:xfrm>
          <a:off x="838200" y="8245928"/>
          <a:ext cx="1059180" cy="388620"/>
        </a:xfrm>
        <a:prstGeom prst="rect">
          <a:avLst/>
        </a:prstGeom>
        <a:solidFill>
          <a:schemeClr val="accent4">
            <a:lumMod val="20000"/>
            <a:lumOff val="80000"/>
          </a:schemeClr>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AU" sz="800">
              <a:solidFill>
                <a:sysClr val="windowText" lastClr="000000"/>
              </a:solidFill>
            </a:rPr>
            <a:t>Contingency ($)</a:t>
          </a:r>
        </a:p>
      </xdr:txBody>
    </xdr:sp>
    <xdr:clientData/>
  </xdr:twoCellAnchor>
  <xdr:twoCellAnchor>
    <xdr:from>
      <xdr:col>3</xdr:col>
      <xdr:colOff>566420</xdr:colOff>
      <xdr:row>110</xdr:row>
      <xdr:rowOff>114299</xdr:rowOff>
    </xdr:from>
    <xdr:to>
      <xdr:col>5</xdr:col>
      <xdr:colOff>480060</xdr:colOff>
      <xdr:row>113</xdr:row>
      <xdr:rowOff>114300</xdr:rowOff>
    </xdr:to>
    <xdr:sp macro="" textlink="">
      <xdr:nvSpPr>
        <xdr:cNvPr id="47" name="Rectangle 46">
          <a:extLst>
            <a:ext uri="{FF2B5EF4-FFF2-40B4-BE49-F238E27FC236}">
              <a16:creationId xmlns:a16="http://schemas.microsoft.com/office/drawing/2014/main" id="{00000000-0008-0000-0200-00002F000000}"/>
            </a:ext>
          </a:extLst>
        </xdr:cNvPr>
        <xdr:cNvSpPr/>
      </xdr:nvSpPr>
      <xdr:spPr>
        <a:xfrm>
          <a:off x="840740" y="8793479"/>
          <a:ext cx="1056640" cy="388621"/>
        </a:xfrm>
        <a:prstGeom prst="rect">
          <a:avLst/>
        </a:prstGeom>
        <a:solidFill>
          <a:schemeClr val="accent4">
            <a:lumMod val="20000"/>
            <a:lumOff val="80000"/>
          </a:schemeClr>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AU" sz="800">
              <a:solidFill>
                <a:sysClr val="windowText" lastClr="000000"/>
              </a:solidFill>
            </a:rPr>
            <a:t>Land Capex ($)</a:t>
          </a:r>
        </a:p>
      </xdr:txBody>
    </xdr:sp>
    <xdr:clientData/>
  </xdr:twoCellAnchor>
  <xdr:twoCellAnchor>
    <xdr:from>
      <xdr:col>9</xdr:col>
      <xdr:colOff>281940</xdr:colOff>
      <xdr:row>107</xdr:row>
      <xdr:rowOff>69668</xdr:rowOff>
    </xdr:from>
    <xdr:to>
      <xdr:col>11</xdr:col>
      <xdr:colOff>213360</xdr:colOff>
      <xdr:row>110</xdr:row>
      <xdr:rowOff>69668</xdr:rowOff>
    </xdr:to>
    <xdr:sp macro="" textlink="">
      <xdr:nvSpPr>
        <xdr:cNvPr id="48" name="Rectangle 47">
          <a:extLst>
            <a:ext uri="{FF2B5EF4-FFF2-40B4-BE49-F238E27FC236}">
              <a16:creationId xmlns:a16="http://schemas.microsoft.com/office/drawing/2014/main" id="{00000000-0008-0000-0200-000030000000}"/>
            </a:ext>
          </a:extLst>
        </xdr:cNvPr>
        <xdr:cNvSpPr/>
      </xdr:nvSpPr>
      <xdr:spPr>
        <a:xfrm>
          <a:off x="3985260" y="8360228"/>
          <a:ext cx="1074420" cy="388620"/>
        </a:xfrm>
        <a:prstGeom prst="rect">
          <a:avLst/>
        </a:prstGeom>
        <a:solidFill>
          <a:sysClr val="window" lastClr="FFFFFF"/>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AU" sz="800">
              <a:solidFill>
                <a:sysClr val="windowText" lastClr="000000"/>
              </a:solidFill>
            </a:rPr>
            <a:t>Total Capex</a:t>
          </a:r>
          <a:r>
            <a:rPr lang="en-AU" sz="800" baseline="0">
              <a:solidFill>
                <a:sysClr val="windowText" lastClr="000000"/>
              </a:solidFill>
            </a:rPr>
            <a:t> ($)</a:t>
          </a:r>
          <a:endParaRPr lang="en-AU" sz="800">
            <a:solidFill>
              <a:sysClr val="windowText" lastClr="000000"/>
            </a:solidFill>
          </a:endParaRPr>
        </a:p>
      </xdr:txBody>
    </xdr:sp>
    <xdr:clientData/>
  </xdr:twoCellAnchor>
  <xdr:twoCellAnchor>
    <xdr:from>
      <xdr:col>13</xdr:col>
      <xdr:colOff>533400</xdr:colOff>
      <xdr:row>102</xdr:row>
      <xdr:rowOff>54429</xdr:rowOff>
    </xdr:from>
    <xdr:to>
      <xdr:col>14</xdr:col>
      <xdr:colOff>548640</xdr:colOff>
      <xdr:row>105</xdr:row>
      <xdr:rowOff>54428</xdr:rowOff>
    </xdr:to>
    <xdr:sp macro="" textlink="">
      <xdr:nvSpPr>
        <xdr:cNvPr id="55" name="Rectangle 54">
          <a:extLst>
            <a:ext uri="{FF2B5EF4-FFF2-40B4-BE49-F238E27FC236}">
              <a16:creationId xmlns:a16="http://schemas.microsoft.com/office/drawing/2014/main" id="{00000000-0008-0000-0200-000037000000}"/>
            </a:ext>
          </a:extLst>
        </xdr:cNvPr>
        <xdr:cNvSpPr/>
      </xdr:nvSpPr>
      <xdr:spPr>
        <a:xfrm>
          <a:off x="6522720" y="7697289"/>
          <a:ext cx="586740" cy="388619"/>
        </a:xfrm>
        <a:prstGeom prst="rect">
          <a:avLst/>
        </a:prstGeom>
        <a:solidFill>
          <a:schemeClr val="bg2"/>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AU" sz="800">
              <a:solidFill>
                <a:sysClr val="windowText" lastClr="000000"/>
              </a:solidFill>
            </a:rPr>
            <a:t>WACC</a:t>
          </a:r>
          <a:r>
            <a:rPr lang="en-AU" sz="800" baseline="0">
              <a:solidFill>
                <a:sysClr val="windowText" lastClr="000000"/>
              </a:solidFill>
            </a:rPr>
            <a:t> (%)</a:t>
          </a:r>
          <a:endParaRPr lang="en-AU" sz="800">
            <a:solidFill>
              <a:sysClr val="windowText" lastClr="000000"/>
            </a:solidFill>
          </a:endParaRPr>
        </a:p>
      </xdr:txBody>
    </xdr:sp>
    <xdr:clientData/>
  </xdr:twoCellAnchor>
  <xdr:twoCellAnchor>
    <xdr:from>
      <xdr:col>15</xdr:col>
      <xdr:colOff>342900</xdr:colOff>
      <xdr:row>107</xdr:row>
      <xdr:rowOff>69668</xdr:rowOff>
    </xdr:from>
    <xdr:to>
      <xdr:col>17</xdr:col>
      <xdr:colOff>228600</xdr:colOff>
      <xdr:row>110</xdr:row>
      <xdr:rowOff>69668</xdr:rowOff>
    </xdr:to>
    <xdr:sp macro="" textlink="">
      <xdr:nvSpPr>
        <xdr:cNvPr id="64" name="Rectangle 63">
          <a:extLst>
            <a:ext uri="{FF2B5EF4-FFF2-40B4-BE49-F238E27FC236}">
              <a16:creationId xmlns:a16="http://schemas.microsoft.com/office/drawing/2014/main" id="{00000000-0008-0000-0200-000040000000}"/>
            </a:ext>
          </a:extLst>
        </xdr:cNvPr>
        <xdr:cNvSpPr/>
      </xdr:nvSpPr>
      <xdr:spPr>
        <a:xfrm>
          <a:off x="7475220" y="8360228"/>
          <a:ext cx="1028700" cy="388620"/>
        </a:xfrm>
        <a:prstGeom prst="rect">
          <a:avLst/>
        </a:prstGeom>
        <a:solidFill>
          <a:sysClr val="window" lastClr="FFFFFF"/>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lstStyle/>
        <a:p>
          <a:pPr algn="ctr"/>
          <a:r>
            <a:rPr lang="en-AU" sz="800">
              <a:solidFill>
                <a:sysClr val="windowText" lastClr="000000"/>
              </a:solidFill>
            </a:rPr>
            <a:t>Return on </a:t>
          </a:r>
        </a:p>
        <a:p>
          <a:pPr algn="ctr"/>
          <a:r>
            <a:rPr lang="en-AU" sz="800">
              <a:solidFill>
                <a:sysClr val="windowText" lastClr="000000"/>
              </a:solidFill>
            </a:rPr>
            <a:t>capital</a:t>
          </a:r>
          <a:r>
            <a:rPr lang="en-AU" sz="800" baseline="0">
              <a:solidFill>
                <a:sysClr val="windowText" lastClr="000000"/>
              </a:solidFill>
            </a:rPr>
            <a:t> ($)</a:t>
          </a:r>
          <a:endParaRPr lang="en-AU" sz="800">
            <a:solidFill>
              <a:sysClr val="windowText" lastClr="000000"/>
            </a:solidFill>
          </a:endParaRPr>
        </a:p>
      </xdr:txBody>
    </xdr:sp>
    <xdr:clientData/>
  </xdr:twoCellAnchor>
  <xdr:twoCellAnchor>
    <xdr:from>
      <xdr:col>11</xdr:col>
      <xdr:colOff>213360</xdr:colOff>
      <xdr:row>109</xdr:row>
      <xdr:rowOff>4898</xdr:rowOff>
    </xdr:from>
    <xdr:to>
      <xdr:col>15</xdr:col>
      <xdr:colOff>342900</xdr:colOff>
      <xdr:row>109</xdr:row>
      <xdr:rowOff>4898</xdr:rowOff>
    </xdr:to>
    <xdr:cxnSp macro="">
      <xdr:nvCxnSpPr>
        <xdr:cNvPr id="66" name="Straight Arrow Connector 65">
          <a:extLst>
            <a:ext uri="{FF2B5EF4-FFF2-40B4-BE49-F238E27FC236}">
              <a16:creationId xmlns:a16="http://schemas.microsoft.com/office/drawing/2014/main" id="{00000000-0008-0000-0200-000042000000}"/>
            </a:ext>
          </a:extLst>
        </xdr:cNvPr>
        <xdr:cNvCxnSpPr>
          <a:stCxn id="48" idx="3"/>
          <a:endCxn id="64" idx="1"/>
        </xdr:cNvCxnSpPr>
      </xdr:nvCxnSpPr>
      <xdr:spPr>
        <a:xfrm>
          <a:off x="5059680" y="8554538"/>
          <a:ext cx="2415540" cy="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14</xdr:col>
      <xdr:colOff>259080</xdr:colOff>
      <xdr:row>105</xdr:row>
      <xdr:rowOff>54428</xdr:rowOff>
    </xdr:from>
    <xdr:to>
      <xdr:col>14</xdr:col>
      <xdr:colOff>259080</xdr:colOff>
      <xdr:row>108</xdr:row>
      <xdr:rowOff>123008</xdr:rowOff>
    </xdr:to>
    <xdr:cxnSp macro="">
      <xdr:nvCxnSpPr>
        <xdr:cNvPr id="72" name="Straight Arrow Connector 71">
          <a:extLst>
            <a:ext uri="{FF2B5EF4-FFF2-40B4-BE49-F238E27FC236}">
              <a16:creationId xmlns:a16="http://schemas.microsoft.com/office/drawing/2014/main" id="{00000000-0008-0000-0200-000048000000}"/>
            </a:ext>
          </a:extLst>
        </xdr:cNvPr>
        <xdr:cNvCxnSpPr>
          <a:stCxn id="55" idx="2"/>
        </xdr:cNvCxnSpPr>
      </xdr:nvCxnSpPr>
      <xdr:spPr>
        <a:xfrm>
          <a:off x="6819900" y="8085908"/>
          <a:ext cx="0" cy="45720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335280</xdr:colOff>
      <xdr:row>141</xdr:row>
      <xdr:rowOff>0</xdr:rowOff>
    </xdr:from>
    <xdr:to>
      <xdr:col>8</xdr:col>
      <xdr:colOff>297180</xdr:colOff>
      <xdr:row>144</xdr:row>
      <xdr:rowOff>0</xdr:rowOff>
    </xdr:to>
    <xdr:sp macro="" textlink="">
      <xdr:nvSpPr>
        <xdr:cNvPr id="73" name="Rectangle 72">
          <a:extLst>
            <a:ext uri="{FF2B5EF4-FFF2-40B4-BE49-F238E27FC236}">
              <a16:creationId xmlns:a16="http://schemas.microsoft.com/office/drawing/2014/main" id="{00000000-0008-0000-0200-000049000000}"/>
            </a:ext>
          </a:extLst>
        </xdr:cNvPr>
        <xdr:cNvSpPr/>
      </xdr:nvSpPr>
      <xdr:spPr>
        <a:xfrm>
          <a:off x="2324100" y="12710160"/>
          <a:ext cx="1104900" cy="388620"/>
        </a:xfrm>
        <a:prstGeom prst="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AU" sz="800">
              <a:solidFill>
                <a:sysClr val="windowText" lastClr="000000"/>
              </a:solidFill>
            </a:rPr>
            <a:t>Total</a:t>
          </a:r>
          <a:r>
            <a:rPr lang="en-AU" sz="800" baseline="0">
              <a:solidFill>
                <a:sysClr val="windowText" lastClr="000000"/>
              </a:solidFill>
            </a:rPr>
            <a:t> f</a:t>
          </a:r>
          <a:r>
            <a:rPr lang="en-AU" sz="800">
              <a:solidFill>
                <a:sysClr val="windowText" lastClr="000000"/>
              </a:solidFill>
            </a:rPr>
            <a:t>uture Capex ($)</a:t>
          </a:r>
        </a:p>
      </xdr:txBody>
    </xdr:sp>
    <xdr:clientData/>
  </xdr:twoCellAnchor>
  <xdr:twoCellAnchor>
    <xdr:from>
      <xdr:col>15</xdr:col>
      <xdr:colOff>342900</xdr:colOff>
      <xdr:row>141</xdr:row>
      <xdr:rowOff>0</xdr:rowOff>
    </xdr:from>
    <xdr:to>
      <xdr:col>17</xdr:col>
      <xdr:colOff>205740</xdr:colOff>
      <xdr:row>144</xdr:row>
      <xdr:rowOff>0</xdr:rowOff>
    </xdr:to>
    <xdr:sp macro="" textlink="">
      <xdr:nvSpPr>
        <xdr:cNvPr id="78" name="Rectangle 77">
          <a:extLst>
            <a:ext uri="{FF2B5EF4-FFF2-40B4-BE49-F238E27FC236}">
              <a16:creationId xmlns:a16="http://schemas.microsoft.com/office/drawing/2014/main" id="{00000000-0008-0000-0200-00004E000000}"/>
            </a:ext>
          </a:extLst>
        </xdr:cNvPr>
        <xdr:cNvSpPr/>
      </xdr:nvSpPr>
      <xdr:spPr>
        <a:xfrm>
          <a:off x="7475220" y="12710160"/>
          <a:ext cx="1005840" cy="388620"/>
        </a:xfrm>
        <a:prstGeom prst="rect">
          <a:avLst/>
        </a:prstGeom>
        <a:solidFill>
          <a:sysClr val="window" lastClr="FFFFFF"/>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AU" sz="800">
              <a:solidFill>
                <a:sysClr val="windowText" lastClr="000000"/>
              </a:solidFill>
            </a:rPr>
            <a:t>Return on future capital </a:t>
          </a:r>
          <a:r>
            <a:rPr lang="en-AU" sz="800" baseline="0">
              <a:solidFill>
                <a:sysClr val="windowText" lastClr="000000"/>
              </a:solidFill>
            </a:rPr>
            <a:t>($)</a:t>
          </a:r>
          <a:endParaRPr lang="en-AU" sz="800">
            <a:solidFill>
              <a:sysClr val="windowText" lastClr="000000"/>
            </a:solidFill>
          </a:endParaRPr>
        </a:p>
      </xdr:txBody>
    </xdr:sp>
    <xdr:clientData/>
  </xdr:twoCellAnchor>
  <xdr:twoCellAnchor>
    <xdr:from>
      <xdr:col>8</xdr:col>
      <xdr:colOff>297180</xdr:colOff>
      <xdr:row>142</xdr:row>
      <xdr:rowOff>64770</xdr:rowOff>
    </xdr:from>
    <xdr:to>
      <xdr:col>15</xdr:col>
      <xdr:colOff>342900</xdr:colOff>
      <xdr:row>142</xdr:row>
      <xdr:rowOff>64770</xdr:rowOff>
    </xdr:to>
    <xdr:cxnSp macro="">
      <xdr:nvCxnSpPr>
        <xdr:cNvPr id="84" name="Straight Arrow Connector 83">
          <a:extLst>
            <a:ext uri="{FF2B5EF4-FFF2-40B4-BE49-F238E27FC236}">
              <a16:creationId xmlns:a16="http://schemas.microsoft.com/office/drawing/2014/main" id="{00000000-0008-0000-0200-000054000000}"/>
            </a:ext>
          </a:extLst>
        </xdr:cNvPr>
        <xdr:cNvCxnSpPr>
          <a:stCxn id="73" idx="3"/>
          <a:endCxn id="78" idx="1"/>
        </xdr:cNvCxnSpPr>
      </xdr:nvCxnSpPr>
      <xdr:spPr>
        <a:xfrm>
          <a:off x="3429000" y="12904470"/>
          <a:ext cx="4046220" cy="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12</xdr:col>
      <xdr:colOff>533400</xdr:colOff>
      <xdr:row>135</xdr:row>
      <xdr:rowOff>114300</xdr:rowOff>
    </xdr:from>
    <xdr:to>
      <xdr:col>13</xdr:col>
      <xdr:colOff>548640</xdr:colOff>
      <xdr:row>138</xdr:row>
      <xdr:rowOff>114300</xdr:rowOff>
    </xdr:to>
    <xdr:sp macro="" textlink="">
      <xdr:nvSpPr>
        <xdr:cNvPr id="85" name="Rectangle 84">
          <a:extLst>
            <a:ext uri="{FF2B5EF4-FFF2-40B4-BE49-F238E27FC236}">
              <a16:creationId xmlns:a16="http://schemas.microsoft.com/office/drawing/2014/main" id="{00000000-0008-0000-0200-000055000000}"/>
            </a:ext>
          </a:extLst>
        </xdr:cNvPr>
        <xdr:cNvSpPr/>
      </xdr:nvSpPr>
      <xdr:spPr>
        <a:xfrm>
          <a:off x="5951220" y="12047220"/>
          <a:ext cx="586740" cy="388620"/>
        </a:xfrm>
        <a:prstGeom prst="rect">
          <a:avLst/>
        </a:prstGeom>
        <a:solidFill>
          <a:schemeClr val="bg2"/>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AU" sz="800">
              <a:solidFill>
                <a:sysClr val="windowText" lastClr="000000"/>
              </a:solidFill>
            </a:rPr>
            <a:t>WACC</a:t>
          </a:r>
          <a:r>
            <a:rPr lang="en-AU" sz="800" baseline="0">
              <a:solidFill>
                <a:sysClr val="windowText" lastClr="000000"/>
              </a:solidFill>
            </a:rPr>
            <a:t> (%)</a:t>
          </a:r>
          <a:endParaRPr lang="en-AU" sz="800">
            <a:solidFill>
              <a:sysClr val="windowText" lastClr="000000"/>
            </a:solidFill>
          </a:endParaRPr>
        </a:p>
      </xdr:txBody>
    </xdr:sp>
    <xdr:clientData/>
  </xdr:twoCellAnchor>
  <xdr:twoCellAnchor>
    <xdr:from>
      <xdr:col>13</xdr:col>
      <xdr:colOff>259080</xdr:colOff>
      <xdr:row>138</xdr:row>
      <xdr:rowOff>114300</xdr:rowOff>
    </xdr:from>
    <xdr:to>
      <xdr:col>13</xdr:col>
      <xdr:colOff>259080</xdr:colOff>
      <xdr:row>142</xdr:row>
      <xdr:rowOff>52252</xdr:rowOff>
    </xdr:to>
    <xdr:cxnSp macro="">
      <xdr:nvCxnSpPr>
        <xdr:cNvPr id="86" name="Straight Arrow Connector 85">
          <a:extLst>
            <a:ext uri="{FF2B5EF4-FFF2-40B4-BE49-F238E27FC236}">
              <a16:creationId xmlns:a16="http://schemas.microsoft.com/office/drawing/2014/main" id="{00000000-0008-0000-0200-000056000000}"/>
            </a:ext>
          </a:extLst>
        </xdr:cNvPr>
        <xdr:cNvCxnSpPr>
          <a:stCxn id="85" idx="2"/>
        </xdr:cNvCxnSpPr>
      </xdr:nvCxnSpPr>
      <xdr:spPr>
        <a:xfrm>
          <a:off x="6248400" y="12435840"/>
          <a:ext cx="0" cy="456112"/>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15</xdr:col>
      <xdr:colOff>342900</xdr:colOff>
      <xdr:row>116</xdr:row>
      <xdr:rowOff>62049</xdr:rowOff>
    </xdr:from>
    <xdr:to>
      <xdr:col>17</xdr:col>
      <xdr:colOff>236220</xdr:colOff>
      <xdr:row>119</xdr:row>
      <xdr:rowOff>62048</xdr:rowOff>
    </xdr:to>
    <xdr:sp macro="" textlink="">
      <xdr:nvSpPr>
        <xdr:cNvPr id="88" name="Rectangle 87">
          <a:extLst>
            <a:ext uri="{FF2B5EF4-FFF2-40B4-BE49-F238E27FC236}">
              <a16:creationId xmlns:a16="http://schemas.microsoft.com/office/drawing/2014/main" id="{00000000-0008-0000-0200-000058000000}"/>
            </a:ext>
          </a:extLst>
        </xdr:cNvPr>
        <xdr:cNvSpPr/>
      </xdr:nvSpPr>
      <xdr:spPr>
        <a:xfrm>
          <a:off x="7475220" y="9518469"/>
          <a:ext cx="1036320" cy="388619"/>
        </a:xfrm>
        <a:prstGeom prst="rect">
          <a:avLst/>
        </a:prstGeom>
        <a:solidFill>
          <a:sysClr val="window" lastClr="FFFFFF"/>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AU" sz="800">
              <a:solidFill>
                <a:sysClr val="windowText" lastClr="000000"/>
              </a:solidFill>
            </a:rPr>
            <a:t>Initial capex depreciation* </a:t>
          </a:r>
          <a:r>
            <a:rPr lang="en-AU" sz="800" baseline="0">
              <a:solidFill>
                <a:sysClr val="windowText" lastClr="000000"/>
              </a:solidFill>
            </a:rPr>
            <a:t>($)</a:t>
          </a:r>
          <a:endParaRPr lang="en-AU" sz="800">
            <a:solidFill>
              <a:sysClr val="windowText" lastClr="000000"/>
            </a:solidFill>
          </a:endParaRPr>
        </a:p>
      </xdr:txBody>
    </xdr:sp>
    <xdr:clientData/>
  </xdr:twoCellAnchor>
  <xdr:twoCellAnchor>
    <xdr:from>
      <xdr:col>13</xdr:col>
      <xdr:colOff>541020</xdr:colOff>
      <xdr:row>111</xdr:row>
      <xdr:rowOff>15240</xdr:rowOff>
    </xdr:from>
    <xdr:to>
      <xdr:col>14</xdr:col>
      <xdr:colOff>556260</xdr:colOff>
      <xdr:row>114</xdr:row>
      <xdr:rowOff>15240</xdr:rowOff>
    </xdr:to>
    <xdr:sp macro="" textlink="">
      <xdr:nvSpPr>
        <xdr:cNvPr id="90" name="Rectangle 89">
          <a:extLst>
            <a:ext uri="{FF2B5EF4-FFF2-40B4-BE49-F238E27FC236}">
              <a16:creationId xmlns:a16="http://schemas.microsoft.com/office/drawing/2014/main" id="{00000000-0008-0000-0200-00005A000000}"/>
            </a:ext>
          </a:extLst>
        </xdr:cNvPr>
        <xdr:cNvSpPr/>
      </xdr:nvSpPr>
      <xdr:spPr>
        <a:xfrm>
          <a:off x="6530340" y="8823960"/>
          <a:ext cx="586740" cy="388620"/>
        </a:xfrm>
        <a:prstGeom prst="rect">
          <a:avLst/>
        </a:prstGeom>
        <a:solidFill>
          <a:schemeClr val="bg2"/>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AU" sz="800">
              <a:solidFill>
                <a:sysClr val="windowText" lastClr="000000"/>
              </a:solidFill>
            </a:rPr>
            <a:t>Average</a:t>
          </a:r>
          <a:r>
            <a:rPr lang="en-AU" sz="800" baseline="0">
              <a:solidFill>
                <a:sysClr val="windowText" lastClr="000000"/>
              </a:solidFill>
            </a:rPr>
            <a:t> a</a:t>
          </a:r>
          <a:r>
            <a:rPr lang="en-AU" sz="800">
              <a:solidFill>
                <a:sysClr val="windowText" lastClr="000000"/>
              </a:solidFill>
            </a:rPr>
            <a:t>sset life (years)</a:t>
          </a:r>
        </a:p>
      </xdr:txBody>
    </xdr:sp>
    <xdr:clientData/>
  </xdr:twoCellAnchor>
  <xdr:twoCellAnchor>
    <xdr:from>
      <xdr:col>12</xdr:col>
      <xdr:colOff>533400</xdr:colOff>
      <xdr:row>144</xdr:row>
      <xdr:rowOff>114300</xdr:rowOff>
    </xdr:from>
    <xdr:to>
      <xdr:col>13</xdr:col>
      <xdr:colOff>548640</xdr:colOff>
      <xdr:row>147</xdr:row>
      <xdr:rowOff>114300</xdr:rowOff>
    </xdr:to>
    <xdr:sp macro="" textlink="">
      <xdr:nvSpPr>
        <xdr:cNvPr id="102" name="Rectangle 101">
          <a:extLst>
            <a:ext uri="{FF2B5EF4-FFF2-40B4-BE49-F238E27FC236}">
              <a16:creationId xmlns:a16="http://schemas.microsoft.com/office/drawing/2014/main" id="{00000000-0008-0000-0200-000066000000}"/>
            </a:ext>
          </a:extLst>
        </xdr:cNvPr>
        <xdr:cNvSpPr/>
      </xdr:nvSpPr>
      <xdr:spPr>
        <a:xfrm>
          <a:off x="5951220" y="13213080"/>
          <a:ext cx="586740" cy="388620"/>
        </a:xfrm>
        <a:prstGeom prst="rect">
          <a:avLst/>
        </a:prstGeom>
        <a:solidFill>
          <a:schemeClr val="bg2"/>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AU" sz="800">
              <a:solidFill>
                <a:sysClr val="windowText" lastClr="000000"/>
              </a:solidFill>
            </a:rPr>
            <a:t>Average</a:t>
          </a:r>
          <a:r>
            <a:rPr lang="en-AU" sz="800" baseline="0">
              <a:solidFill>
                <a:sysClr val="windowText" lastClr="000000"/>
              </a:solidFill>
            </a:rPr>
            <a:t> a</a:t>
          </a:r>
          <a:r>
            <a:rPr lang="en-AU" sz="800">
              <a:solidFill>
                <a:sysClr val="windowText" lastClr="000000"/>
              </a:solidFill>
            </a:rPr>
            <a:t>sset life (years)</a:t>
          </a:r>
        </a:p>
      </xdr:txBody>
    </xdr:sp>
    <xdr:clientData/>
  </xdr:twoCellAnchor>
  <xdr:twoCellAnchor>
    <xdr:from>
      <xdr:col>15</xdr:col>
      <xdr:colOff>342900</xdr:colOff>
      <xdr:row>150</xdr:row>
      <xdr:rowOff>37011</xdr:rowOff>
    </xdr:from>
    <xdr:to>
      <xdr:col>17</xdr:col>
      <xdr:colOff>205740</xdr:colOff>
      <xdr:row>153</xdr:row>
      <xdr:rowOff>37011</xdr:rowOff>
    </xdr:to>
    <xdr:sp macro="" textlink="">
      <xdr:nvSpPr>
        <xdr:cNvPr id="104" name="Rectangle 103">
          <a:extLst>
            <a:ext uri="{FF2B5EF4-FFF2-40B4-BE49-F238E27FC236}">
              <a16:creationId xmlns:a16="http://schemas.microsoft.com/office/drawing/2014/main" id="{00000000-0008-0000-0200-000068000000}"/>
            </a:ext>
          </a:extLst>
        </xdr:cNvPr>
        <xdr:cNvSpPr/>
      </xdr:nvSpPr>
      <xdr:spPr>
        <a:xfrm>
          <a:off x="7475220" y="13913031"/>
          <a:ext cx="1005840" cy="388620"/>
        </a:xfrm>
        <a:prstGeom prst="rect">
          <a:avLst/>
        </a:prstGeom>
        <a:solidFill>
          <a:sysClr val="window" lastClr="FFFFFF"/>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AU" sz="800">
              <a:solidFill>
                <a:sysClr val="windowText" lastClr="000000"/>
              </a:solidFill>
            </a:rPr>
            <a:t>Future capex depreciation </a:t>
          </a:r>
          <a:r>
            <a:rPr lang="en-AU" sz="800" baseline="0">
              <a:solidFill>
                <a:sysClr val="windowText" lastClr="000000"/>
              </a:solidFill>
            </a:rPr>
            <a:t>($)</a:t>
          </a:r>
          <a:endParaRPr lang="en-AU" sz="800">
            <a:solidFill>
              <a:sysClr val="windowText" lastClr="000000"/>
            </a:solidFill>
          </a:endParaRPr>
        </a:p>
      </xdr:txBody>
    </xdr:sp>
    <xdr:clientData/>
  </xdr:twoCellAnchor>
  <xdr:twoCellAnchor>
    <xdr:from>
      <xdr:col>3</xdr:col>
      <xdr:colOff>563880</xdr:colOff>
      <xdr:row>156</xdr:row>
      <xdr:rowOff>106680</xdr:rowOff>
    </xdr:from>
    <xdr:to>
      <xdr:col>5</xdr:col>
      <xdr:colOff>533400</xdr:colOff>
      <xdr:row>159</xdr:row>
      <xdr:rowOff>106680</xdr:rowOff>
    </xdr:to>
    <xdr:sp macro="" textlink="">
      <xdr:nvSpPr>
        <xdr:cNvPr id="107" name="Rectangle 106">
          <a:extLst>
            <a:ext uri="{FF2B5EF4-FFF2-40B4-BE49-F238E27FC236}">
              <a16:creationId xmlns:a16="http://schemas.microsoft.com/office/drawing/2014/main" id="{00000000-0008-0000-0200-00006B000000}"/>
            </a:ext>
          </a:extLst>
        </xdr:cNvPr>
        <xdr:cNvSpPr/>
      </xdr:nvSpPr>
      <xdr:spPr>
        <a:xfrm>
          <a:off x="838200" y="14759940"/>
          <a:ext cx="1112520" cy="388620"/>
        </a:xfrm>
        <a:prstGeom prst="rect">
          <a:avLst/>
        </a:prstGeom>
        <a:solidFill>
          <a:schemeClr val="accent4">
            <a:lumMod val="20000"/>
            <a:lumOff val="80000"/>
          </a:schemeClr>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AU" sz="800">
              <a:solidFill>
                <a:sysClr val="windowText" lastClr="000000"/>
              </a:solidFill>
            </a:rPr>
            <a:t>ACS revenue ($)</a:t>
          </a:r>
        </a:p>
      </xdr:txBody>
    </xdr:sp>
    <xdr:clientData/>
  </xdr:twoCellAnchor>
  <xdr:twoCellAnchor>
    <xdr:from>
      <xdr:col>15</xdr:col>
      <xdr:colOff>342900</xdr:colOff>
      <xdr:row>130</xdr:row>
      <xdr:rowOff>99060</xdr:rowOff>
    </xdr:from>
    <xdr:to>
      <xdr:col>17</xdr:col>
      <xdr:colOff>213360</xdr:colOff>
      <xdr:row>133</xdr:row>
      <xdr:rowOff>99060</xdr:rowOff>
    </xdr:to>
    <xdr:sp macro="" textlink="">
      <xdr:nvSpPr>
        <xdr:cNvPr id="110" name="Rectangle 109">
          <a:extLst>
            <a:ext uri="{FF2B5EF4-FFF2-40B4-BE49-F238E27FC236}">
              <a16:creationId xmlns:a16="http://schemas.microsoft.com/office/drawing/2014/main" id="{00000000-0008-0000-0200-00006E000000}"/>
            </a:ext>
          </a:extLst>
        </xdr:cNvPr>
        <xdr:cNvSpPr/>
      </xdr:nvSpPr>
      <xdr:spPr>
        <a:xfrm>
          <a:off x="7475220" y="11384280"/>
          <a:ext cx="1013460" cy="388620"/>
        </a:xfrm>
        <a:prstGeom prst="rect">
          <a:avLst/>
        </a:prstGeom>
        <a:solidFill>
          <a:sysClr val="window" lastClr="FFFFFF"/>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AU" sz="800">
              <a:solidFill>
                <a:sysClr val="windowText" lastClr="000000"/>
              </a:solidFill>
            </a:rPr>
            <a:t>Future capital</a:t>
          </a:r>
          <a:r>
            <a:rPr lang="en-AU" sz="800" baseline="0">
              <a:solidFill>
                <a:sysClr val="windowText" lastClr="000000"/>
              </a:solidFill>
            </a:rPr>
            <a:t> terminal value</a:t>
          </a:r>
          <a:r>
            <a:rPr lang="en-AU" sz="800">
              <a:solidFill>
                <a:sysClr val="windowText" lastClr="000000"/>
              </a:solidFill>
            </a:rPr>
            <a:t> </a:t>
          </a:r>
          <a:r>
            <a:rPr lang="en-AU" sz="800" baseline="0">
              <a:solidFill>
                <a:sysClr val="windowText" lastClr="000000"/>
              </a:solidFill>
            </a:rPr>
            <a:t>($)</a:t>
          </a:r>
          <a:endParaRPr lang="en-AU" sz="800">
            <a:solidFill>
              <a:sysClr val="windowText" lastClr="000000"/>
            </a:solidFill>
          </a:endParaRPr>
        </a:p>
      </xdr:txBody>
    </xdr:sp>
    <xdr:clientData/>
  </xdr:twoCellAnchor>
  <xdr:twoCellAnchor>
    <xdr:from>
      <xdr:col>15</xdr:col>
      <xdr:colOff>342900</xdr:colOff>
      <xdr:row>98</xdr:row>
      <xdr:rowOff>30480</xdr:rowOff>
    </xdr:from>
    <xdr:to>
      <xdr:col>17</xdr:col>
      <xdr:colOff>228600</xdr:colOff>
      <xdr:row>101</xdr:row>
      <xdr:rowOff>30479</xdr:rowOff>
    </xdr:to>
    <xdr:sp macro="" textlink="">
      <xdr:nvSpPr>
        <xdr:cNvPr id="112" name="Rectangle 111">
          <a:extLst>
            <a:ext uri="{FF2B5EF4-FFF2-40B4-BE49-F238E27FC236}">
              <a16:creationId xmlns:a16="http://schemas.microsoft.com/office/drawing/2014/main" id="{00000000-0008-0000-0200-000070000000}"/>
            </a:ext>
          </a:extLst>
        </xdr:cNvPr>
        <xdr:cNvSpPr/>
      </xdr:nvSpPr>
      <xdr:spPr>
        <a:xfrm>
          <a:off x="7475220" y="7155180"/>
          <a:ext cx="1028700" cy="388619"/>
        </a:xfrm>
        <a:prstGeom prst="rect">
          <a:avLst/>
        </a:prstGeom>
        <a:solidFill>
          <a:sysClr val="window" lastClr="FFFFFF"/>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AU" sz="800">
              <a:solidFill>
                <a:sysClr val="windowText" lastClr="000000"/>
              </a:solidFill>
            </a:rPr>
            <a:t>Capital</a:t>
          </a:r>
          <a:r>
            <a:rPr lang="en-AU" sz="800" baseline="0">
              <a:solidFill>
                <a:sysClr val="windowText" lastClr="000000"/>
              </a:solidFill>
            </a:rPr>
            <a:t> terminal value</a:t>
          </a:r>
          <a:r>
            <a:rPr lang="en-AU" sz="800">
              <a:solidFill>
                <a:sysClr val="windowText" lastClr="000000"/>
              </a:solidFill>
            </a:rPr>
            <a:t> </a:t>
          </a:r>
          <a:r>
            <a:rPr lang="en-AU" sz="800" baseline="0">
              <a:solidFill>
                <a:sysClr val="windowText" lastClr="000000"/>
              </a:solidFill>
            </a:rPr>
            <a:t>($)</a:t>
          </a:r>
          <a:endParaRPr lang="en-AU" sz="800">
            <a:solidFill>
              <a:sysClr val="windowText" lastClr="000000"/>
            </a:solidFill>
          </a:endParaRPr>
        </a:p>
      </xdr:txBody>
    </xdr:sp>
    <xdr:clientData/>
  </xdr:twoCellAnchor>
  <xdr:twoCellAnchor>
    <xdr:from>
      <xdr:col>15</xdr:col>
      <xdr:colOff>7620</xdr:colOff>
      <xdr:row>95</xdr:row>
      <xdr:rowOff>46808</xdr:rowOff>
    </xdr:from>
    <xdr:to>
      <xdr:col>18</xdr:col>
      <xdr:colOff>22860</xdr:colOff>
      <xdr:row>98</xdr:row>
      <xdr:rowOff>53340</xdr:rowOff>
    </xdr:to>
    <xdr:sp macro="" textlink="">
      <xdr:nvSpPr>
        <xdr:cNvPr id="114" name="Rectangle 113">
          <a:extLst>
            <a:ext uri="{FF2B5EF4-FFF2-40B4-BE49-F238E27FC236}">
              <a16:creationId xmlns:a16="http://schemas.microsoft.com/office/drawing/2014/main" id="{00000000-0008-0000-0200-000072000000}"/>
            </a:ext>
          </a:extLst>
        </xdr:cNvPr>
        <xdr:cNvSpPr/>
      </xdr:nvSpPr>
      <xdr:spPr>
        <a:xfrm>
          <a:off x="7139940" y="6782888"/>
          <a:ext cx="1729740" cy="395152"/>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AU" sz="800" i="1">
              <a:solidFill>
                <a:schemeClr val="bg1">
                  <a:lumMod val="75000"/>
                </a:schemeClr>
              </a:solidFill>
            </a:rPr>
            <a:t>If</a:t>
          </a:r>
          <a:r>
            <a:rPr lang="en-AU" sz="800" i="1" baseline="0">
              <a:solidFill>
                <a:schemeClr val="bg1">
                  <a:lumMod val="75000"/>
                </a:schemeClr>
              </a:solidFill>
            </a:rPr>
            <a:t> applicable (when asset life extends beyond model timeline) </a:t>
          </a:r>
          <a:endParaRPr lang="en-AU" sz="800" i="1">
            <a:solidFill>
              <a:schemeClr val="bg1">
                <a:lumMod val="75000"/>
              </a:schemeClr>
            </a:solidFill>
          </a:endParaRPr>
        </a:p>
      </xdr:txBody>
    </xdr:sp>
    <xdr:clientData/>
  </xdr:twoCellAnchor>
  <xdr:twoCellAnchor>
    <xdr:from>
      <xdr:col>11</xdr:col>
      <xdr:colOff>228600</xdr:colOff>
      <xdr:row>110</xdr:row>
      <xdr:rowOff>7620</xdr:rowOff>
    </xdr:from>
    <xdr:to>
      <xdr:col>15</xdr:col>
      <xdr:colOff>342900</xdr:colOff>
      <xdr:row>117</xdr:row>
      <xdr:rowOff>126819</xdr:rowOff>
    </xdr:to>
    <xdr:cxnSp macro="">
      <xdr:nvCxnSpPr>
        <xdr:cNvPr id="117" name="Elbow Connector 116">
          <a:extLst>
            <a:ext uri="{FF2B5EF4-FFF2-40B4-BE49-F238E27FC236}">
              <a16:creationId xmlns:a16="http://schemas.microsoft.com/office/drawing/2014/main" id="{00000000-0008-0000-0200-000075000000}"/>
            </a:ext>
          </a:extLst>
        </xdr:cNvPr>
        <xdr:cNvCxnSpPr>
          <a:endCxn id="88" idx="1"/>
        </xdr:cNvCxnSpPr>
      </xdr:nvCxnSpPr>
      <xdr:spPr>
        <a:xfrm>
          <a:off x="5074920" y="8686800"/>
          <a:ext cx="2400300" cy="1025979"/>
        </a:xfrm>
        <a:prstGeom prst="bentConnector3">
          <a:avLst>
            <a:gd name="adj1" fmla="val 50000"/>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14</xdr:col>
      <xdr:colOff>266700</xdr:colOff>
      <xdr:row>114</xdr:row>
      <xdr:rowOff>30480</xdr:rowOff>
    </xdr:from>
    <xdr:to>
      <xdr:col>14</xdr:col>
      <xdr:colOff>266700</xdr:colOff>
      <xdr:row>117</xdr:row>
      <xdr:rowOff>100148</xdr:rowOff>
    </xdr:to>
    <xdr:cxnSp macro="">
      <xdr:nvCxnSpPr>
        <xdr:cNvPr id="118" name="Straight Arrow Connector 117">
          <a:extLst>
            <a:ext uri="{FF2B5EF4-FFF2-40B4-BE49-F238E27FC236}">
              <a16:creationId xmlns:a16="http://schemas.microsoft.com/office/drawing/2014/main" id="{00000000-0008-0000-0200-000076000000}"/>
            </a:ext>
          </a:extLst>
        </xdr:cNvPr>
        <xdr:cNvCxnSpPr/>
      </xdr:nvCxnSpPr>
      <xdr:spPr>
        <a:xfrm>
          <a:off x="6827520" y="9227820"/>
          <a:ext cx="0" cy="458288"/>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304800</xdr:colOff>
      <xdr:row>143</xdr:row>
      <xdr:rowOff>76200</xdr:rowOff>
    </xdr:from>
    <xdr:to>
      <xdr:col>15</xdr:col>
      <xdr:colOff>342900</xdr:colOff>
      <xdr:row>151</xdr:row>
      <xdr:rowOff>101781</xdr:rowOff>
    </xdr:to>
    <xdr:cxnSp macro="">
      <xdr:nvCxnSpPr>
        <xdr:cNvPr id="121" name="Elbow Connector 120">
          <a:extLst>
            <a:ext uri="{FF2B5EF4-FFF2-40B4-BE49-F238E27FC236}">
              <a16:creationId xmlns:a16="http://schemas.microsoft.com/office/drawing/2014/main" id="{00000000-0008-0000-0200-000079000000}"/>
            </a:ext>
          </a:extLst>
        </xdr:cNvPr>
        <xdr:cNvCxnSpPr>
          <a:endCxn id="104" idx="1"/>
        </xdr:cNvCxnSpPr>
      </xdr:nvCxnSpPr>
      <xdr:spPr>
        <a:xfrm>
          <a:off x="3436620" y="13045440"/>
          <a:ext cx="4038600" cy="1061901"/>
        </a:xfrm>
        <a:prstGeom prst="bentConnector3">
          <a:avLst>
            <a:gd name="adj1" fmla="val 50000"/>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13</xdr:col>
      <xdr:colOff>259080</xdr:colOff>
      <xdr:row>148</xdr:row>
      <xdr:rowOff>3265</xdr:rowOff>
    </xdr:from>
    <xdr:to>
      <xdr:col>13</xdr:col>
      <xdr:colOff>259080</xdr:colOff>
      <xdr:row>151</xdr:row>
      <xdr:rowOff>72934</xdr:rowOff>
    </xdr:to>
    <xdr:cxnSp macro="">
      <xdr:nvCxnSpPr>
        <xdr:cNvPr id="122" name="Straight Arrow Connector 121">
          <a:extLst>
            <a:ext uri="{FF2B5EF4-FFF2-40B4-BE49-F238E27FC236}">
              <a16:creationId xmlns:a16="http://schemas.microsoft.com/office/drawing/2014/main" id="{00000000-0008-0000-0200-00007A000000}"/>
            </a:ext>
          </a:extLst>
        </xdr:cNvPr>
        <xdr:cNvCxnSpPr/>
      </xdr:nvCxnSpPr>
      <xdr:spPr>
        <a:xfrm>
          <a:off x="6248400" y="13620205"/>
          <a:ext cx="0" cy="458289"/>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297180</xdr:colOff>
      <xdr:row>132</xdr:row>
      <xdr:rowOff>34290</xdr:rowOff>
    </xdr:from>
    <xdr:to>
      <xdr:col>15</xdr:col>
      <xdr:colOff>342900</xdr:colOff>
      <xdr:row>141</xdr:row>
      <xdr:rowOff>53340</xdr:rowOff>
    </xdr:to>
    <xdr:cxnSp macro="">
      <xdr:nvCxnSpPr>
        <xdr:cNvPr id="125" name="Elbow Connector 124">
          <a:extLst>
            <a:ext uri="{FF2B5EF4-FFF2-40B4-BE49-F238E27FC236}">
              <a16:creationId xmlns:a16="http://schemas.microsoft.com/office/drawing/2014/main" id="{00000000-0008-0000-0200-00007D000000}"/>
            </a:ext>
          </a:extLst>
        </xdr:cNvPr>
        <xdr:cNvCxnSpPr>
          <a:endCxn id="110" idx="1"/>
        </xdr:cNvCxnSpPr>
      </xdr:nvCxnSpPr>
      <xdr:spPr>
        <a:xfrm flipV="1">
          <a:off x="3429000" y="11578590"/>
          <a:ext cx="4046220" cy="1184910"/>
        </a:xfrm>
        <a:prstGeom prst="bentConnector3">
          <a:avLst>
            <a:gd name="adj1" fmla="val 50000"/>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279762</xdr:colOff>
      <xdr:row>102</xdr:row>
      <xdr:rowOff>53438</xdr:rowOff>
    </xdr:from>
    <xdr:to>
      <xdr:col>11</xdr:col>
      <xdr:colOff>205740</xdr:colOff>
      <xdr:row>105</xdr:row>
      <xdr:rowOff>53438</xdr:rowOff>
    </xdr:to>
    <xdr:sp macro="" textlink="">
      <xdr:nvSpPr>
        <xdr:cNvPr id="128" name="Rectangle 127">
          <a:extLst>
            <a:ext uri="{FF2B5EF4-FFF2-40B4-BE49-F238E27FC236}">
              <a16:creationId xmlns:a16="http://schemas.microsoft.com/office/drawing/2014/main" id="{00000000-0008-0000-0200-000080000000}"/>
            </a:ext>
          </a:extLst>
        </xdr:cNvPr>
        <xdr:cNvSpPr/>
      </xdr:nvSpPr>
      <xdr:spPr>
        <a:xfrm>
          <a:off x="3983082" y="7696298"/>
          <a:ext cx="1068978" cy="388620"/>
        </a:xfrm>
        <a:prstGeom prst="rect">
          <a:avLst/>
        </a:prstGeom>
        <a:solidFill>
          <a:schemeClr val="bg2"/>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AU" sz="800">
              <a:solidFill>
                <a:sysClr val="windowText" lastClr="000000"/>
              </a:solidFill>
            </a:rPr>
            <a:t>RAB multiple</a:t>
          </a:r>
        </a:p>
      </xdr:txBody>
    </xdr:sp>
    <xdr:clientData/>
  </xdr:twoCellAnchor>
  <xdr:twoCellAnchor>
    <xdr:from>
      <xdr:col>6</xdr:col>
      <xdr:colOff>444039</xdr:colOff>
      <xdr:row>96</xdr:row>
      <xdr:rowOff>4352</xdr:rowOff>
    </xdr:from>
    <xdr:to>
      <xdr:col>8</xdr:col>
      <xdr:colOff>304801</xdr:colOff>
      <xdr:row>99</xdr:row>
      <xdr:rowOff>4352</xdr:rowOff>
    </xdr:to>
    <xdr:sp macro="" textlink="">
      <xdr:nvSpPr>
        <xdr:cNvPr id="130" name="Rectangle 129">
          <a:extLst>
            <a:ext uri="{FF2B5EF4-FFF2-40B4-BE49-F238E27FC236}">
              <a16:creationId xmlns:a16="http://schemas.microsoft.com/office/drawing/2014/main" id="{00000000-0008-0000-0200-000082000000}"/>
            </a:ext>
          </a:extLst>
        </xdr:cNvPr>
        <xdr:cNvSpPr/>
      </xdr:nvSpPr>
      <xdr:spPr>
        <a:xfrm>
          <a:off x="2432859" y="6869972"/>
          <a:ext cx="1003762" cy="388620"/>
        </a:xfrm>
        <a:prstGeom prst="rect">
          <a:avLst/>
        </a:prstGeom>
        <a:solidFill>
          <a:schemeClr val="bg2"/>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AU" sz="800">
              <a:solidFill>
                <a:sysClr val="windowText" lastClr="000000"/>
              </a:solidFill>
            </a:rPr>
            <a:t>Average</a:t>
          </a:r>
          <a:r>
            <a:rPr lang="en-AU" sz="800" baseline="0">
              <a:solidFill>
                <a:sysClr val="windowText" lastClr="000000"/>
              </a:solidFill>
            </a:rPr>
            <a:t> a</a:t>
          </a:r>
          <a:r>
            <a:rPr lang="en-AU" sz="800">
              <a:solidFill>
                <a:sysClr val="windowText" lastClr="000000"/>
              </a:solidFill>
            </a:rPr>
            <a:t>sset life (years)</a:t>
          </a:r>
        </a:p>
      </xdr:txBody>
    </xdr:sp>
    <xdr:clientData/>
  </xdr:twoCellAnchor>
  <xdr:twoCellAnchor>
    <xdr:from>
      <xdr:col>6</xdr:col>
      <xdr:colOff>444038</xdr:colOff>
      <xdr:row>91</xdr:row>
      <xdr:rowOff>105291</xdr:rowOff>
    </xdr:from>
    <xdr:to>
      <xdr:col>8</xdr:col>
      <xdr:colOff>304800</xdr:colOff>
      <xdr:row>94</xdr:row>
      <xdr:rowOff>105293</xdr:rowOff>
    </xdr:to>
    <xdr:sp macro="" textlink="">
      <xdr:nvSpPr>
        <xdr:cNvPr id="131" name="Rectangle 130">
          <a:extLst>
            <a:ext uri="{FF2B5EF4-FFF2-40B4-BE49-F238E27FC236}">
              <a16:creationId xmlns:a16="http://schemas.microsoft.com/office/drawing/2014/main" id="{00000000-0008-0000-0200-000083000000}"/>
            </a:ext>
          </a:extLst>
        </xdr:cNvPr>
        <xdr:cNvSpPr/>
      </xdr:nvSpPr>
      <xdr:spPr>
        <a:xfrm>
          <a:off x="2432858" y="6323211"/>
          <a:ext cx="1003762" cy="388622"/>
        </a:xfrm>
        <a:prstGeom prst="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AU" sz="800">
              <a:solidFill>
                <a:sysClr val="windowText" lastClr="000000"/>
              </a:solidFill>
            </a:rPr>
            <a:t>Remaining asset life (years)</a:t>
          </a:r>
        </a:p>
      </xdr:txBody>
    </xdr:sp>
    <xdr:clientData/>
  </xdr:twoCellAnchor>
  <xdr:twoCellAnchor>
    <xdr:from>
      <xdr:col>3</xdr:col>
      <xdr:colOff>564868</xdr:colOff>
      <xdr:row>90</xdr:row>
      <xdr:rowOff>8311</xdr:rowOff>
    </xdr:from>
    <xdr:to>
      <xdr:col>5</xdr:col>
      <xdr:colOff>487680</xdr:colOff>
      <xdr:row>93</xdr:row>
      <xdr:rowOff>8311</xdr:rowOff>
    </xdr:to>
    <xdr:sp macro="" textlink="">
      <xdr:nvSpPr>
        <xdr:cNvPr id="132" name="Rectangle 131">
          <a:extLst>
            <a:ext uri="{FF2B5EF4-FFF2-40B4-BE49-F238E27FC236}">
              <a16:creationId xmlns:a16="http://schemas.microsoft.com/office/drawing/2014/main" id="{00000000-0008-0000-0200-000084000000}"/>
            </a:ext>
          </a:extLst>
        </xdr:cNvPr>
        <xdr:cNvSpPr/>
      </xdr:nvSpPr>
      <xdr:spPr>
        <a:xfrm>
          <a:off x="839188" y="6096691"/>
          <a:ext cx="1065812" cy="388620"/>
        </a:xfrm>
        <a:prstGeom prst="rect">
          <a:avLst/>
        </a:prstGeom>
        <a:solidFill>
          <a:schemeClr val="bg2"/>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AU" sz="800">
              <a:solidFill>
                <a:sysClr val="windowText" lastClr="000000"/>
              </a:solidFill>
            </a:rPr>
            <a:t>Average</a:t>
          </a:r>
          <a:r>
            <a:rPr lang="en-AU" sz="800" baseline="0">
              <a:solidFill>
                <a:sysClr val="windowText" lastClr="000000"/>
              </a:solidFill>
            </a:rPr>
            <a:t> a</a:t>
          </a:r>
          <a:r>
            <a:rPr lang="en-AU" sz="800">
              <a:solidFill>
                <a:sysClr val="windowText" lastClr="000000"/>
              </a:solidFill>
            </a:rPr>
            <a:t>sset life (years)</a:t>
          </a:r>
        </a:p>
      </xdr:txBody>
    </xdr:sp>
    <xdr:clientData/>
  </xdr:twoCellAnchor>
  <xdr:twoCellAnchor>
    <xdr:from>
      <xdr:col>9</xdr:col>
      <xdr:colOff>259080</xdr:colOff>
      <xdr:row>93</xdr:row>
      <xdr:rowOff>127066</xdr:rowOff>
    </xdr:from>
    <xdr:to>
      <xdr:col>11</xdr:col>
      <xdr:colOff>199112</xdr:colOff>
      <xdr:row>96</xdr:row>
      <xdr:rowOff>127066</xdr:rowOff>
    </xdr:to>
    <xdr:sp macro="" textlink="">
      <xdr:nvSpPr>
        <xdr:cNvPr id="133" name="Rectangle 132">
          <a:extLst>
            <a:ext uri="{FF2B5EF4-FFF2-40B4-BE49-F238E27FC236}">
              <a16:creationId xmlns:a16="http://schemas.microsoft.com/office/drawing/2014/main" id="{00000000-0008-0000-0200-000085000000}"/>
            </a:ext>
          </a:extLst>
        </xdr:cNvPr>
        <xdr:cNvSpPr/>
      </xdr:nvSpPr>
      <xdr:spPr>
        <a:xfrm>
          <a:off x="3962400" y="6604066"/>
          <a:ext cx="1083032" cy="388620"/>
        </a:xfrm>
        <a:prstGeom prst="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tIns="36000" rIns="36000" bIns="36000" rtlCol="0" anchor="ctr"/>
        <a:lstStyle/>
        <a:p>
          <a:pPr algn="ctr"/>
          <a:r>
            <a:rPr lang="en-AU" sz="800">
              <a:solidFill>
                <a:sysClr val="windowText" lastClr="000000"/>
              </a:solidFill>
            </a:rPr>
            <a:t>Remaining asset life (portion</a:t>
          </a:r>
          <a:r>
            <a:rPr lang="en-AU" sz="800" baseline="0">
              <a:solidFill>
                <a:sysClr val="windowText" lastClr="000000"/>
              </a:solidFill>
            </a:rPr>
            <a:t> of total)</a:t>
          </a:r>
          <a:endParaRPr lang="en-AU" sz="800">
            <a:solidFill>
              <a:sysClr val="windowText" lastClr="000000"/>
            </a:solidFill>
          </a:endParaRPr>
        </a:p>
      </xdr:txBody>
    </xdr:sp>
    <xdr:clientData/>
  </xdr:twoCellAnchor>
  <xdr:twoCellAnchor>
    <xdr:from>
      <xdr:col>11</xdr:col>
      <xdr:colOff>213360</xdr:colOff>
      <xdr:row>99</xdr:row>
      <xdr:rowOff>95250</xdr:rowOff>
    </xdr:from>
    <xdr:to>
      <xdr:col>15</xdr:col>
      <xdr:colOff>342900</xdr:colOff>
      <xdr:row>108</xdr:row>
      <xdr:rowOff>0</xdr:rowOff>
    </xdr:to>
    <xdr:cxnSp macro="">
      <xdr:nvCxnSpPr>
        <xdr:cNvPr id="135" name="Elbow Connector 134">
          <a:extLst>
            <a:ext uri="{FF2B5EF4-FFF2-40B4-BE49-F238E27FC236}">
              <a16:creationId xmlns:a16="http://schemas.microsoft.com/office/drawing/2014/main" id="{00000000-0008-0000-0200-000087000000}"/>
            </a:ext>
          </a:extLst>
        </xdr:cNvPr>
        <xdr:cNvCxnSpPr>
          <a:endCxn id="112" idx="1"/>
        </xdr:cNvCxnSpPr>
      </xdr:nvCxnSpPr>
      <xdr:spPr>
        <a:xfrm flipV="1">
          <a:off x="5059680" y="7349490"/>
          <a:ext cx="2415540" cy="1070610"/>
        </a:xfrm>
        <a:prstGeom prst="bentConnector3">
          <a:avLst>
            <a:gd name="adj1" fmla="val 50000"/>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199112</xdr:colOff>
      <xdr:row>95</xdr:row>
      <xdr:rowOff>62296</xdr:rowOff>
    </xdr:from>
    <xdr:to>
      <xdr:col>15</xdr:col>
      <xdr:colOff>342900</xdr:colOff>
      <xdr:row>99</xdr:row>
      <xdr:rowOff>95250</xdr:rowOff>
    </xdr:to>
    <xdr:cxnSp macro="">
      <xdr:nvCxnSpPr>
        <xdr:cNvPr id="147" name="Elbow Connector 146">
          <a:extLst>
            <a:ext uri="{FF2B5EF4-FFF2-40B4-BE49-F238E27FC236}">
              <a16:creationId xmlns:a16="http://schemas.microsoft.com/office/drawing/2014/main" id="{00000000-0008-0000-0200-000093000000}"/>
            </a:ext>
          </a:extLst>
        </xdr:cNvPr>
        <xdr:cNvCxnSpPr>
          <a:stCxn id="133" idx="3"/>
          <a:endCxn id="112" idx="1"/>
        </xdr:cNvCxnSpPr>
      </xdr:nvCxnSpPr>
      <xdr:spPr>
        <a:xfrm>
          <a:off x="5045432" y="6798376"/>
          <a:ext cx="2429788" cy="551114"/>
        </a:xfrm>
        <a:prstGeom prst="bentConnector3">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304801</xdr:colOff>
      <xdr:row>95</xdr:row>
      <xdr:rowOff>62296</xdr:rowOff>
    </xdr:from>
    <xdr:to>
      <xdr:col>9</xdr:col>
      <xdr:colOff>259080</xdr:colOff>
      <xdr:row>97</xdr:row>
      <xdr:rowOff>69122</xdr:rowOff>
    </xdr:to>
    <xdr:cxnSp macro="">
      <xdr:nvCxnSpPr>
        <xdr:cNvPr id="157" name="Elbow Connector 156">
          <a:extLst>
            <a:ext uri="{FF2B5EF4-FFF2-40B4-BE49-F238E27FC236}">
              <a16:creationId xmlns:a16="http://schemas.microsoft.com/office/drawing/2014/main" id="{00000000-0008-0000-0200-00009D000000}"/>
            </a:ext>
          </a:extLst>
        </xdr:cNvPr>
        <xdr:cNvCxnSpPr>
          <a:stCxn id="130" idx="3"/>
          <a:endCxn id="133" idx="1"/>
        </xdr:cNvCxnSpPr>
      </xdr:nvCxnSpPr>
      <xdr:spPr>
        <a:xfrm flipV="1">
          <a:off x="3436621" y="6798376"/>
          <a:ext cx="525779" cy="265906"/>
        </a:xfrm>
        <a:prstGeom prst="bentConnector3">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304800</xdr:colOff>
      <xdr:row>93</xdr:row>
      <xdr:rowOff>40522</xdr:rowOff>
    </xdr:from>
    <xdr:to>
      <xdr:col>9</xdr:col>
      <xdr:colOff>259080</xdr:colOff>
      <xdr:row>95</xdr:row>
      <xdr:rowOff>62296</xdr:rowOff>
    </xdr:to>
    <xdr:cxnSp macro="">
      <xdr:nvCxnSpPr>
        <xdr:cNvPr id="161" name="Elbow Connector 160">
          <a:extLst>
            <a:ext uri="{FF2B5EF4-FFF2-40B4-BE49-F238E27FC236}">
              <a16:creationId xmlns:a16="http://schemas.microsoft.com/office/drawing/2014/main" id="{00000000-0008-0000-0200-0000A1000000}"/>
            </a:ext>
          </a:extLst>
        </xdr:cNvPr>
        <xdr:cNvCxnSpPr>
          <a:stCxn id="131" idx="3"/>
          <a:endCxn id="133" idx="1"/>
        </xdr:cNvCxnSpPr>
      </xdr:nvCxnSpPr>
      <xdr:spPr>
        <a:xfrm>
          <a:off x="3436620" y="6517522"/>
          <a:ext cx="525780" cy="280854"/>
        </a:xfrm>
        <a:prstGeom prst="bentConnector3">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564868</xdr:colOff>
      <xdr:row>93</xdr:row>
      <xdr:rowOff>105292</xdr:rowOff>
    </xdr:from>
    <xdr:to>
      <xdr:col>5</xdr:col>
      <xdr:colOff>487680</xdr:colOff>
      <xdr:row>96</xdr:row>
      <xdr:rowOff>105293</xdr:rowOff>
    </xdr:to>
    <xdr:sp macro="" textlink="">
      <xdr:nvSpPr>
        <xdr:cNvPr id="178" name="Rectangle 177">
          <a:extLst>
            <a:ext uri="{FF2B5EF4-FFF2-40B4-BE49-F238E27FC236}">
              <a16:creationId xmlns:a16="http://schemas.microsoft.com/office/drawing/2014/main" id="{00000000-0008-0000-0200-0000B2000000}"/>
            </a:ext>
          </a:extLst>
        </xdr:cNvPr>
        <xdr:cNvSpPr/>
      </xdr:nvSpPr>
      <xdr:spPr>
        <a:xfrm>
          <a:off x="839188" y="6582292"/>
          <a:ext cx="1065812" cy="388621"/>
        </a:xfrm>
        <a:prstGeom prst="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ctr"/>
        <a:lstStyle/>
        <a:p>
          <a:pPr algn="ctr"/>
          <a:r>
            <a:rPr lang="en-AU" sz="800">
              <a:solidFill>
                <a:sysClr val="windowText" lastClr="000000"/>
              </a:solidFill>
            </a:rPr>
            <a:t>Asset Life (years) modelled</a:t>
          </a:r>
        </a:p>
      </xdr:txBody>
    </xdr:sp>
    <xdr:clientData/>
  </xdr:twoCellAnchor>
  <xdr:twoCellAnchor>
    <xdr:from>
      <xdr:col>5</xdr:col>
      <xdr:colOff>487680</xdr:colOff>
      <xdr:row>91</xdr:row>
      <xdr:rowOff>73081</xdr:rowOff>
    </xdr:from>
    <xdr:to>
      <xdr:col>6</xdr:col>
      <xdr:colOff>444038</xdr:colOff>
      <xdr:row>93</xdr:row>
      <xdr:rowOff>40522</xdr:rowOff>
    </xdr:to>
    <xdr:cxnSp macro="">
      <xdr:nvCxnSpPr>
        <xdr:cNvPr id="180" name="Elbow Connector 179">
          <a:extLst>
            <a:ext uri="{FF2B5EF4-FFF2-40B4-BE49-F238E27FC236}">
              <a16:creationId xmlns:a16="http://schemas.microsoft.com/office/drawing/2014/main" id="{00000000-0008-0000-0200-0000B4000000}"/>
            </a:ext>
          </a:extLst>
        </xdr:cNvPr>
        <xdr:cNvCxnSpPr>
          <a:stCxn id="132" idx="3"/>
          <a:endCxn id="131" idx="1"/>
        </xdr:cNvCxnSpPr>
      </xdr:nvCxnSpPr>
      <xdr:spPr>
        <a:xfrm>
          <a:off x="1905000" y="6291001"/>
          <a:ext cx="527858" cy="226521"/>
        </a:xfrm>
        <a:prstGeom prst="bentConnector3">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487680</xdr:colOff>
      <xdr:row>93</xdr:row>
      <xdr:rowOff>40522</xdr:rowOff>
    </xdr:from>
    <xdr:to>
      <xdr:col>6</xdr:col>
      <xdr:colOff>444038</xdr:colOff>
      <xdr:row>95</xdr:row>
      <xdr:rowOff>40523</xdr:rowOff>
    </xdr:to>
    <xdr:cxnSp macro="">
      <xdr:nvCxnSpPr>
        <xdr:cNvPr id="182" name="Elbow Connector 181">
          <a:extLst>
            <a:ext uri="{FF2B5EF4-FFF2-40B4-BE49-F238E27FC236}">
              <a16:creationId xmlns:a16="http://schemas.microsoft.com/office/drawing/2014/main" id="{00000000-0008-0000-0200-0000B6000000}"/>
            </a:ext>
          </a:extLst>
        </xdr:cNvPr>
        <xdr:cNvCxnSpPr>
          <a:stCxn id="178" idx="3"/>
          <a:endCxn id="131" idx="1"/>
        </xdr:cNvCxnSpPr>
      </xdr:nvCxnSpPr>
      <xdr:spPr>
        <a:xfrm flipV="1">
          <a:off x="1905000" y="6517522"/>
          <a:ext cx="527858" cy="259081"/>
        </a:xfrm>
        <a:prstGeom prst="bentConnector3">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344978</xdr:colOff>
      <xdr:row>128</xdr:row>
      <xdr:rowOff>72085</xdr:rowOff>
    </xdr:from>
    <xdr:to>
      <xdr:col>8</xdr:col>
      <xdr:colOff>327659</xdr:colOff>
      <xdr:row>131</xdr:row>
      <xdr:rowOff>72085</xdr:rowOff>
    </xdr:to>
    <xdr:sp macro="" textlink="">
      <xdr:nvSpPr>
        <xdr:cNvPr id="183" name="Rectangle 182">
          <a:extLst>
            <a:ext uri="{FF2B5EF4-FFF2-40B4-BE49-F238E27FC236}">
              <a16:creationId xmlns:a16="http://schemas.microsoft.com/office/drawing/2014/main" id="{00000000-0008-0000-0200-0000B7000000}"/>
            </a:ext>
          </a:extLst>
        </xdr:cNvPr>
        <xdr:cNvSpPr/>
      </xdr:nvSpPr>
      <xdr:spPr>
        <a:xfrm>
          <a:off x="2333798" y="11098225"/>
          <a:ext cx="1125681" cy="388620"/>
        </a:xfrm>
        <a:prstGeom prst="rect">
          <a:avLst/>
        </a:prstGeom>
        <a:solidFill>
          <a:schemeClr val="bg2"/>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AU" sz="800">
              <a:solidFill>
                <a:sysClr val="windowText" lastClr="000000"/>
              </a:solidFill>
            </a:rPr>
            <a:t>Average</a:t>
          </a:r>
          <a:r>
            <a:rPr lang="en-AU" sz="800" baseline="0">
              <a:solidFill>
                <a:sysClr val="windowText" lastClr="000000"/>
              </a:solidFill>
            </a:rPr>
            <a:t> a</a:t>
          </a:r>
          <a:r>
            <a:rPr lang="en-AU" sz="800">
              <a:solidFill>
                <a:sysClr val="windowText" lastClr="000000"/>
              </a:solidFill>
            </a:rPr>
            <a:t>sset life (years)</a:t>
          </a:r>
        </a:p>
      </xdr:txBody>
    </xdr:sp>
    <xdr:clientData/>
  </xdr:twoCellAnchor>
  <xdr:twoCellAnchor>
    <xdr:from>
      <xdr:col>6</xdr:col>
      <xdr:colOff>352598</xdr:colOff>
      <xdr:row>124</xdr:row>
      <xdr:rowOff>46024</xdr:rowOff>
    </xdr:from>
    <xdr:to>
      <xdr:col>8</xdr:col>
      <xdr:colOff>327660</xdr:colOff>
      <xdr:row>127</xdr:row>
      <xdr:rowOff>62959</xdr:rowOff>
    </xdr:to>
    <xdr:sp macro="" textlink="">
      <xdr:nvSpPr>
        <xdr:cNvPr id="184" name="Rectangle 183">
          <a:extLst>
            <a:ext uri="{FF2B5EF4-FFF2-40B4-BE49-F238E27FC236}">
              <a16:creationId xmlns:a16="http://schemas.microsoft.com/office/drawing/2014/main" id="{00000000-0008-0000-0200-0000B8000000}"/>
            </a:ext>
          </a:extLst>
        </xdr:cNvPr>
        <xdr:cNvSpPr/>
      </xdr:nvSpPr>
      <xdr:spPr>
        <a:xfrm>
          <a:off x="2341418" y="10538764"/>
          <a:ext cx="1118062" cy="405555"/>
        </a:xfrm>
        <a:prstGeom prst="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AU" sz="800">
              <a:solidFill>
                <a:sysClr val="windowText" lastClr="000000"/>
              </a:solidFill>
            </a:rPr>
            <a:t>Remaining asset life (years)</a:t>
          </a:r>
        </a:p>
      </xdr:txBody>
    </xdr:sp>
    <xdr:clientData/>
  </xdr:twoCellAnchor>
  <xdr:twoCellAnchor>
    <xdr:from>
      <xdr:col>3</xdr:col>
      <xdr:colOff>564868</xdr:colOff>
      <xdr:row>122</xdr:row>
      <xdr:rowOff>42176</xdr:rowOff>
    </xdr:from>
    <xdr:to>
      <xdr:col>5</xdr:col>
      <xdr:colOff>480060</xdr:colOff>
      <xdr:row>125</xdr:row>
      <xdr:rowOff>42176</xdr:rowOff>
    </xdr:to>
    <xdr:sp macro="" textlink="">
      <xdr:nvSpPr>
        <xdr:cNvPr id="185" name="Rectangle 184">
          <a:extLst>
            <a:ext uri="{FF2B5EF4-FFF2-40B4-BE49-F238E27FC236}">
              <a16:creationId xmlns:a16="http://schemas.microsoft.com/office/drawing/2014/main" id="{00000000-0008-0000-0200-0000B9000000}"/>
            </a:ext>
          </a:extLst>
        </xdr:cNvPr>
        <xdr:cNvSpPr/>
      </xdr:nvSpPr>
      <xdr:spPr>
        <a:xfrm>
          <a:off x="839188" y="10275836"/>
          <a:ext cx="1058192" cy="388620"/>
        </a:xfrm>
        <a:prstGeom prst="rect">
          <a:avLst/>
        </a:prstGeom>
        <a:solidFill>
          <a:schemeClr val="bg2"/>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AU" sz="800">
              <a:solidFill>
                <a:sysClr val="windowText" lastClr="000000"/>
              </a:solidFill>
            </a:rPr>
            <a:t>Average</a:t>
          </a:r>
          <a:r>
            <a:rPr lang="en-AU" sz="800" baseline="0">
              <a:solidFill>
                <a:sysClr val="windowText" lastClr="000000"/>
              </a:solidFill>
            </a:rPr>
            <a:t> a</a:t>
          </a:r>
          <a:r>
            <a:rPr lang="en-AU" sz="800">
              <a:solidFill>
                <a:sysClr val="windowText" lastClr="000000"/>
              </a:solidFill>
            </a:rPr>
            <a:t>sset life (years)</a:t>
          </a:r>
        </a:p>
      </xdr:txBody>
    </xdr:sp>
    <xdr:clientData/>
  </xdr:twoCellAnchor>
  <xdr:twoCellAnchor>
    <xdr:from>
      <xdr:col>9</xdr:col>
      <xdr:colOff>299160</xdr:colOff>
      <xdr:row>126</xdr:row>
      <xdr:rowOff>67799</xdr:rowOff>
    </xdr:from>
    <xdr:to>
      <xdr:col>11</xdr:col>
      <xdr:colOff>182880</xdr:colOff>
      <xdr:row>129</xdr:row>
      <xdr:rowOff>67799</xdr:rowOff>
    </xdr:to>
    <xdr:sp macro="" textlink="">
      <xdr:nvSpPr>
        <xdr:cNvPr id="186" name="Rectangle 185">
          <a:extLst>
            <a:ext uri="{FF2B5EF4-FFF2-40B4-BE49-F238E27FC236}">
              <a16:creationId xmlns:a16="http://schemas.microsoft.com/office/drawing/2014/main" id="{00000000-0008-0000-0200-0000BA000000}"/>
            </a:ext>
          </a:extLst>
        </xdr:cNvPr>
        <xdr:cNvSpPr/>
      </xdr:nvSpPr>
      <xdr:spPr>
        <a:xfrm>
          <a:off x="4002480" y="10819619"/>
          <a:ext cx="1026720" cy="403860"/>
        </a:xfrm>
        <a:prstGeom prst="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rIns="36000" rtlCol="0" anchor="ctr"/>
        <a:lstStyle/>
        <a:p>
          <a:pPr algn="ctr"/>
          <a:r>
            <a:rPr lang="en-AU" sz="800">
              <a:solidFill>
                <a:sysClr val="windowText" lastClr="000000"/>
              </a:solidFill>
            </a:rPr>
            <a:t>Remaining asset life (portion</a:t>
          </a:r>
          <a:r>
            <a:rPr lang="en-AU" sz="800" baseline="0">
              <a:solidFill>
                <a:sysClr val="windowText" lastClr="000000"/>
              </a:solidFill>
            </a:rPr>
            <a:t> of total)</a:t>
          </a:r>
          <a:endParaRPr lang="en-AU" sz="800">
            <a:solidFill>
              <a:sysClr val="windowText" lastClr="000000"/>
            </a:solidFill>
          </a:endParaRPr>
        </a:p>
      </xdr:txBody>
    </xdr:sp>
    <xdr:clientData/>
  </xdr:twoCellAnchor>
  <xdr:twoCellAnchor>
    <xdr:from>
      <xdr:col>11</xdr:col>
      <xdr:colOff>182880</xdr:colOff>
      <xdr:row>127</xdr:row>
      <xdr:rowOff>140189</xdr:rowOff>
    </xdr:from>
    <xdr:to>
      <xdr:col>15</xdr:col>
      <xdr:colOff>342900</xdr:colOff>
      <xdr:row>132</xdr:row>
      <xdr:rowOff>34290</xdr:rowOff>
    </xdr:to>
    <xdr:cxnSp macro="">
      <xdr:nvCxnSpPr>
        <xdr:cNvPr id="187" name="Elbow Connector 186">
          <a:extLst>
            <a:ext uri="{FF2B5EF4-FFF2-40B4-BE49-F238E27FC236}">
              <a16:creationId xmlns:a16="http://schemas.microsoft.com/office/drawing/2014/main" id="{00000000-0008-0000-0200-0000BB000000}"/>
            </a:ext>
          </a:extLst>
        </xdr:cNvPr>
        <xdr:cNvCxnSpPr>
          <a:stCxn id="186" idx="3"/>
          <a:endCxn id="110" idx="1"/>
        </xdr:cNvCxnSpPr>
      </xdr:nvCxnSpPr>
      <xdr:spPr>
        <a:xfrm>
          <a:off x="5029200" y="11021549"/>
          <a:ext cx="2446020" cy="557041"/>
        </a:xfrm>
        <a:prstGeom prst="bentConnector3">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327659</xdr:colOff>
      <xdr:row>127</xdr:row>
      <xdr:rowOff>140189</xdr:rowOff>
    </xdr:from>
    <xdr:to>
      <xdr:col>9</xdr:col>
      <xdr:colOff>299160</xdr:colOff>
      <xdr:row>130</xdr:row>
      <xdr:rowOff>7315</xdr:rowOff>
    </xdr:to>
    <xdr:cxnSp macro="">
      <xdr:nvCxnSpPr>
        <xdr:cNvPr id="188" name="Elbow Connector 187">
          <a:extLst>
            <a:ext uri="{FF2B5EF4-FFF2-40B4-BE49-F238E27FC236}">
              <a16:creationId xmlns:a16="http://schemas.microsoft.com/office/drawing/2014/main" id="{00000000-0008-0000-0200-0000BC000000}"/>
            </a:ext>
          </a:extLst>
        </xdr:cNvPr>
        <xdr:cNvCxnSpPr>
          <a:stCxn id="183" idx="3"/>
          <a:endCxn id="186" idx="1"/>
        </xdr:cNvCxnSpPr>
      </xdr:nvCxnSpPr>
      <xdr:spPr>
        <a:xfrm flipV="1">
          <a:off x="3459479" y="11021549"/>
          <a:ext cx="543001" cy="270986"/>
        </a:xfrm>
        <a:prstGeom prst="bentConnector3">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327660</xdr:colOff>
      <xdr:row>125</xdr:row>
      <xdr:rowOff>119262</xdr:rowOff>
    </xdr:from>
    <xdr:to>
      <xdr:col>9</xdr:col>
      <xdr:colOff>299160</xdr:colOff>
      <xdr:row>127</xdr:row>
      <xdr:rowOff>140189</xdr:rowOff>
    </xdr:to>
    <xdr:cxnSp macro="">
      <xdr:nvCxnSpPr>
        <xdr:cNvPr id="189" name="Elbow Connector 188">
          <a:extLst>
            <a:ext uri="{FF2B5EF4-FFF2-40B4-BE49-F238E27FC236}">
              <a16:creationId xmlns:a16="http://schemas.microsoft.com/office/drawing/2014/main" id="{00000000-0008-0000-0200-0000BD000000}"/>
            </a:ext>
          </a:extLst>
        </xdr:cNvPr>
        <xdr:cNvCxnSpPr>
          <a:stCxn id="184" idx="3"/>
          <a:endCxn id="186" idx="1"/>
        </xdr:cNvCxnSpPr>
      </xdr:nvCxnSpPr>
      <xdr:spPr>
        <a:xfrm>
          <a:off x="3459480" y="10741542"/>
          <a:ext cx="543000" cy="280007"/>
        </a:xfrm>
        <a:prstGeom prst="bentConnector3">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564868</xdr:colOff>
      <xdr:row>126</xdr:row>
      <xdr:rowOff>88359</xdr:rowOff>
    </xdr:from>
    <xdr:to>
      <xdr:col>5</xdr:col>
      <xdr:colOff>487680</xdr:colOff>
      <xdr:row>129</xdr:row>
      <xdr:rowOff>88360</xdr:rowOff>
    </xdr:to>
    <xdr:sp macro="" textlink="">
      <xdr:nvSpPr>
        <xdr:cNvPr id="190" name="Rectangle 189">
          <a:extLst>
            <a:ext uri="{FF2B5EF4-FFF2-40B4-BE49-F238E27FC236}">
              <a16:creationId xmlns:a16="http://schemas.microsoft.com/office/drawing/2014/main" id="{00000000-0008-0000-0200-0000BE000000}"/>
            </a:ext>
          </a:extLst>
        </xdr:cNvPr>
        <xdr:cNvSpPr/>
      </xdr:nvSpPr>
      <xdr:spPr>
        <a:xfrm>
          <a:off x="839188" y="10840179"/>
          <a:ext cx="1065812" cy="403861"/>
        </a:xfrm>
        <a:prstGeom prst="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ctr"/>
        <a:lstStyle/>
        <a:p>
          <a:pPr algn="ctr"/>
          <a:r>
            <a:rPr lang="en-AU" sz="800">
              <a:solidFill>
                <a:sysClr val="windowText" lastClr="000000"/>
              </a:solidFill>
            </a:rPr>
            <a:t>Asset Life (years) modelled</a:t>
          </a:r>
        </a:p>
      </xdr:txBody>
    </xdr:sp>
    <xdr:clientData/>
  </xdr:twoCellAnchor>
  <xdr:twoCellAnchor>
    <xdr:from>
      <xdr:col>5</xdr:col>
      <xdr:colOff>480060</xdr:colOff>
      <xdr:row>123</xdr:row>
      <xdr:rowOff>106946</xdr:rowOff>
    </xdr:from>
    <xdr:to>
      <xdr:col>6</xdr:col>
      <xdr:colOff>352598</xdr:colOff>
      <xdr:row>125</xdr:row>
      <xdr:rowOff>119262</xdr:rowOff>
    </xdr:to>
    <xdr:cxnSp macro="">
      <xdr:nvCxnSpPr>
        <xdr:cNvPr id="191" name="Elbow Connector 190">
          <a:extLst>
            <a:ext uri="{FF2B5EF4-FFF2-40B4-BE49-F238E27FC236}">
              <a16:creationId xmlns:a16="http://schemas.microsoft.com/office/drawing/2014/main" id="{00000000-0008-0000-0200-0000BF000000}"/>
            </a:ext>
          </a:extLst>
        </xdr:cNvPr>
        <xdr:cNvCxnSpPr>
          <a:stCxn id="185" idx="3"/>
          <a:endCxn id="184" idx="1"/>
        </xdr:cNvCxnSpPr>
      </xdr:nvCxnSpPr>
      <xdr:spPr>
        <a:xfrm>
          <a:off x="1897380" y="10470146"/>
          <a:ext cx="444038" cy="271396"/>
        </a:xfrm>
        <a:prstGeom prst="bentConnector3">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487680</xdr:colOff>
      <xdr:row>125</xdr:row>
      <xdr:rowOff>119262</xdr:rowOff>
    </xdr:from>
    <xdr:to>
      <xdr:col>6</xdr:col>
      <xdr:colOff>352598</xdr:colOff>
      <xdr:row>128</xdr:row>
      <xdr:rowOff>15970</xdr:rowOff>
    </xdr:to>
    <xdr:cxnSp macro="">
      <xdr:nvCxnSpPr>
        <xdr:cNvPr id="192" name="Elbow Connector 191">
          <a:extLst>
            <a:ext uri="{FF2B5EF4-FFF2-40B4-BE49-F238E27FC236}">
              <a16:creationId xmlns:a16="http://schemas.microsoft.com/office/drawing/2014/main" id="{00000000-0008-0000-0200-0000C0000000}"/>
            </a:ext>
          </a:extLst>
        </xdr:cNvPr>
        <xdr:cNvCxnSpPr>
          <a:stCxn id="190" idx="3"/>
          <a:endCxn id="184" idx="1"/>
        </xdr:cNvCxnSpPr>
      </xdr:nvCxnSpPr>
      <xdr:spPr>
        <a:xfrm flipV="1">
          <a:off x="1905000" y="10741542"/>
          <a:ext cx="436418" cy="300568"/>
        </a:xfrm>
        <a:prstGeom prst="bentConnector3">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359229</xdr:colOff>
      <xdr:row>94</xdr:row>
      <xdr:rowOff>84667</xdr:rowOff>
    </xdr:from>
    <xdr:to>
      <xdr:col>9</xdr:col>
      <xdr:colOff>27094</xdr:colOff>
      <xdr:row>96</xdr:row>
      <xdr:rowOff>42696</xdr:rowOff>
    </xdr:to>
    <xdr:sp macro="" textlink="">
      <xdr:nvSpPr>
        <xdr:cNvPr id="196" name="Rectangle 195">
          <a:extLst>
            <a:ext uri="{FF2B5EF4-FFF2-40B4-BE49-F238E27FC236}">
              <a16:creationId xmlns:a16="http://schemas.microsoft.com/office/drawing/2014/main" id="{00000000-0008-0000-0200-0000C4000000}"/>
            </a:ext>
          </a:extLst>
        </xdr:cNvPr>
        <xdr:cNvSpPr/>
      </xdr:nvSpPr>
      <xdr:spPr>
        <a:xfrm>
          <a:off x="3491049" y="6691207"/>
          <a:ext cx="239365" cy="217109"/>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AU" sz="1200">
              <a:solidFill>
                <a:sysClr val="windowText" lastClr="000000"/>
              </a:solidFill>
            </a:rPr>
            <a:t>÷</a:t>
          </a:r>
        </a:p>
      </xdr:txBody>
    </xdr:sp>
    <xdr:clientData/>
  </xdr:twoCellAnchor>
  <xdr:twoCellAnchor>
    <xdr:from>
      <xdr:col>14</xdr:col>
      <xdr:colOff>246622</xdr:colOff>
      <xdr:row>114</xdr:row>
      <xdr:rowOff>110067</xdr:rowOff>
    </xdr:from>
    <xdr:to>
      <xdr:col>14</xdr:col>
      <xdr:colOff>485987</xdr:colOff>
      <xdr:row>116</xdr:row>
      <xdr:rowOff>68096</xdr:rowOff>
    </xdr:to>
    <xdr:sp macro="" textlink="">
      <xdr:nvSpPr>
        <xdr:cNvPr id="65" name="Rectangle 64">
          <a:extLst>
            <a:ext uri="{FF2B5EF4-FFF2-40B4-BE49-F238E27FC236}">
              <a16:creationId xmlns:a16="http://schemas.microsoft.com/office/drawing/2014/main" id="{00000000-0008-0000-0200-000041000000}"/>
            </a:ext>
          </a:extLst>
        </xdr:cNvPr>
        <xdr:cNvSpPr/>
      </xdr:nvSpPr>
      <xdr:spPr>
        <a:xfrm>
          <a:off x="6807442" y="9307407"/>
          <a:ext cx="239365" cy="217109"/>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AU" sz="1200">
              <a:solidFill>
                <a:sysClr val="windowText" lastClr="000000"/>
              </a:solidFill>
            </a:rPr>
            <a:t>÷</a:t>
          </a:r>
        </a:p>
      </xdr:txBody>
    </xdr:sp>
    <xdr:clientData/>
  </xdr:twoCellAnchor>
  <xdr:twoCellAnchor>
    <xdr:from>
      <xdr:col>14</xdr:col>
      <xdr:colOff>230535</xdr:colOff>
      <xdr:row>105</xdr:row>
      <xdr:rowOff>59268</xdr:rowOff>
    </xdr:from>
    <xdr:to>
      <xdr:col>14</xdr:col>
      <xdr:colOff>469900</xdr:colOff>
      <xdr:row>107</xdr:row>
      <xdr:rowOff>17297</xdr:rowOff>
    </xdr:to>
    <xdr:sp macro="" textlink="">
      <xdr:nvSpPr>
        <xdr:cNvPr id="67" name="Rectangle 66">
          <a:extLst>
            <a:ext uri="{FF2B5EF4-FFF2-40B4-BE49-F238E27FC236}">
              <a16:creationId xmlns:a16="http://schemas.microsoft.com/office/drawing/2014/main" id="{00000000-0008-0000-0200-000043000000}"/>
            </a:ext>
          </a:extLst>
        </xdr:cNvPr>
        <xdr:cNvSpPr/>
      </xdr:nvSpPr>
      <xdr:spPr>
        <a:xfrm>
          <a:off x="6791355" y="8090748"/>
          <a:ext cx="239365" cy="217109"/>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AU" sz="1200">
              <a:solidFill>
                <a:sysClr val="windowText" lastClr="000000"/>
              </a:solidFill>
            </a:rPr>
            <a:t>×</a:t>
          </a:r>
        </a:p>
      </xdr:txBody>
    </xdr:sp>
    <xdr:clientData/>
  </xdr:twoCellAnchor>
  <xdr:twoCellAnchor>
    <xdr:from>
      <xdr:col>12</xdr:col>
      <xdr:colOff>542955</xdr:colOff>
      <xdr:row>98</xdr:row>
      <xdr:rowOff>115995</xdr:rowOff>
    </xdr:from>
    <xdr:to>
      <xdr:col>13</xdr:col>
      <xdr:colOff>198120</xdr:colOff>
      <xdr:row>100</xdr:row>
      <xdr:rowOff>71484</xdr:rowOff>
    </xdr:to>
    <xdr:sp macro="" textlink="">
      <xdr:nvSpPr>
        <xdr:cNvPr id="68" name="Rectangle 67">
          <a:extLst>
            <a:ext uri="{FF2B5EF4-FFF2-40B4-BE49-F238E27FC236}">
              <a16:creationId xmlns:a16="http://schemas.microsoft.com/office/drawing/2014/main" id="{00000000-0008-0000-0200-000044000000}"/>
            </a:ext>
          </a:extLst>
        </xdr:cNvPr>
        <xdr:cNvSpPr/>
      </xdr:nvSpPr>
      <xdr:spPr>
        <a:xfrm>
          <a:off x="5960775" y="7240695"/>
          <a:ext cx="226665" cy="214569"/>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AU" sz="1200">
              <a:solidFill>
                <a:sysClr val="windowText" lastClr="000000"/>
              </a:solidFill>
            </a:rPr>
            <a:t>×</a:t>
          </a:r>
        </a:p>
      </xdr:txBody>
    </xdr:sp>
    <xdr:clientData/>
  </xdr:twoCellAnchor>
  <xdr:twoCellAnchor>
    <xdr:from>
      <xdr:col>7</xdr:col>
      <xdr:colOff>415955</xdr:colOff>
      <xdr:row>107</xdr:row>
      <xdr:rowOff>25403</xdr:rowOff>
    </xdr:from>
    <xdr:to>
      <xdr:col>8</xdr:col>
      <xdr:colOff>83820</xdr:colOff>
      <xdr:row>108</xdr:row>
      <xdr:rowOff>110432</xdr:rowOff>
    </xdr:to>
    <xdr:sp macro="" textlink="">
      <xdr:nvSpPr>
        <xdr:cNvPr id="69" name="Rectangle 68">
          <a:extLst>
            <a:ext uri="{FF2B5EF4-FFF2-40B4-BE49-F238E27FC236}">
              <a16:creationId xmlns:a16="http://schemas.microsoft.com/office/drawing/2014/main" id="{00000000-0008-0000-0200-000045000000}"/>
            </a:ext>
          </a:extLst>
        </xdr:cNvPr>
        <xdr:cNvSpPr/>
      </xdr:nvSpPr>
      <xdr:spPr>
        <a:xfrm>
          <a:off x="2976275" y="8315963"/>
          <a:ext cx="239365" cy="214569"/>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AU" sz="1200">
              <a:solidFill>
                <a:sysClr val="windowText" lastClr="000000"/>
              </a:solidFill>
            </a:rPr>
            <a:t>∑</a:t>
          </a:r>
        </a:p>
      </xdr:txBody>
    </xdr:sp>
    <xdr:clientData/>
  </xdr:twoCellAnchor>
  <xdr:twoCellAnchor>
    <xdr:from>
      <xdr:col>5</xdr:col>
      <xdr:colOff>528562</xdr:colOff>
      <xdr:row>92</xdr:row>
      <xdr:rowOff>50801</xdr:rowOff>
    </xdr:from>
    <xdr:to>
      <xdr:col>6</xdr:col>
      <xdr:colOff>196427</xdr:colOff>
      <xdr:row>94</xdr:row>
      <xdr:rowOff>8830</xdr:rowOff>
    </xdr:to>
    <xdr:sp macro="" textlink="">
      <xdr:nvSpPr>
        <xdr:cNvPr id="70" name="Rectangle 69">
          <a:extLst>
            <a:ext uri="{FF2B5EF4-FFF2-40B4-BE49-F238E27FC236}">
              <a16:creationId xmlns:a16="http://schemas.microsoft.com/office/drawing/2014/main" id="{00000000-0008-0000-0200-000046000000}"/>
            </a:ext>
          </a:extLst>
        </xdr:cNvPr>
        <xdr:cNvSpPr/>
      </xdr:nvSpPr>
      <xdr:spPr>
        <a:xfrm>
          <a:off x="1945882" y="6398261"/>
          <a:ext cx="239365" cy="217109"/>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AU" sz="1200">
              <a:solidFill>
                <a:sysClr val="windowText" lastClr="000000"/>
              </a:solidFill>
            </a:rPr>
            <a:t>-</a:t>
          </a:r>
        </a:p>
      </xdr:txBody>
    </xdr:sp>
    <xdr:clientData/>
  </xdr:twoCellAnchor>
  <xdr:twoCellAnchor>
    <xdr:from>
      <xdr:col>8</xdr:col>
      <xdr:colOff>384629</xdr:colOff>
      <xdr:row>127</xdr:row>
      <xdr:rowOff>8467</xdr:rowOff>
    </xdr:from>
    <xdr:to>
      <xdr:col>9</xdr:col>
      <xdr:colOff>52494</xdr:colOff>
      <xdr:row>128</xdr:row>
      <xdr:rowOff>76563</xdr:rowOff>
    </xdr:to>
    <xdr:sp macro="" textlink="">
      <xdr:nvSpPr>
        <xdr:cNvPr id="71" name="Rectangle 70">
          <a:extLst>
            <a:ext uri="{FF2B5EF4-FFF2-40B4-BE49-F238E27FC236}">
              <a16:creationId xmlns:a16="http://schemas.microsoft.com/office/drawing/2014/main" id="{00000000-0008-0000-0200-000047000000}"/>
            </a:ext>
          </a:extLst>
        </xdr:cNvPr>
        <xdr:cNvSpPr/>
      </xdr:nvSpPr>
      <xdr:spPr>
        <a:xfrm>
          <a:off x="3516449" y="10889827"/>
          <a:ext cx="239365" cy="212876"/>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AU" sz="1200">
              <a:solidFill>
                <a:sysClr val="windowText" lastClr="000000"/>
              </a:solidFill>
            </a:rPr>
            <a:t>÷</a:t>
          </a:r>
        </a:p>
      </xdr:txBody>
    </xdr:sp>
    <xdr:clientData/>
  </xdr:twoCellAnchor>
  <xdr:twoCellAnchor>
    <xdr:from>
      <xdr:col>5</xdr:col>
      <xdr:colOff>468449</xdr:colOff>
      <xdr:row>124</xdr:row>
      <xdr:rowOff>101601</xdr:rowOff>
    </xdr:from>
    <xdr:to>
      <xdr:col>6</xdr:col>
      <xdr:colOff>136314</xdr:colOff>
      <xdr:row>126</xdr:row>
      <xdr:rowOff>59630</xdr:rowOff>
    </xdr:to>
    <xdr:sp macro="" textlink="">
      <xdr:nvSpPr>
        <xdr:cNvPr id="74" name="Rectangle 73">
          <a:extLst>
            <a:ext uri="{FF2B5EF4-FFF2-40B4-BE49-F238E27FC236}">
              <a16:creationId xmlns:a16="http://schemas.microsoft.com/office/drawing/2014/main" id="{00000000-0008-0000-0200-00004A000000}"/>
            </a:ext>
          </a:extLst>
        </xdr:cNvPr>
        <xdr:cNvSpPr/>
      </xdr:nvSpPr>
      <xdr:spPr>
        <a:xfrm>
          <a:off x="1885769" y="10594341"/>
          <a:ext cx="239365" cy="217109"/>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AU" sz="1200">
              <a:solidFill>
                <a:sysClr val="windowText" lastClr="000000"/>
              </a:solidFill>
            </a:rPr>
            <a:t>-</a:t>
          </a:r>
        </a:p>
      </xdr:txBody>
    </xdr:sp>
    <xdr:clientData/>
  </xdr:twoCellAnchor>
  <xdr:twoCellAnchor>
    <xdr:from>
      <xdr:col>13</xdr:col>
      <xdr:colOff>360921</xdr:colOff>
      <xdr:row>130</xdr:row>
      <xdr:rowOff>51648</xdr:rowOff>
    </xdr:from>
    <xdr:to>
      <xdr:col>13</xdr:col>
      <xdr:colOff>519006</xdr:colOff>
      <xdr:row>132</xdr:row>
      <xdr:rowOff>9677</xdr:rowOff>
    </xdr:to>
    <xdr:sp macro="" textlink="">
      <xdr:nvSpPr>
        <xdr:cNvPr id="75" name="Rectangle 74">
          <a:extLst>
            <a:ext uri="{FF2B5EF4-FFF2-40B4-BE49-F238E27FC236}">
              <a16:creationId xmlns:a16="http://schemas.microsoft.com/office/drawing/2014/main" id="{00000000-0008-0000-0200-00004B000000}"/>
            </a:ext>
          </a:extLst>
        </xdr:cNvPr>
        <xdr:cNvSpPr/>
      </xdr:nvSpPr>
      <xdr:spPr>
        <a:xfrm>
          <a:off x="6350241" y="11336868"/>
          <a:ext cx="158085" cy="217109"/>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AU" sz="1200">
              <a:solidFill>
                <a:sysClr val="windowText" lastClr="000000"/>
              </a:solidFill>
            </a:rPr>
            <a:t>×</a:t>
          </a:r>
        </a:p>
      </xdr:txBody>
    </xdr:sp>
    <xdr:clientData/>
  </xdr:twoCellAnchor>
  <xdr:twoCellAnchor>
    <xdr:from>
      <xdr:col>13</xdr:col>
      <xdr:colOff>264401</xdr:colOff>
      <xdr:row>138</xdr:row>
      <xdr:rowOff>110068</xdr:rowOff>
    </xdr:from>
    <xdr:to>
      <xdr:col>13</xdr:col>
      <xdr:colOff>503766</xdr:colOff>
      <xdr:row>140</xdr:row>
      <xdr:rowOff>68097</xdr:rowOff>
    </xdr:to>
    <xdr:sp macro="" textlink="">
      <xdr:nvSpPr>
        <xdr:cNvPr id="76" name="Rectangle 75">
          <a:extLst>
            <a:ext uri="{FF2B5EF4-FFF2-40B4-BE49-F238E27FC236}">
              <a16:creationId xmlns:a16="http://schemas.microsoft.com/office/drawing/2014/main" id="{00000000-0008-0000-0200-00004C000000}"/>
            </a:ext>
          </a:extLst>
        </xdr:cNvPr>
        <xdr:cNvSpPr/>
      </xdr:nvSpPr>
      <xdr:spPr>
        <a:xfrm>
          <a:off x="6253721" y="12431608"/>
          <a:ext cx="239365" cy="217109"/>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AU" sz="1200">
              <a:solidFill>
                <a:sysClr val="windowText" lastClr="000000"/>
              </a:solidFill>
            </a:rPr>
            <a:t>×</a:t>
          </a:r>
        </a:p>
      </xdr:txBody>
    </xdr:sp>
    <xdr:clientData/>
  </xdr:twoCellAnchor>
  <xdr:twoCellAnchor>
    <xdr:from>
      <xdr:col>13</xdr:col>
      <xdr:colOff>264402</xdr:colOff>
      <xdr:row>147</xdr:row>
      <xdr:rowOff>110068</xdr:rowOff>
    </xdr:from>
    <xdr:to>
      <xdr:col>13</xdr:col>
      <xdr:colOff>503767</xdr:colOff>
      <xdr:row>149</xdr:row>
      <xdr:rowOff>68097</xdr:rowOff>
    </xdr:to>
    <xdr:sp macro="" textlink="">
      <xdr:nvSpPr>
        <xdr:cNvPr id="77" name="Rectangle 76">
          <a:extLst>
            <a:ext uri="{FF2B5EF4-FFF2-40B4-BE49-F238E27FC236}">
              <a16:creationId xmlns:a16="http://schemas.microsoft.com/office/drawing/2014/main" id="{00000000-0008-0000-0200-00004D000000}"/>
            </a:ext>
          </a:extLst>
        </xdr:cNvPr>
        <xdr:cNvSpPr/>
      </xdr:nvSpPr>
      <xdr:spPr>
        <a:xfrm>
          <a:off x="6253722" y="13597468"/>
          <a:ext cx="239365" cy="217109"/>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AU" sz="1200">
              <a:solidFill>
                <a:sysClr val="windowText" lastClr="000000"/>
              </a:solidFill>
            </a:rPr>
            <a:t>÷</a:t>
          </a:r>
        </a:p>
      </xdr:txBody>
    </xdr:sp>
    <xdr:clientData/>
  </xdr:twoCellAnchor>
  <xdr:twoCellAnchor>
    <xdr:from>
      <xdr:col>13</xdr:col>
      <xdr:colOff>31569</xdr:colOff>
      <xdr:row>21</xdr:row>
      <xdr:rowOff>76205</xdr:rowOff>
    </xdr:from>
    <xdr:to>
      <xdr:col>13</xdr:col>
      <xdr:colOff>270934</xdr:colOff>
      <xdr:row>23</xdr:row>
      <xdr:rowOff>34234</xdr:rowOff>
    </xdr:to>
    <xdr:sp macro="" textlink="">
      <xdr:nvSpPr>
        <xdr:cNvPr id="79" name="Rectangle 78">
          <a:extLst>
            <a:ext uri="{FF2B5EF4-FFF2-40B4-BE49-F238E27FC236}">
              <a16:creationId xmlns:a16="http://schemas.microsoft.com/office/drawing/2014/main" id="{00000000-0008-0000-0200-00004F000000}"/>
            </a:ext>
          </a:extLst>
        </xdr:cNvPr>
        <xdr:cNvSpPr/>
      </xdr:nvSpPr>
      <xdr:spPr>
        <a:xfrm>
          <a:off x="7753169" y="3378205"/>
          <a:ext cx="239365" cy="212029"/>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AU" sz="1200">
              <a:solidFill>
                <a:sysClr val="windowText" lastClr="000000"/>
              </a:solidFill>
            </a:rPr>
            <a:t>∑</a:t>
          </a:r>
        </a:p>
      </xdr:txBody>
    </xdr:sp>
    <xdr:clientData/>
  </xdr:twoCellAnchor>
  <xdr:twoCellAnchor>
    <xdr:from>
      <xdr:col>20</xdr:col>
      <xdr:colOff>463126</xdr:colOff>
      <xdr:row>122</xdr:row>
      <xdr:rowOff>42335</xdr:rowOff>
    </xdr:from>
    <xdr:to>
      <xdr:col>22</xdr:col>
      <xdr:colOff>502919</xdr:colOff>
      <xdr:row>125</xdr:row>
      <xdr:rowOff>42334</xdr:rowOff>
    </xdr:to>
    <xdr:sp macro="" textlink="">
      <xdr:nvSpPr>
        <xdr:cNvPr id="80" name="Rectangle 79">
          <a:extLst>
            <a:ext uri="{FF2B5EF4-FFF2-40B4-BE49-F238E27FC236}">
              <a16:creationId xmlns:a16="http://schemas.microsoft.com/office/drawing/2014/main" id="{00000000-0008-0000-0200-000050000000}"/>
            </a:ext>
          </a:extLst>
        </xdr:cNvPr>
        <xdr:cNvSpPr/>
      </xdr:nvSpPr>
      <xdr:spPr>
        <a:xfrm>
          <a:off x="10452946" y="10275995"/>
          <a:ext cx="1182793" cy="388619"/>
        </a:xfrm>
        <a:prstGeom prst="rect">
          <a:avLst/>
        </a:prstGeom>
        <a:solidFill>
          <a:schemeClr val="accent6">
            <a:lumMod val="20000"/>
            <a:lumOff val="80000"/>
          </a:schemeClr>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AU" sz="800" b="0">
              <a:solidFill>
                <a:sysClr val="windowText" lastClr="000000"/>
              </a:solidFill>
            </a:rPr>
            <a:t>Regulatory revenue </a:t>
          </a:r>
          <a:r>
            <a:rPr lang="en-AU" sz="800" b="0" baseline="0">
              <a:solidFill>
                <a:sysClr val="windowText" lastClr="000000"/>
              </a:solidFill>
            </a:rPr>
            <a:t>($)</a:t>
          </a:r>
          <a:endParaRPr lang="en-AU" sz="800" b="0">
            <a:solidFill>
              <a:sysClr val="windowText" lastClr="000000"/>
            </a:solidFill>
          </a:endParaRPr>
        </a:p>
      </xdr:txBody>
    </xdr:sp>
    <xdr:clientData/>
  </xdr:twoCellAnchor>
  <xdr:twoCellAnchor>
    <xdr:from>
      <xdr:col>17</xdr:col>
      <xdr:colOff>236220</xdr:colOff>
      <xdr:row>117</xdr:row>
      <xdr:rowOff>126819</xdr:rowOff>
    </xdr:from>
    <xdr:to>
      <xdr:col>20</xdr:col>
      <xdr:colOff>463126</xdr:colOff>
      <xdr:row>123</xdr:row>
      <xdr:rowOff>107105</xdr:rowOff>
    </xdr:to>
    <xdr:cxnSp macro="">
      <xdr:nvCxnSpPr>
        <xdr:cNvPr id="9" name="Elbow Connector 8">
          <a:extLst>
            <a:ext uri="{FF2B5EF4-FFF2-40B4-BE49-F238E27FC236}">
              <a16:creationId xmlns:a16="http://schemas.microsoft.com/office/drawing/2014/main" id="{00000000-0008-0000-0200-000009000000}"/>
            </a:ext>
          </a:extLst>
        </xdr:cNvPr>
        <xdr:cNvCxnSpPr>
          <a:stCxn id="88" idx="3"/>
          <a:endCxn id="80" idx="1"/>
        </xdr:cNvCxnSpPr>
      </xdr:nvCxnSpPr>
      <xdr:spPr>
        <a:xfrm>
          <a:off x="8511540" y="9712779"/>
          <a:ext cx="1941406" cy="757526"/>
        </a:xfrm>
        <a:prstGeom prst="bentConnector3">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17</xdr:col>
      <xdr:colOff>228600</xdr:colOff>
      <xdr:row>109</xdr:row>
      <xdr:rowOff>4898</xdr:rowOff>
    </xdr:from>
    <xdr:to>
      <xdr:col>20</xdr:col>
      <xdr:colOff>463126</xdr:colOff>
      <xdr:row>123</xdr:row>
      <xdr:rowOff>107105</xdr:rowOff>
    </xdr:to>
    <xdr:cxnSp macro="">
      <xdr:nvCxnSpPr>
        <xdr:cNvPr id="13" name="Elbow Connector 12">
          <a:extLst>
            <a:ext uri="{FF2B5EF4-FFF2-40B4-BE49-F238E27FC236}">
              <a16:creationId xmlns:a16="http://schemas.microsoft.com/office/drawing/2014/main" id="{00000000-0008-0000-0200-00000D000000}"/>
            </a:ext>
          </a:extLst>
        </xdr:cNvPr>
        <xdr:cNvCxnSpPr>
          <a:stCxn id="64" idx="3"/>
          <a:endCxn id="80" idx="1"/>
        </xdr:cNvCxnSpPr>
      </xdr:nvCxnSpPr>
      <xdr:spPr>
        <a:xfrm>
          <a:off x="8503920" y="8554538"/>
          <a:ext cx="1949026" cy="1915767"/>
        </a:xfrm>
        <a:prstGeom prst="bentConnector3">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17</xdr:col>
      <xdr:colOff>228600</xdr:colOff>
      <xdr:row>99</xdr:row>
      <xdr:rowOff>95250</xdr:rowOff>
    </xdr:from>
    <xdr:to>
      <xdr:col>20</xdr:col>
      <xdr:colOff>463126</xdr:colOff>
      <xdr:row>123</xdr:row>
      <xdr:rowOff>107105</xdr:rowOff>
    </xdr:to>
    <xdr:cxnSp macro="">
      <xdr:nvCxnSpPr>
        <xdr:cNvPr id="17" name="Elbow Connector 16">
          <a:extLst>
            <a:ext uri="{FF2B5EF4-FFF2-40B4-BE49-F238E27FC236}">
              <a16:creationId xmlns:a16="http://schemas.microsoft.com/office/drawing/2014/main" id="{00000000-0008-0000-0200-000011000000}"/>
            </a:ext>
          </a:extLst>
        </xdr:cNvPr>
        <xdr:cNvCxnSpPr>
          <a:stCxn id="112" idx="3"/>
          <a:endCxn id="80" idx="1"/>
        </xdr:cNvCxnSpPr>
      </xdr:nvCxnSpPr>
      <xdr:spPr>
        <a:xfrm>
          <a:off x="8503920" y="7349490"/>
          <a:ext cx="1949026" cy="3120815"/>
        </a:xfrm>
        <a:prstGeom prst="bentConnector3">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17</xdr:col>
      <xdr:colOff>213360</xdr:colOff>
      <xdr:row>123</xdr:row>
      <xdr:rowOff>107105</xdr:rowOff>
    </xdr:from>
    <xdr:to>
      <xdr:col>20</xdr:col>
      <xdr:colOff>463126</xdr:colOff>
      <xdr:row>132</xdr:row>
      <xdr:rowOff>34290</xdr:rowOff>
    </xdr:to>
    <xdr:cxnSp macro="">
      <xdr:nvCxnSpPr>
        <xdr:cNvPr id="19" name="Elbow Connector 18">
          <a:extLst>
            <a:ext uri="{FF2B5EF4-FFF2-40B4-BE49-F238E27FC236}">
              <a16:creationId xmlns:a16="http://schemas.microsoft.com/office/drawing/2014/main" id="{00000000-0008-0000-0200-000013000000}"/>
            </a:ext>
          </a:extLst>
        </xdr:cNvPr>
        <xdr:cNvCxnSpPr>
          <a:stCxn id="110" idx="3"/>
          <a:endCxn id="80" idx="1"/>
        </xdr:cNvCxnSpPr>
      </xdr:nvCxnSpPr>
      <xdr:spPr>
        <a:xfrm flipV="1">
          <a:off x="8488680" y="10470305"/>
          <a:ext cx="1964266" cy="1108285"/>
        </a:xfrm>
        <a:prstGeom prst="bentConnector3">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17</xdr:col>
      <xdr:colOff>205740</xdr:colOff>
      <xdr:row>123</xdr:row>
      <xdr:rowOff>107105</xdr:rowOff>
    </xdr:from>
    <xdr:to>
      <xdr:col>20</xdr:col>
      <xdr:colOff>463126</xdr:colOff>
      <xdr:row>142</xdr:row>
      <xdr:rowOff>64770</xdr:rowOff>
    </xdr:to>
    <xdr:cxnSp macro="">
      <xdr:nvCxnSpPr>
        <xdr:cNvPr id="21" name="Elbow Connector 20">
          <a:extLst>
            <a:ext uri="{FF2B5EF4-FFF2-40B4-BE49-F238E27FC236}">
              <a16:creationId xmlns:a16="http://schemas.microsoft.com/office/drawing/2014/main" id="{00000000-0008-0000-0200-000015000000}"/>
            </a:ext>
          </a:extLst>
        </xdr:cNvPr>
        <xdr:cNvCxnSpPr>
          <a:stCxn id="78" idx="3"/>
          <a:endCxn id="80" idx="1"/>
        </xdr:cNvCxnSpPr>
      </xdr:nvCxnSpPr>
      <xdr:spPr>
        <a:xfrm flipV="1">
          <a:off x="8481060" y="10470305"/>
          <a:ext cx="1971886" cy="2434165"/>
        </a:xfrm>
        <a:prstGeom prst="bentConnector3">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17</xdr:col>
      <xdr:colOff>205740</xdr:colOff>
      <xdr:row>123</xdr:row>
      <xdr:rowOff>107105</xdr:rowOff>
    </xdr:from>
    <xdr:to>
      <xdr:col>20</xdr:col>
      <xdr:colOff>463126</xdr:colOff>
      <xdr:row>151</xdr:row>
      <xdr:rowOff>101781</xdr:rowOff>
    </xdr:to>
    <xdr:cxnSp macro="">
      <xdr:nvCxnSpPr>
        <xdr:cNvPr id="23" name="Elbow Connector 22">
          <a:extLst>
            <a:ext uri="{FF2B5EF4-FFF2-40B4-BE49-F238E27FC236}">
              <a16:creationId xmlns:a16="http://schemas.microsoft.com/office/drawing/2014/main" id="{00000000-0008-0000-0200-000017000000}"/>
            </a:ext>
          </a:extLst>
        </xdr:cNvPr>
        <xdr:cNvCxnSpPr>
          <a:stCxn id="104" idx="3"/>
          <a:endCxn id="80" idx="1"/>
        </xdr:cNvCxnSpPr>
      </xdr:nvCxnSpPr>
      <xdr:spPr>
        <a:xfrm flipV="1">
          <a:off x="8481060" y="10470305"/>
          <a:ext cx="1971886" cy="3637036"/>
        </a:xfrm>
        <a:prstGeom prst="bentConnector3">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533400</xdr:colOff>
      <xdr:row>123</xdr:row>
      <xdr:rowOff>107105</xdr:rowOff>
    </xdr:from>
    <xdr:to>
      <xdr:col>20</xdr:col>
      <xdr:colOff>463126</xdr:colOff>
      <xdr:row>158</xdr:row>
      <xdr:rowOff>41910</xdr:rowOff>
    </xdr:to>
    <xdr:cxnSp macro="">
      <xdr:nvCxnSpPr>
        <xdr:cNvPr id="25" name="Elbow Connector 24">
          <a:extLst>
            <a:ext uri="{FF2B5EF4-FFF2-40B4-BE49-F238E27FC236}">
              <a16:creationId xmlns:a16="http://schemas.microsoft.com/office/drawing/2014/main" id="{00000000-0008-0000-0200-000019000000}"/>
            </a:ext>
          </a:extLst>
        </xdr:cNvPr>
        <xdr:cNvCxnSpPr>
          <a:stCxn id="107" idx="3"/>
          <a:endCxn id="80" idx="1"/>
        </xdr:cNvCxnSpPr>
      </xdr:nvCxnSpPr>
      <xdr:spPr>
        <a:xfrm flipV="1">
          <a:off x="1950720" y="10470305"/>
          <a:ext cx="8502226" cy="4483945"/>
        </a:xfrm>
        <a:prstGeom prst="bentConnector3">
          <a:avLst>
            <a:gd name="adj1" fmla="val 88449"/>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19</xdr:col>
      <xdr:colOff>195822</xdr:colOff>
      <xdr:row>121</xdr:row>
      <xdr:rowOff>118537</xdr:rowOff>
    </xdr:from>
    <xdr:to>
      <xdr:col>19</xdr:col>
      <xdr:colOff>435187</xdr:colOff>
      <xdr:row>123</xdr:row>
      <xdr:rowOff>76566</xdr:rowOff>
    </xdr:to>
    <xdr:sp macro="" textlink="">
      <xdr:nvSpPr>
        <xdr:cNvPr id="94" name="Rectangle 93">
          <a:extLst>
            <a:ext uri="{FF2B5EF4-FFF2-40B4-BE49-F238E27FC236}">
              <a16:creationId xmlns:a16="http://schemas.microsoft.com/office/drawing/2014/main" id="{00000000-0008-0000-0200-00005E000000}"/>
            </a:ext>
          </a:extLst>
        </xdr:cNvPr>
        <xdr:cNvSpPr/>
      </xdr:nvSpPr>
      <xdr:spPr>
        <a:xfrm>
          <a:off x="9614142" y="10222657"/>
          <a:ext cx="239365" cy="217109"/>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AU" sz="1200">
              <a:solidFill>
                <a:sysClr val="windowText" lastClr="000000"/>
              </a:solidFill>
            </a:rPr>
            <a:t>∑</a:t>
          </a:r>
        </a:p>
      </xdr:txBody>
    </xdr:sp>
    <xdr:clientData/>
  </xdr:twoCellAnchor>
  <xdr:twoCellAnchor>
    <xdr:from>
      <xdr:col>15</xdr:col>
      <xdr:colOff>265006</xdr:colOff>
      <xdr:row>34</xdr:row>
      <xdr:rowOff>84668</xdr:rowOff>
    </xdr:from>
    <xdr:to>
      <xdr:col>17</xdr:col>
      <xdr:colOff>243839</xdr:colOff>
      <xdr:row>37</xdr:row>
      <xdr:rowOff>84667</xdr:rowOff>
    </xdr:to>
    <xdr:sp macro="" textlink="">
      <xdr:nvSpPr>
        <xdr:cNvPr id="103" name="Rectangle 102">
          <a:extLst>
            <a:ext uri="{FF2B5EF4-FFF2-40B4-BE49-F238E27FC236}">
              <a16:creationId xmlns:a16="http://schemas.microsoft.com/office/drawing/2014/main" id="{00000000-0008-0000-0200-000067000000}"/>
            </a:ext>
          </a:extLst>
        </xdr:cNvPr>
        <xdr:cNvSpPr/>
      </xdr:nvSpPr>
      <xdr:spPr>
        <a:xfrm>
          <a:off x="7397326" y="5007188"/>
          <a:ext cx="1121833" cy="388619"/>
        </a:xfrm>
        <a:prstGeom prst="rect">
          <a:avLst/>
        </a:prstGeom>
        <a:solidFill>
          <a:schemeClr val="accent6">
            <a:lumMod val="20000"/>
            <a:lumOff val="80000"/>
          </a:schemeClr>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AU" sz="800" b="0">
              <a:solidFill>
                <a:sysClr val="windowText" lastClr="000000"/>
              </a:solidFill>
            </a:rPr>
            <a:t>Future Capex </a:t>
          </a:r>
          <a:r>
            <a:rPr lang="en-AU" sz="800" b="0" baseline="0">
              <a:solidFill>
                <a:sysClr val="windowText" lastClr="000000"/>
              </a:solidFill>
            </a:rPr>
            <a:t>($)</a:t>
          </a:r>
          <a:endParaRPr lang="en-AU" sz="800" b="0">
            <a:solidFill>
              <a:sysClr val="windowText" lastClr="000000"/>
            </a:solidFill>
          </a:endParaRPr>
        </a:p>
      </xdr:txBody>
    </xdr:sp>
    <xdr:clientData/>
  </xdr:twoCellAnchor>
  <xdr:twoCellAnchor>
    <xdr:from>
      <xdr:col>6</xdr:col>
      <xdr:colOff>22860</xdr:colOff>
      <xdr:row>36</xdr:row>
      <xdr:rowOff>11430</xdr:rowOff>
    </xdr:from>
    <xdr:to>
      <xdr:col>15</xdr:col>
      <xdr:colOff>265006</xdr:colOff>
      <xdr:row>36</xdr:row>
      <xdr:rowOff>19898</xdr:rowOff>
    </xdr:to>
    <xdr:cxnSp macro="">
      <xdr:nvCxnSpPr>
        <xdr:cNvPr id="36" name="Straight Arrow Connector 35">
          <a:extLst>
            <a:ext uri="{FF2B5EF4-FFF2-40B4-BE49-F238E27FC236}">
              <a16:creationId xmlns:a16="http://schemas.microsoft.com/office/drawing/2014/main" id="{00000000-0008-0000-0200-000024000000}"/>
            </a:ext>
          </a:extLst>
        </xdr:cNvPr>
        <xdr:cNvCxnSpPr>
          <a:stCxn id="26" idx="3"/>
          <a:endCxn id="103" idx="1"/>
        </xdr:cNvCxnSpPr>
      </xdr:nvCxnSpPr>
      <xdr:spPr>
        <a:xfrm>
          <a:off x="2011680" y="5193030"/>
          <a:ext cx="5385646" cy="8468"/>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15</xdr:col>
      <xdr:colOff>265006</xdr:colOff>
      <xdr:row>22</xdr:row>
      <xdr:rowOff>8468</xdr:rowOff>
    </xdr:from>
    <xdr:to>
      <xdr:col>17</xdr:col>
      <xdr:colOff>251459</xdr:colOff>
      <xdr:row>25</xdr:row>
      <xdr:rowOff>8467</xdr:rowOff>
    </xdr:to>
    <xdr:sp macro="" textlink="">
      <xdr:nvSpPr>
        <xdr:cNvPr id="108" name="Rectangle 107">
          <a:extLst>
            <a:ext uri="{FF2B5EF4-FFF2-40B4-BE49-F238E27FC236}">
              <a16:creationId xmlns:a16="http://schemas.microsoft.com/office/drawing/2014/main" id="{00000000-0008-0000-0200-00006C000000}"/>
            </a:ext>
          </a:extLst>
        </xdr:cNvPr>
        <xdr:cNvSpPr/>
      </xdr:nvSpPr>
      <xdr:spPr>
        <a:xfrm>
          <a:off x="7397326" y="3117428"/>
          <a:ext cx="1129453" cy="388619"/>
        </a:xfrm>
        <a:prstGeom prst="rect">
          <a:avLst/>
        </a:prstGeom>
        <a:solidFill>
          <a:schemeClr val="accent6">
            <a:lumMod val="20000"/>
            <a:lumOff val="80000"/>
          </a:schemeClr>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AU" sz="800" b="0">
              <a:solidFill>
                <a:sysClr val="windowText" lastClr="000000"/>
              </a:solidFill>
            </a:rPr>
            <a:t>Total</a:t>
          </a:r>
          <a:r>
            <a:rPr lang="en-AU" sz="800" b="0" baseline="0">
              <a:solidFill>
                <a:sysClr val="windowText" lastClr="000000"/>
              </a:solidFill>
            </a:rPr>
            <a:t> Capex</a:t>
          </a:r>
          <a:r>
            <a:rPr lang="en-AU" sz="800" b="0">
              <a:solidFill>
                <a:sysClr val="windowText" lastClr="000000"/>
              </a:solidFill>
            </a:rPr>
            <a:t> </a:t>
          </a:r>
          <a:r>
            <a:rPr lang="en-AU" sz="800" b="0" baseline="0">
              <a:solidFill>
                <a:sysClr val="windowText" lastClr="000000"/>
              </a:solidFill>
            </a:rPr>
            <a:t>($)</a:t>
          </a:r>
          <a:endParaRPr lang="en-AU" sz="800" b="0">
            <a:solidFill>
              <a:sysClr val="windowText" lastClr="000000"/>
            </a:solidFill>
          </a:endParaRPr>
        </a:p>
      </xdr:txBody>
    </xdr:sp>
    <xdr:clientData/>
  </xdr:twoCellAnchor>
  <xdr:twoCellAnchor>
    <xdr:from>
      <xdr:col>6</xdr:col>
      <xdr:colOff>340722</xdr:colOff>
      <xdr:row>135</xdr:row>
      <xdr:rowOff>112705</xdr:rowOff>
    </xdr:from>
    <xdr:to>
      <xdr:col>8</xdr:col>
      <xdr:colOff>297180</xdr:colOff>
      <xdr:row>138</xdr:row>
      <xdr:rowOff>112705</xdr:rowOff>
    </xdr:to>
    <xdr:sp macro="" textlink="">
      <xdr:nvSpPr>
        <xdr:cNvPr id="116" name="Rectangle 115">
          <a:extLst>
            <a:ext uri="{FF2B5EF4-FFF2-40B4-BE49-F238E27FC236}">
              <a16:creationId xmlns:a16="http://schemas.microsoft.com/office/drawing/2014/main" id="{00000000-0008-0000-0200-000074000000}"/>
            </a:ext>
          </a:extLst>
        </xdr:cNvPr>
        <xdr:cNvSpPr/>
      </xdr:nvSpPr>
      <xdr:spPr>
        <a:xfrm>
          <a:off x="2329542" y="12045625"/>
          <a:ext cx="1099458" cy="388620"/>
        </a:xfrm>
        <a:prstGeom prst="rect">
          <a:avLst/>
        </a:prstGeom>
        <a:solidFill>
          <a:schemeClr val="bg2"/>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AU" sz="800">
              <a:solidFill>
                <a:sysClr val="windowText" lastClr="000000"/>
              </a:solidFill>
            </a:rPr>
            <a:t>RAB multiple</a:t>
          </a:r>
        </a:p>
      </xdr:txBody>
    </xdr:sp>
    <xdr:clientData/>
  </xdr:twoCellAnchor>
  <xdr:twoCellAnchor>
    <xdr:from>
      <xdr:col>8</xdr:col>
      <xdr:colOff>297180</xdr:colOff>
      <xdr:row>132</xdr:row>
      <xdr:rowOff>34290</xdr:rowOff>
    </xdr:from>
    <xdr:to>
      <xdr:col>15</xdr:col>
      <xdr:colOff>342900</xdr:colOff>
      <xdr:row>137</xdr:row>
      <xdr:rowOff>47935</xdr:rowOff>
    </xdr:to>
    <xdr:cxnSp macro="">
      <xdr:nvCxnSpPr>
        <xdr:cNvPr id="56" name="Elbow Connector 55">
          <a:extLst>
            <a:ext uri="{FF2B5EF4-FFF2-40B4-BE49-F238E27FC236}">
              <a16:creationId xmlns:a16="http://schemas.microsoft.com/office/drawing/2014/main" id="{00000000-0008-0000-0200-000038000000}"/>
            </a:ext>
          </a:extLst>
        </xdr:cNvPr>
        <xdr:cNvCxnSpPr>
          <a:stCxn id="116" idx="3"/>
          <a:endCxn id="110" idx="1"/>
        </xdr:cNvCxnSpPr>
      </xdr:nvCxnSpPr>
      <xdr:spPr>
        <a:xfrm flipV="1">
          <a:off x="3429000" y="11578590"/>
          <a:ext cx="4046220" cy="661345"/>
        </a:xfrm>
        <a:prstGeom prst="bentConnector3">
          <a:avLst>
            <a:gd name="adj1" fmla="val 50000"/>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563880</xdr:colOff>
      <xdr:row>165</xdr:row>
      <xdr:rowOff>106680</xdr:rowOff>
    </xdr:from>
    <xdr:to>
      <xdr:col>5</xdr:col>
      <xdr:colOff>548640</xdr:colOff>
      <xdr:row>168</xdr:row>
      <xdr:rowOff>106680</xdr:rowOff>
    </xdr:to>
    <xdr:sp macro="" textlink="">
      <xdr:nvSpPr>
        <xdr:cNvPr id="123" name="Rectangle 122">
          <a:extLst>
            <a:ext uri="{FF2B5EF4-FFF2-40B4-BE49-F238E27FC236}">
              <a16:creationId xmlns:a16="http://schemas.microsoft.com/office/drawing/2014/main" id="{00000000-0008-0000-0200-00007B000000}"/>
            </a:ext>
          </a:extLst>
        </xdr:cNvPr>
        <xdr:cNvSpPr/>
      </xdr:nvSpPr>
      <xdr:spPr>
        <a:xfrm>
          <a:off x="838200" y="16184880"/>
          <a:ext cx="1127760" cy="388620"/>
        </a:xfrm>
        <a:prstGeom prst="rect">
          <a:avLst/>
        </a:prstGeom>
        <a:solidFill>
          <a:schemeClr val="accent4">
            <a:lumMod val="20000"/>
            <a:lumOff val="80000"/>
          </a:schemeClr>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AU" sz="800">
              <a:solidFill>
                <a:sysClr val="windowText" lastClr="000000"/>
              </a:solidFill>
            </a:rPr>
            <a:t>Non-regulatory revenue ($)</a:t>
          </a:r>
        </a:p>
      </xdr:txBody>
    </xdr:sp>
    <xdr:clientData/>
  </xdr:twoCellAnchor>
  <xdr:twoCellAnchor>
    <xdr:from>
      <xdr:col>15</xdr:col>
      <xdr:colOff>265006</xdr:colOff>
      <xdr:row>165</xdr:row>
      <xdr:rowOff>110070</xdr:rowOff>
    </xdr:from>
    <xdr:to>
      <xdr:col>17</xdr:col>
      <xdr:colOff>358139</xdr:colOff>
      <xdr:row>168</xdr:row>
      <xdr:rowOff>110069</xdr:rowOff>
    </xdr:to>
    <xdr:sp macro="" textlink="">
      <xdr:nvSpPr>
        <xdr:cNvPr id="129" name="Rectangle 128">
          <a:extLst>
            <a:ext uri="{FF2B5EF4-FFF2-40B4-BE49-F238E27FC236}">
              <a16:creationId xmlns:a16="http://schemas.microsoft.com/office/drawing/2014/main" id="{00000000-0008-0000-0200-000081000000}"/>
            </a:ext>
          </a:extLst>
        </xdr:cNvPr>
        <xdr:cNvSpPr/>
      </xdr:nvSpPr>
      <xdr:spPr>
        <a:xfrm>
          <a:off x="7397326" y="16188270"/>
          <a:ext cx="1236133" cy="388619"/>
        </a:xfrm>
        <a:prstGeom prst="rect">
          <a:avLst/>
        </a:prstGeom>
        <a:solidFill>
          <a:schemeClr val="accent6">
            <a:lumMod val="20000"/>
            <a:lumOff val="80000"/>
          </a:schemeClr>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AU" sz="800" b="0">
              <a:solidFill>
                <a:sysClr val="windowText" lastClr="000000"/>
              </a:solidFill>
            </a:rPr>
            <a:t>Shareholder: Non-regulatory revenue </a:t>
          </a:r>
          <a:r>
            <a:rPr lang="en-AU" sz="800" b="0" baseline="0">
              <a:solidFill>
                <a:sysClr val="windowText" lastClr="000000"/>
              </a:solidFill>
            </a:rPr>
            <a:t>($)</a:t>
          </a:r>
          <a:endParaRPr lang="en-AU" sz="800" b="0">
            <a:solidFill>
              <a:sysClr val="windowText" lastClr="000000"/>
            </a:solidFill>
          </a:endParaRPr>
        </a:p>
      </xdr:txBody>
    </xdr:sp>
    <xdr:clientData/>
  </xdr:twoCellAnchor>
  <xdr:twoCellAnchor>
    <xdr:from>
      <xdr:col>8</xdr:col>
      <xdr:colOff>182880</xdr:colOff>
      <xdr:row>167</xdr:row>
      <xdr:rowOff>33746</xdr:rowOff>
    </xdr:from>
    <xdr:to>
      <xdr:col>15</xdr:col>
      <xdr:colOff>265006</xdr:colOff>
      <xdr:row>167</xdr:row>
      <xdr:rowOff>45300</xdr:rowOff>
    </xdr:to>
    <xdr:cxnSp macro="">
      <xdr:nvCxnSpPr>
        <xdr:cNvPr id="83" name="Straight Arrow Connector 82">
          <a:extLst>
            <a:ext uri="{FF2B5EF4-FFF2-40B4-BE49-F238E27FC236}">
              <a16:creationId xmlns:a16="http://schemas.microsoft.com/office/drawing/2014/main" id="{00000000-0008-0000-0200-000053000000}"/>
            </a:ext>
          </a:extLst>
        </xdr:cNvPr>
        <xdr:cNvCxnSpPr>
          <a:stCxn id="240" idx="3"/>
          <a:endCxn id="129" idx="1"/>
        </xdr:cNvCxnSpPr>
      </xdr:nvCxnSpPr>
      <xdr:spPr>
        <a:xfrm>
          <a:off x="3314700" y="16371026"/>
          <a:ext cx="4082626" cy="11554"/>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563880</xdr:colOff>
      <xdr:row>188</xdr:row>
      <xdr:rowOff>30480</xdr:rowOff>
    </xdr:from>
    <xdr:to>
      <xdr:col>6</xdr:col>
      <xdr:colOff>53340</xdr:colOff>
      <xdr:row>191</xdr:row>
      <xdr:rowOff>30480</xdr:rowOff>
    </xdr:to>
    <xdr:sp macro="" textlink="">
      <xdr:nvSpPr>
        <xdr:cNvPr id="134" name="Rectangle 133">
          <a:extLst>
            <a:ext uri="{FF2B5EF4-FFF2-40B4-BE49-F238E27FC236}">
              <a16:creationId xmlns:a16="http://schemas.microsoft.com/office/drawing/2014/main" id="{00000000-0008-0000-0200-000086000000}"/>
            </a:ext>
          </a:extLst>
        </xdr:cNvPr>
        <xdr:cNvSpPr/>
      </xdr:nvSpPr>
      <xdr:spPr>
        <a:xfrm>
          <a:off x="838200" y="3657600"/>
          <a:ext cx="1203960" cy="388620"/>
        </a:xfrm>
        <a:prstGeom prst="rect">
          <a:avLst/>
        </a:prstGeom>
        <a:solidFill>
          <a:schemeClr val="accent4">
            <a:lumMod val="20000"/>
            <a:lumOff val="80000"/>
          </a:schemeClr>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tIns="36000" rIns="36000" bIns="36000" rtlCol="0" anchor="ctr"/>
        <a:lstStyle/>
        <a:p>
          <a:pPr algn="ctr"/>
          <a:r>
            <a:rPr lang="en-AU" sz="800">
              <a:solidFill>
                <a:sysClr val="windowText" lastClr="000000"/>
              </a:solidFill>
            </a:rPr>
            <a:t>Demand</a:t>
          </a:r>
          <a:r>
            <a:rPr lang="en-AU" sz="800" baseline="0">
              <a:solidFill>
                <a:sysClr val="windowText" lastClr="000000"/>
              </a:solidFill>
            </a:rPr>
            <a:t> management </a:t>
          </a:r>
          <a:r>
            <a:rPr lang="en-AU" sz="800">
              <a:solidFill>
                <a:sysClr val="windowText" lastClr="000000"/>
              </a:solidFill>
            </a:rPr>
            <a:t>opex impact ($)</a:t>
          </a:r>
        </a:p>
      </xdr:txBody>
    </xdr:sp>
    <xdr:clientData/>
  </xdr:twoCellAnchor>
  <xdr:twoCellAnchor>
    <xdr:from>
      <xdr:col>15</xdr:col>
      <xdr:colOff>265006</xdr:colOff>
      <xdr:row>185</xdr:row>
      <xdr:rowOff>84670</xdr:rowOff>
    </xdr:from>
    <xdr:to>
      <xdr:col>17</xdr:col>
      <xdr:colOff>327659</xdr:colOff>
      <xdr:row>188</xdr:row>
      <xdr:rowOff>84669</xdr:rowOff>
    </xdr:to>
    <xdr:sp macro="" textlink="">
      <xdr:nvSpPr>
        <xdr:cNvPr id="136" name="Rectangle 135">
          <a:extLst>
            <a:ext uri="{FF2B5EF4-FFF2-40B4-BE49-F238E27FC236}">
              <a16:creationId xmlns:a16="http://schemas.microsoft.com/office/drawing/2014/main" id="{00000000-0008-0000-0200-000088000000}"/>
            </a:ext>
          </a:extLst>
        </xdr:cNvPr>
        <xdr:cNvSpPr/>
      </xdr:nvSpPr>
      <xdr:spPr>
        <a:xfrm>
          <a:off x="7397326" y="19012750"/>
          <a:ext cx="1205653" cy="388619"/>
        </a:xfrm>
        <a:prstGeom prst="rect">
          <a:avLst/>
        </a:prstGeom>
        <a:solidFill>
          <a:schemeClr val="accent6">
            <a:lumMod val="20000"/>
            <a:lumOff val="80000"/>
          </a:schemeClr>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tIns="36000" rIns="36000" bIns="36000" rtlCol="0" anchor="ctr"/>
        <a:lstStyle/>
        <a:p>
          <a:pPr algn="ctr"/>
          <a:r>
            <a:rPr lang="en-AU" sz="800" b="0">
              <a:solidFill>
                <a:sysClr val="windowText" lastClr="000000"/>
              </a:solidFill>
            </a:rPr>
            <a:t>Opex</a:t>
          </a:r>
          <a:r>
            <a:rPr lang="en-AU" sz="800" b="0" baseline="0">
              <a:solidFill>
                <a:sysClr val="windowText" lastClr="000000"/>
              </a:solidFill>
            </a:rPr>
            <a:t> impact ($)</a:t>
          </a:r>
          <a:endParaRPr lang="en-AU" sz="800" b="0">
            <a:solidFill>
              <a:sysClr val="windowText" lastClr="000000"/>
            </a:solidFill>
          </a:endParaRPr>
        </a:p>
      </xdr:txBody>
    </xdr:sp>
    <xdr:clientData/>
  </xdr:twoCellAnchor>
  <xdr:twoCellAnchor>
    <xdr:from>
      <xdr:col>15</xdr:col>
      <xdr:colOff>265006</xdr:colOff>
      <xdr:row>202</xdr:row>
      <xdr:rowOff>25404</xdr:rowOff>
    </xdr:from>
    <xdr:to>
      <xdr:col>17</xdr:col>
      <xdr:colOff>304799</xdr:colOff>
      <xdr:row>205</xdr:row>
      <xdr:rowOff>25403</xdr:rowOff>
    </xdr:to>
    <xdr:sp macro="" textlink="">
      <xdr:nvSpPr>
        <xdr:cNvPr id="138" name="Rectangle 137">
          <a:extLst>
            <a:ext uri="{FF2B5EF4-FFF2-40B4-BE49-F238E27FC236}">
              <a16:creationId xmlns:a16="http://schemas.microsoft.com/office/drawing/2014/main" id="{00000000-0008-0000-0200-00008A000000}"/>
            </a:ext>
          </a:extLst>
        </xdr:cNvPr>
        <xdr:cNvSpPr/>
      </xdr:nvSpPr>
      <xdr:spPr>
        <a:xfrm>
          <a:off x="7397326" y="21414744"/>
          <a:ext cx="1182793" cy="388619"/>
        </a:xfrm>
        <a:prstGeom prst="rect">
          <a:avLst/>
        </a:prstGeom>
        <a:solidFill>
          <a:schemeClr val="accent6">
            <a:lumMod val="20000"/>
            <a:lumOff val="80000"/>
          </a:schemeClr>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tIns="36000" rIns="36000" bIns="36000" rtlCol="0" anchor="ctr"/>
        <a:lstStyle/>
        <a:p>
          <a:pPr algn="ctr"/>
          <a:r>
            <a:rPr lang="en-AU" sz="800" b="0">
              <a:solidFill>
                <a:sysClr val="windowText" lastClr="000000"/>
              </a:solidFill>
            </a:rPr>
            <a:t>Incentive schemes</a:t>
          </a:r>
          <a:r>
            <a:rPr lang="en-AU" sz="800" b="0" baseline="0">
              <a:solidFill>
                <a:sysClr val="windowText" lastClr="000000"/>
              </a:solidFill>
            </a:rPr>
            <a:t> ($)</a:t>
          </a:r>
          <a:endParaRPr lang="en-AU" sz="800" b="0">
            <a:solidFill>
              <a:sysClr val="windowText" lastClr="000000"/>
            </a:solidFill>
          </a:endParaRPr>
        </a:p>
      </xdr:txBody>
    </xdr:sp>
    <xdr:clientData/>
  </xdr:twoCellAnchor>
  <xdr:twoCellAnchor>
    <xdr:from>
      <xdr:col>3</xdr:col>
      <xdr:colOff>563880</xdr:colOff>
      <xdr:row>195</xdr:row>
      <xdr:rowOff>13547</xdr:rowOff>
    </xdr:from>
    <xdr:to>
      <xdr:col>6</xdr:col>
      <xdr:colOff>60960</xdr:colOff>
      <xdr:row>198</xdr:row>
      <xdr:rowOff>13547</xdr:rowOff>
    </xdr:to>
    <xdr:sp macro="" textlink="">
      <xdr:nvSpPr>
        <xdr:cNvPr id="139" name="Rectangle 138">
          <a:extLst>
            <a:ext uri="{FF2B5EF4-FFF2-40B4-BE49-F238E27FC236}">
              <a16:creationId xmlns:a16="http://schemas.microsoft.com/office/drawing/2014/main" id="{00000000-0008-0000-0200-00008B000000}"/>
            </a:ext>
          </a:extLst>
        </xdr:cNvPr>
        <xdr:cNvSpPr/>
      </xdr:nvSpPr>
      <xdr:spPr>
        <a:xfrm>
          <a:off x="838200" y="20496107"/>
          <a:ext cx="1211580" cy="388620"/>
        </a:xfrm>
        <a:prstGeom prst="rect">
          <a:avLst/>
        </a:prstGeom>
        <a:solidFill>
          <a:schemeClr val="accent4">
            <a:lumMod val="20000"/>
            <a:lumOff val="80000"/>
          </a:schemeClr>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tIns="36000" rIns="36000" bIns="36000" rtlCol="0" anchor="ctr"/>
        <a:lstStyle/>
        <a:p>
          <a:pPr algn="ctr"/>
          <a:r>
            <a:rPr lang="en-AU" sz="800">
              <a:solidFill>
                <a:sysClr val="windowText" lastClr="000000"/>
              </a:solidFill>
            </a:rPr>
            <a:t>STPIS ($)</a:t>
          </a:r>
        </a:p>
      </xdr:txBody>
    </xdr:sp>
    <xdr:clientData/>
  </xdr:twoCellAnchor>
  <xdr:twoCellAnchor>
    <xdr:from>
      <xdr:col>3</xdr:col>
      <xdr:colOff>563880</xdr:colOff>
      <xdr:row>200</xdr:row>
      <xdr:rowOff>22014</xdr:rowOff>
    </xdr:from>
    <xdr:to>
      <xdr:col>6</xdr:col>
      <xdr:colOff>68580</xdr:colOff>
      <xdr:row>203</xdr:row>
      <xdr:rowOff>22014</xdr:rowOff>
    </xdr:to>
    <xdr:sp macro="" textlink="">
      <xdr:nvSpPr>
        <xdr:cNvPr id="140" name="Rectangle 139">
          <a:extLst>
            <a:ext uri="{FF2B5EF4-FFF2-40B4-BE49-F238E27FC236}">
              <a16:creationId xmlns:a16="http://schemas.microsoft.com/office/drawing/2014/main" id="{00000000-0008-0000-0200-00008C000000}"/>
            </a:ext>
          </a:extLst>
        </xdr:cNvPr>
        <xdr:cNvSpPr/>
      </xdr:nvSpPr>
      <xdr:spPr>
        <a:xfrm>
          <a:off x="838200" y="21152274"/>
          <a:ext cx="1219200" cy="388620"/>
        </a:xfrm>
        <a:prstGeom prst="rect">
          <a:avLst/>
        </a:prstGeom>
        <a:solidFill>
          <a:schemeClr val="accent4">
            <a:lumMod val="20000"/>
            <a:lumOff val="80000"/>
          </a:schemeClr>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tIns="36000" rIns="36000" bIns="36000" rtlCol="0" anchor="ctr"/>
        <a:lstStyle/>
        <a:p>
          <a:pPr algn="ctr"/>
          <a:r>
            <a:rPr lang="en-AU" sz="800">
              <a:solidFill>
                <a:sysClr val="windowText" lastClr="000000"/>
              </a:solidFill>
            </a:rPr>
            <a:t>EBSS ($)</a:t>
          </a:r>
        </a:p>
      </xdr:txBody>
    </xdr:sp>
    <xdr:clientData/>
  </xdr:twoCellAnchor>
  <xdr:twoCellAnchor>
    <xdr:from>
      <xdr:col>3</xdr:col>
      <xdr:colOff>563880</xdr:colOff>
      <xdr:row>205</xdr:row>
      <xdr:rowOff>38947</xdr:rowOff>
    </xdr:from>
    <xdr:to>
      <xdr:col>6</xdr:col>
      <xdr:colOff>76200</xdr:colOff>
      <xdr:row>208</xdr:row>
      <xdr:rowOff>38947</xdr:rowOff>
    </xdr:to>
    <xdr:sp macro="" textlink="">
      <xdr:nvSpPr>
        <xdr:cNvPr id="141" name="Rectangle 140">
          <a:extLst>
            <a:ext uri="{FF2B5EF4-FFF2-40B4-BE49-F238E27FC236}">
              <a16:creationId xmlns:a16="http://schemas.microsoft.com/office/drawing/2014/main" id="{00000000-0008-0000-0200-00008D000000}"/>
            </a:ext>
          </a:extLst>
        </xdr:cNvPr>
        <xdr:cNvSpPr/>
      </xdr:nvSpPr>
      <xdr:spPr>
        <a:xfrm>
          <a:off x="838200" y="21816907"/>
          <a:ext cx="1226820" cy="388620"/>
        </a:xfrm>
        <a:prstGeom prst="rect">
          <a:avLst/>
        </a:prstGeom>
        <a:solidFill>
          <a:schemeClr val="accent4">
            <a:lumMod val="20000"/>
            <a:lumOff val="80000"/>
          </a:schemeClr>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tIns="36000" rIns="36000" bIns="36000" rtlCol="0" anchor="ctr"/>
        <a:lstStyle/>
        <a:p>
          <a:pPr algn="ctr"/>
          <a:r>
            <a:rPr lang="en-AU" sz="800">
              <a:solidFill>
                <a:sysClr val="windowText" lastClr="000000"/>
              </a:solidFill>
            </a:rPr>
            <a:t>CESS ($)</a:t>
          </a:r>
        </a:p>
      </xdr:txBody>
    </xdr:sp>
    <xdr:clientData/>
  </xdr:twoCellAnchor>
  <xdr:twoCellAnchor>
    <xdr:from>
      <xdr:col>6</xdr:col>
      <xdr:colOff>60960</xdr:colOff>
      <xdr:row>196</xdr:row>
      <xdr:rowOff>78317</xdr:rowOff>
    </xdr:from>
    <xdr:to>
      <xdr:col>15</xdr:col>
      <xdr:colOff>265006</xdr:colOff>
      <xdr:row>203</xdr:row>
      <xdr:rowOff>90174</xdr:rowOff>
    </xdr:to>
    <xdr:cxnSp macro="">
      <xdr:nvCxnSpPr>
        <xdr:cNvPr id="92" name="Elbow Connector 91">
          <a:extLst>
            <a:ext uri="{FF2B5EF4-FFF2-40B4-BE49-F238E27FC236}">
              <a16:creationId xmlns:a16="http://schemas.microsoft.com/office/drawing/2014/main" id="{00000000-0008-0000-0200-00005C000000}"/>
            </a:ext>
          </a:extLst>
        </xdr:cNvPr>
        <xdr:cNvCxnSpPr>
          <a:stCxn id="139" idx="3"/>
          <a:endCxn id="138" idx="1"/>
        </xdr:cNvCxnSpPr>
      </xdr:nvCxnSpPr>
      <xdr:spPr>
        <a:xfrm>
          <a:off x="2049780" y="20690417"/>
          <a:ext cx="5347546" cy="918637"/>
        </a:xfrm>
        <a:prstGeom prst="bentConnector3">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76200</xdr:colOff>
      <xdr:row>203</xdr:row>
      <xdr:rowOff>90174</xdr:rowOff>
    </xdr:from>
    <xdr:to>
      <xdr:col>15</xdr:col>
      <xdr:colOff>265006</xdr:colOff>
      <xdr:row>206</xdr:row>
      <xdr:rowOff>103717</xdr:rowOff>
    </xdr:to>
    <xdr:cxnSp macro="">
      <xdr:nvCxnSpPr>
        <xdr:cNvPr id="95" name="Elbow Connector 94">
          <a:extLst>
            <a:ext uri="{FF2B5EF4-FFF2-40B4-BE49-F238E27FC236}">
              <a16:creationId xmlns:a16="http://schemas.microsoft.com/office/drawing/2014/main" id="{00000000-0008-0000-0200-00005F000000}"/>
            </a:ext>
          </a:extLst>
        </xdr:cNvPr>
        <xdr:cNvCxnSpPr>
          <a:stCxn id="141" idx="3"/>
          <a:endCxn id="138" idx="1"/>
        </xdr:cNvCxnSpPr>
      </xdr:nvCxnSpPr>
      <xdr:spPr>
        <a:xfrm flipV="1">
          <a:off x="2065020" y="21609054"/>
          <a:ext cx="5332306" cy="402163"/>
        </a:xfrm>
        <a:prstGeom prst="bentConnector3">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12</xdr:col>
      <xdr:colOff>569807</xdr:colOff>
      <xdr:row>201</xdr:row>
      <xdr:rowOff>94826</xdr:rowOff>
    </xdr:from>
    <xdr:to>
      <xdr:col>13</xdr:col>
      <xdr:colOff>95432</xdr:colOff>
      <xdr:row>203</xdr:row>
      <xdr:rowOff>52855</xdr:rowOff>
    </xdr:to>
    <xdr:sp macro="" textlink="">
      <xdr:nvSpPr>
        <xdr:cNvPr id="148" name="Rectangle 147">
          <a:extLst>
            <a:ext uri="{FF2B5EF4-FFF2-40B4-BE49-F238E27FC236}">
              <a16:creationId xmlns:a16="http://schemas.microsoft.com/office/drawing/2014/main" id="{00000000-0008-0000-0200-000094000000}"/>
            </a:ext>
          </a:extLst>
        </xdr:cNvPr>
        <xdr:cNvSpPr/>
      </xdr:nvSpPr>
      <xdr:spPr>
        <a:xfrm>
          <a:off x="5987627" y="21354626"/>
          <a:ext cx="97125" cy="217109"/>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AU" sz="1200">
              <a:solidFill>
                <a:sysClr val="windowText" lastClr="000000"/>
              </a:solidFill>
            </a:rPr>
            <a:t>∑</a:t>
          </a:r>
        </a:p>
      </xdr:txBody>
    </xdr:sp>
    <xdr:clientData/>
  </xdr:twoCellAnchor>
  <xdr:twoCellAnchor>
    <xdr:from>
      <xdr:col>3</xdr:col>
      <xdr:colOff>563880</xdr:colOff>
      <xdr:row>220</xdr:row>
      <xdr:rowOff>64347</xdr:rowOff>
    </xdr:from>
    <xdr:to>
      <xdr:col>6</xdr:col>
      <xdr:colOff>91440</xdr:colOff>
      <xdr:row>223</xdr:row>
      <xdr:rowOff>64347</xdr:rowOff>
    </xdr:to>
    <xdr:sp macro="" textlink="">
      <xdr:nvSpPr>
        <xdr:cNvPr id="149" name="Rectangle 148">
          <a:extLst>
            <a:ext uri="{FF2B5EF4-FFF2-40B4-BE49-F238E27FC236}">
              <a16:creationId xmlns:a16="http://schemas.microsoft.com/office/drawing/2014/main" id="{00000000-0008-0000-0200-000095000000}"/>
            </a:ext>
          </a:extLst>
        </xdr:cNvPr>
        <xdr:cNvSpPr/>
      </xdr:nvSpPr>
      <xdr:spPr>
        <a:xfrm>
          <a:off x="838200" y="23655867"/>
          <a:ext cx="1242060" cy="388620"/>
        </a:xfrm>
        <a:prstGeom prst="rect">
          <a:avLst/>
        </a:prstGeom>
        <a:solidFill>
          <a:schemeClr val="accent4">
            <a:lumMod val="20000"/>
            <a:lumOff val="80000"/>
          </a:schemeClr>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tIns="36000" rIns="36000" bIns="36000" rtlCol="0" anchor="ctr"/>
        <a:lstStyle/>
        <a:p>
          <a:pPr algn="ctr"/>
          <a:r>
            <a:rPr lang="en-AU" sz="800">
              <a:solidFill>
                <a:sysClr val="windowText" lastClr="000000"/>
              </a:solidFill>
            </a:rPr>
            <a:t>Safety cost/benefit ($)</a:t>
          </a:r>
        </a:p>
      </xdr:txBody>
    </xdr:sp>
    <xdr:clientData/>
  </xdr:twoCellAnchor>
  <xdr:twoCellAnchor>
    <xdr:from>
      <xdr:col>15</xdr:col>
      <xdr:colOff>265006</xdr:colOff>
      <xdr:row>220</xdr:row>
      <xdr:rowOff>67737</xdr:rowOff>
    </xdr:from>
    <xdr:to>
      <xdr:col>17</xdr:col>
      <xdr:colOff>312419</xdr:colOff>
      <xdr:row>223</xdr:row>
      <xdr:rowOff>67736</xdr:rowOff>
    </xdr:to>
    <xdr:sp macro="" textlink="">
      <xdr:nvSpPr>
        <xdr:cNvPr id="153" name="Rectangle 152">
          <a:extLst>
            <a:ext uri="{FF2B5EF4-FFF2-40B4-BE49-F238E27FC236}">
              <a16:creationId xmlns:a16="http://schemas.microsoft.com/office/drawing/2014/main" id="{00000000-0008-0000-0200-000099000000}"/>
            </a:ext>
          </a:extLst>
        </xdr:cNvPr>
        <xdr:cNvSpPr/>
      </xdr:nvSpPr>
      <xdr:spPr>
        <a:xfrm>
          <a:off x="7397326" y="23659257"/>
          <a:ext cx="1190413" cy="388619"/>
        </a:xfrm>
        <a:prstGeom prst="rect">
          <a:avLst/>
        </a:prstGeom>
        <a:solidFill>
          <a:schemeClr val="accent6">
            <a:lumMod val="20000"/>
            <a:lumOff val="80000"/>
          </a:schemeClr>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tIns="36000" rIns="36000" bIns="36000" rtlCol="0" anchor="ctr"/>
        <a:lstStyle/>
        <a:p>
          <a:pPr algn="ctr"/>
          <a:r>
            <a:rPr lang="en-AU" sz="800" b="0" baseline="0">
              <a:solidFill>
                <a:sysClr val="windowText" lastClr="000000"/>
              </a:solidFill>
            </a:rPr>
            <a:t>Safety cost/benefit ($)</a:t>
          </a:r>
          <a:endParaRPr lang="en-AU" sz="800" b="0">
            <a:solidFill>
              <a:sysClr val="windowText" lastClr="000000"/>
            </a:solidFill>
          </a:endParaRPr>
        </a:p>
      </xdr:txBody>
    </xdr:sp>
    <xdr:clientData/>
  </xdr:twoCellAnchor>
  <xdr:twoCellAnchor>
    <xdr:from>
      <xdr:col>6</xdr:col>
      <xdr:colOff>91440</xdr:colOff>
      <xdr:row>221</xdr:row>
      <xdr:rowOff>129117</xdr:rowOff>
    </xdr:from>
    <xdr:to>
      <xdr:col>15</xdr:col>
      <xdr:colOff>265006</xdr:colOff>
      <xdr:row>222</xdr:row>
      <xdr:rowOff>2967</xdr:rowOff>
    </xdr:to>
    <xdr:cxnSp macro="">
      <xdr:nvCxnSpPr>
        <xdr:cNvPr id="106" name="Straight Arrow Connector 105">
          <a:extLst>
            <a:ext uri="{FF2B5EF4-FFF2-40B4-BE49-F238E27FC236}">
              <a16:creationId xmlns:a16="http://schemas.microsoft.com/office/drawing/2014/main" id="{00000000-0008-0000-0200-00006A000000}"/>
            </a:ext>
          </a:extLst>
        </xdr:cNvPr>
        <xdr:cNvCxnSpPr>
          <a:stCxn id="149" idx="3"/>
          <a:endCxn id="153" idx="1"/>
        </xdr:cNvCxnSpPr>
      </xdr:nvCxnSpPr>
      <xdr:spPr>
        <a:xfrm>
          <a:off x="2080260" y="23850177"/>
          <a:ext cx="5317066" cy="339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167640</xdr:colOff>
      <xdr:row>169</xdr:row>
      <xdr:rowOff>46567</xdr:rowOff>
    </xdr:from>
    <xdr:to>
      <xdr:col>12</xdr:col>
      <xdr:colOff>53340</xdr:colOff>
      <xdr:row>172</xdr:row>
      <xdr:rowOff>46567</xdr:rowOff>
    </xdr:to>
    <xdr:sp macro="" textlink="">
      <xdr:nvSpPr>
        <xdr:cNvPr id="156" name="Rectangle 155">
          <a:extLst>
            <a:ext uri="{FF2B5EF4-FFF2-40B4-BE49-F238E27FC236}">
              <a16:creationId xmlns:a16="http://schemas.microsoft.com/office/drawing/2014/main" id="{00000000-0008-0000-0200-00009C000000}"/>
            </a:ext>
          </a:extLst>
        </xdr:cNvPr>
        <xdr:cNvSpPr/>
      </xdr:nvSpPr>
      <xdr:spPr>
        <a:xfrm>
          <a:off x="4442460" y="16642927"/>
          <a:ext cx="1028700" cy="388620"/>
        </a:xfrm>
        <a:prstGeom prst="rect">
          <a:avLst/>
        </a:prstGeom>
        <a:solidFill>
          <a:schemeClr val="bg2"/>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AU" sz="800">
              <a:solidFill>
                <a:sysClr val="windowText" lastClr="000000"/>
              </a:solidFill>
            </a:rPr>
            <a:t>1 - SAG factor</a:t>
          </a:r>
        </a:p>
      </xdr:txBody>
    </xdr:sp>
    <xdr:clientData/>
  </xdr:twoCellAnchor>
  <xdr:twoCellAnchor>
    <xdr:from>
      <xdr:col>8</xdr:col>
      <xdr:colOff>78923</xdr:colOff>
      <xdr:row>168</xdr:row>
      <xdr:rowOff>15239</xdr:rowOff>
    </xdr:from>
    <xdr:to>
      <xdr:col>10</xdr:col>
      <xdr:colOff>167641</xdr:colOff>
      <xdr:row>170</xdr:row>
      <xdr:rowOff>111336</xdr:rowOff>
    </xdr:to>
    <xdr:cxnSp macro="">
      <xdr:nvCxnSpPr>
        <xdr:cNvPr id="111" name="Elbow Connector 110">
          <a:extLst>
            <a:ext uri="{FF2B5EF4-FFF2-40B4-BE49-F238E27FC236}">
              <a16:creationId xmlns:a16="http://schemas.microsoft.com/office/drawing/2014/main" id="{00000000-0008-0000-0200-00006F000000}"/>
            </a:ext>
          </a:extLst>
        </xdr:cNvPr>
        <xdr:cNvCxnSpPr>
          <a:stCxn id="240" idx="2"/>
          <a:endCxn id="156" idx="1"/>
        </xdr:cNvCxnSpPr>
      </xdr:nvCxnSpPr>
      <xdr:spPr>
        <a:xfrm rot="16200000" flipH="1">
          <a:off x="3649013" y="16043789"/>
          <a:ext cx="355177" cy="1231718"/>
        </a:xfrm>
        <a:prstGeom prst="bentConnector2">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12</xdr:col>
      <xdr:colOff>53340</xdr:colOff>
      <xdr:row>167</xdr:row>
      <xdr:rowOff>45300</xdr:rowOff>
    </xdr:from>
    <xdr:to>
      <xdr:col>15</xdr:col>
      <xdr:colOff>265006</xdr:colOff>
      <xdr:row>170</xdr:row>
      <xdr:rowOff>111337</xdr:rowOff>
    </xdr:to>
    <xdr:cxnSp macro="">
      <xdr:nvCxnSpPr>
        <xdr:cNvPr id="119" name="Elbow Connector 118">
          <a:extLst>
            <a:ext uri="{FF2B5EF4-FFF2-40B4-BE49-F238E27FC236}">
              <a16:creationId xmlns:a16="http://schemas.microsoft.com/office/drawing/2014/main" id="{00000000-0008-0000-0200-000077000000}"/>
            </a:ext>
          </a:extLst>
        </xdr:cNvPr>
        <xdr:cNvCxnSpPr>
          <a:stCxn id="156" idx="3"/>
          <a:endCxn id="129" idx="1"/>
        </xdr:cNvCxnSpPr>
      </xdr:nvCxnSpPr>
      <xdr:spPr>
        <a:xfrm flipV="1">
          <a:off x="5471160" y="16382580"/>
          <a:ext cx="1926166" cy="454657"/>
        </a:xfrm>
        <a:prstGeom prst="bentConnector3">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62652</xdr:colOff>
      <xdr:row>165</xdr:row>
      <xdr:rowOff>101601</xdr:rowOff>
    </xdr:from>
    <xdr:to>
      <xdr:col>7</xdr:col>
      <xdr:colOff>449579</xdr:colOff>
      <xdr:row>167</xdr:row>
      <xdr:rowOff>30480</xdr:rowOff>
    </xdr:to>
    <xdr:sp macro="" textlink="">
      <xdr:nvSpPr>
        <xdr:cNvPr id="162" name="Rectangle 161">
          <a:extLst>
            <a:ext uri="{FF2B5EF4-FFF2-40B4-BE49-F238E27FC236}">
              <a16:creationId xmlns:a16="http://schemas.microsoft.com/office/drawing/2014/main" id="{00000000-0008-0000-0200-0000A2000000}"/>
            </a:ext>
          </a:extLst>
        </xdr:cNvPr>
        <xdr:cNvSpPr/>
      </xdr:nvSpPr>
      <xdr:spPr>
        <a:xfrm>
          <a:off x="2051472" y="16179801"/>
          <a:ext cx="958427" cy="187959"/>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AU" sz="800" i="1">
              <a:solidFill>
                <a:schemeClr val="tx1"/>
              </a:solidFill>
            </a:rPr>
            <a:t>Subject to SAG?</a:t>
          </a:r>
        </a:p>
      </xdr:txBody>
    </xdr:sp>
    <xdr:clientData/>
  </xdr:twoCellAnchor>
  <xdr:twoCellAnchor>
    <xdr:from>
      <xdr:col>7</xdr:col>
      <xdr:colOff>571259</xdr:colOff>
      <xdr:row>165</xdr:row>
      <xdr:rowOff>101600</xdr:rowOff>
    </xdr:from>
    <xdr:to>
      <xdr:col>9</xdr:col>
      <xdr:colOff>83578</xdr:colOff>
      <xdr:row>167</xdr:row>
      <xdr:rowOff>44269</xdr:rowOff>
    </xdr:to>
    <xdr:sp macro="" textlink="">
      <xdr:nvSpPr>
        <xdr:cNvPr id="163" name="Rectangle 162">
          <a:extLst>
            <a:ext uri="{FF2B5EF4-FFF2-40B4-BE49-F238E27FC236}">
              <a16:creationId xmlns:a16="http://schemas.microsoft.com/office/drawing/2014/main" id="{00000000-0008-0000-0200-0000A3000000}"/>
            </a:ext>
          </a:extLst>
        </xdr:cNvPr>
        <xdr:cNvSpPr/>
      </xdr:nvSpPr>
      <xdr:spPr>
        <a:xfrm>
          <a:off x="3131579" y="16179800"/>
          <a:ext cx="655319" cy="201749"/>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AU" sz="800" i="1">
              <a:solidFill>
                <a:schemeClr val="tx1"/>
              </a:solidFill>
            </a:rPr>
            <a:t>No</a:t>
          </a:r>
        </a:p>
      </xdr:txBody>
    </xdr:sp>
    <xdr:clientData/>
  </xdr:twoCellAnchor>
  <xdr:twoCellAnchor>
    <xdr:from>
      <xdr:col>7</xdr:col>
      <xdr:colOff>115148</xdr:colOff>
      <xdr:row>168</xdr:row>
      <xdr:rowOff>88052</xdr:rowOff>
    </xdr:from>
    <xdr:to>
      <xdr:col>8</xdr:col>
      <xdr:colOff>290407</xdr:colOff>
      <xdr:row>170</xdr:row>
      <xdr:rowOff>28181</xdr:rowOff>
    </xdr:to>
    <xdr:sp macro="" textlink="">
      <xdr:nvSpPr>
        <xdr:cNvPr id="164" name="Rectangle 163">
          <a:extLst>
            <a:ext uri="{FF2B5EF4-FFF2-40B4-BE49-F238E27FC236}">
              <a16:creationId xmlns:a16="http://schemas.microsoft.com/office/drawing/2014/main" id="{00000000-0008-0000-0200-0000A4000000}"/>
            </a:ext>
          </a:extLst>
        </xdr:cNvPr>
        <xdr:cNvSpPr/>
      </xdr:nvSpPr>
      <xdr:spPr>
        <a:xfrm>
          <a:off x="2675468" y="16554872"/>
          <a:ext cx="746759" cy="199209"/>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AU" sz="800" i="1">
              <a:solidFill>
                <a:schemeClr val="tx1"/>
              </a:solidFill>
            </a:rPr>
            <a:t>Yes</a:t>
          </a:r>
        </a:p>
      </xdr:txBody>
    </xdr:sp>
    <xdr:clientData/>
  </xdr:twoCellAnchor>
  <xdr:twoCellAnchor>
    <xdr:from>
      <xdr:col>9</xdr:col>
      <xdr:colOff>458288</xdr:colOff>
      <xdr:row>169</xdr:row>
      <xdr:rowOff>16934</xdr:rowOff>
    </xdr:from>
    <xdr:to>
      <xdr:col>10</xdr:col>
      <xdr:colOff>126153</xdr:colOff>
      <xdr:row>170</xdr:row>
      <xdr:rowOff>101963</xdr:rowOff>
    </xdr:to>
    <xdr:sp macro="" textlink="">
      <xdr:nvSpPr>
        <xdr:cNvPr id="165" name="Rectangle 164">
          <a:extLst>
            <a:ext uri="{FF2B5EF4-FFF2-40B4-BE49-F238E27FC236}">
              <a16:creationId xmlns:a16="http://schemas.microsoft.com/office/drawing/2014/main" id="{00000000-0008-0000-0200-0000A5000000}"/>
            </a:ext>
          </a:extLst>
        </xdr:cNvPr>
        <xdr:cNvSpPr/>
      </xdr:nvSpPr>
      <xdr:spPr>
        <a:xfrm>
          <a:off x="4161608" y="16613294"/>
          <a:ext cx="239365" cy="214569"/>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AU" sz="1200">
              <a:solidFill>
                <a:sysClr val="windowText" lastClr="000000"/>
              </a:solidFill>
            </a:rPr>
            <a:t>×</a:t>
          </a:r>
        </a:p>
      </xdr:txBody>
    </xdr:sp>
    <xdr:clientData/>
  </xdr:twoCellAnchor>
  <xdr:twoCellAnchor>
    <xdr:from>
      <xdr:col>6</xdr:col>
      <xdr:colOff>359833</xdr:colOff>
      <xdr:row>261</xdr:row>
      <xdr:rowOff>96520</xdr:rowOff>
    </xdr:from>
    <xdr:to>
      <xdr:col>6</xdr:col>
      <xdr:colOff>454418</xdr:colOff>
      <xdr:row>263</xdr:row>
      <xdr:rowOff>54549</xdr:rowOff>
    </xdr:to>
    <xdr:sp macro="" textlink="">
      <xdr:nvSpPr>
        <xdr:cNvPr id="198" name="Rectangle 197">
          <a:extLst>
            <a:ext uri="{FF2B5EF4-FFF2-40B4-BE49-F238E27FC236}">
              <a16:creationId xmlns:a16="http://schemas.microsoft.com/office/drawing/2014/main" id="{00000000-0008-0000-0200-0000C6000000}"/>
            </a:ext>
          </a:extLst>
        </xdr:cNvPr>
        <xdr:cNvSpPr/>
      </xdr:nvSpPr>
      <xdr:spPr>
        <a:xfrm>
          <a:off x="2348653" y="29387800"/>
          <a:ext cx="94585" cy="217109"/>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AU" sz="1200">
              <a:solidFill>
                <a:sysClr val="windowText" lastClr="000000"/>
              </a:solidFill>
            </a:rPr>
            <a:t>∑</a:t>
          </a:r>
        </a:p>
      </xdr:txBody>
    </xdr:sp>
    <xdr:clientData/>
  </xdr:twoCellAnchor>
  <xdr:twoCellAnchor>
    <xdr:from>
      <xdr:col>3</xdr:col>
      <xdr:colOff>554568</xdr:colOff>
      <xdr:row>320</xdr:row>
      <xdr:rowOff>62050</xdr:rowOff>
    </xdr:from>
    <xdr:to>
      <xdr:col>6</xdr:col>
      <xdr:colOff>129540</xdr:colOff>
      <xdr:row>323</xdr:row>
      <xdr:rowOff>62049</xdr:rowOff>
    </xdr:to>
    <xdr:sp macro="" textlink="">
      <xdr:nvSpPr>
        <xdr:cNvPr id="215" name="Rectangle 214">
          <a:extLst>
            <a:ext uri="{FF2B5EF4-FFF2-40B4-BE49-F238E27FC236}">
              <a16:creationId xmlns:a16="http://schemas.microsoft.com/office/drawing/2014/main" id="{00000000-0008-0000-0200-0000D7000000}"/>
            </a:ext>
          </a:extLst>
        </xdr:cNvPr>
        <xdr:cNvSpPr/>
      </xdr:nvSpPr>
      <xdr:spPr>
        <a:xfrm>
          <a:off x="828888" y="41530090"/>
          <a:ext cx="1289472" cy="388619"/>
        </a:xfrm>
        <a:prstGeom prst="rect">
          <a:avLst/>
        </a:prstGeom>
        <a:solidFill>
          <a:schemeClr val="accent6">
            <a:lumMod val="20000"/>
            <a:lumOff val="80000"/>
          </a:schemeClr>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AU" sz="800" b="0">
              <a:solidFill>
                <a:sysClr val="windowText" lastClr="000000"/>
              </a:solidFill>
            </a:rPr>
            <a:t>DUOS (Regulatory revenue, </a:t>
          </a:r>
          <a:r>
            <a:rPr lang="en-AU" sz="800" b="0" baseline="0">
              <a:solidFill>
                <a:sysClr val="windowText" lastClr="000000"/>
              </a:solidFill>
            </a:rPr>
            <a:t>$)</a:t>
          </a:r>
          <a:endParaRPr lang="en-AU" sz="800" b="0">
            <a:solidFill>
              <a:sysClr val="windowText" lastClr="000000"/>
            </a:solidFill>
          </a:endParaRPr>
        </a:p>
      </xdr:txBody>
    </xdr:sp>
    <xdr:clientData/>
  </xdr:twoCellAnchor>
  <xdr:twoCellAnchor>
    <xdr:from>
      <xdr:col>3</xdr:col>
      <xdr:colOff>545495</xdr:colOff>
      <xdr:row>360</xdr:row>
      <xdr:rowOff>115269</xdr:rowOff>
    </xdr:from>
    <xdr:to>
      <xdr:col>6</xdr:col>
      <xdr:colOff>129540</xdr:colOff>
      <xdr:row>363</xdr:row>
      <xdr:rowOff>115269</xdr:rowOff>
    </xdr:to>
    <xdr:sp macro="" textlink="">
      <xdr:nvSpPr>
        <xdr:cNvPr id="216" name="Rectangle 215">
          <a:extLst>
            <a:ext uri="{FF2B5EF4-FFF2-40B4-BE49-F238E27FC236}">
              <a16:creationId xmlns:a16="http://schemas.microsoft.com/office/drawing/2014/main" id="{00000000-0008-0000-0200-0000D8000000}"/>
            </a:ext>
          </a:extLst>
        </xdr:cNvPr>
        <xdr:cNvSpPr/>
      </xdr:nvSpPr>
      <xdr:spPr>
        <a:xfrm>
          <a:off x="819815" y="42360549"/>
          <a:ext cx="1298545" cy="388620"/>
        </a:xfrm>
        <a:prstGeom prst="rect">
          <a:avLst/>
        </a:prstGeom>
        <a:solidFill>
          <a:schemeClr val="accent6">
            <a:lumMod val="20000"/>
            <a:lumOff val="80000"/>
          </a:schemeClr>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AU" sz="800" b="0">
              <a:solidFill>
                <a:sysClr val="windowText" lastClr="000000"/>
              </a:solidFill>
            </a:rPr>
            <a:t>Future Capex </a:t>
          </a:r>
          <a:r>
            <a:rPr lang="en-AU" sz="800" b="0" baseline="0">
              <a:solidFill>
                <a:sysClr val="windowText" lastClr="000000"/>
              </a:solidFill>
            </a:rPr>
            <a:t>($)</a:t>
          </a:r>
          <a:endParaRPr lang="en-AU" sz="800" b="0">
            <a:solidFill>
              <a:sysClr val="windowText" lastClr="000000"/>
            </a:solidFill>
          </a:endParaRPr>
        </a:p>
      </xdr:txBody>
    </xdr:sp>
    <xdr:clientData/>
  </xdr:twoCellAnchor>
  <xdr:twoCellAnchor>
    <xdr:from>
      <xdr:col>3</xdr:col>
      <xdr:colOff>545495</xdr:colOff>
      <xdr:row>356</xdr:row>
      <xdr:rowOff>122042</xdr:rowOff>
    </xdr:from>
    <xdr:to>
      <xdr:col>6</xdr:col>
      <xdr:colOff>137160</xdr:colOff>
      <xdr:row>359</xdr:row>
      <xdr:rowOff>122041</xdr:rowOff>
    </xdr:to>
    <xdr:sp macro="" textlink="">
      <xdr:nvSpPr>
        <xdr:cNvPr id="217" name="Rectangle 216">
          <a:extLst>
            <a:ext uri="{FF2B5EF4-FFF2-40B4-BE49-F238E27FC236}">
              <a16:creationId xmlns:a16="http://schemas.microsoft.com/office/drawing/2014/main" id="{00000000-0008-0000-0200-0000D9000000}"/>
            </a:ext>
          </a:extLst>
        </xdr:cNvPr>
        <xdr:cNvSpPr/>
      </xdr:nvSpPr>
      <xdr:spPr>
        <a:xfrm>
          <a:off x="819815" y="46253522"/>
          <a:ext cx="1306165" cy="388619"/>
        </a:xfrm>
        <a:prstGeom prst="rect">
          <a:avLst/>
        </a:prstGeom>
        <a:solidFill>
          <a:schemeClr val="accent6">
            <a:lumMod val="20000"/>
            <a:lumOff val="80000"/>
          </a:schemeClr>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AU" sz="800" b="0">
              <a:solidFill>
                <a:sysClr val="windowText" lastClr="000000"/>
              </a:solidFill>
            </a:rPr>
            <a:t>Total</a:t>
          </a:r>
          <a:r>
            <a:rPr lang="en-AU" sz="800" b="0" baseline="0">
              <a:solidFill>
                <a:sysClr val="windowText" lastClr="000000"/>
              </a:solidFill>
            </a:rPr>
            <a:t> initial Capex</a:t>
          </a:r>
          <a:r>
            <a:rPr lang="en-AU" sz="800" b="0">
              <a:solidFill>
                <a:sysClr val="windowText" lastClr="000000"/>
              </a:solidFill>
            </a:rPr>
            <a:t> </a:t>
          </a:r>
          <a:r>
            <a:rPr lang="en-AU" sz="800" b="0" baseline="0">
              <a:solidFill>
                <a:sysClr val="windowText" lastClr="000000"/>
              </a:solidFill>
            </a:rPr>
            <a:t>($)</a:t>
          </a:r>
          <a:endParaRPr lang="en-AU" sz="800" b="0">
            <a:solidFill>
              <a:sysClr val="windowText" lastClr="000000"/>
            </a:solidFill>
          </a:endParaRPr>
        </a:p>
      </xdr:txBody>
    </xdr:sp>
    <xdr:clientData/>
  </xdr:twoCellAnchor>
  <xdr:twoCellAnchor>
    <xdr:from>
      <xdr:col>3</xdr:col>
      <xdr:colOff>547613</xdr:colOff>
      <xdr:row>369</xdr:row>
      <xdr:rowOff>68256</xdr:rowOff>
    </xdr:from>
    <xdr:to>
      <xdr:col>6</xdr:col>
      <xdr:colOff>114300</xdr:colOff>
      <xdr:row>372</xdr:row>
      <xdr:rowOff>68255</xdr:rowOff>
    </xdr:to>
    <xdr:sp macro="" textlink="">
      <xdr:nvSpPr>
        <xdr:cNvPr id="218" name="Rectangle 217">
          <a:extLst>
            <a:ext uri="{FF2B5EF4-FFF2-40B4-BE49-F238E27FC236}">
              <a16:creationId xmlns:a16="http://schemas.microsoft.com/office/drawing/2014/main" id="{00000000-0008-0000-0200-0000DA000000}"/>
            </a:ext>
          </a:extLst>
        </xdr:cNvPr>
        <xdr:cNvSpPr/>
      </xdr:nvSpPr>
      <xdr:spPr>
        <a:xfrm>
          <a:off x="821933" y="43479396"/>
          <a:ext cx="1281187" cy="388619"/>
        </a:xfrm>
        <a:prstGeom prst="rect">
          <a:avLst/>
        </a:prstGeom>
        <a:solidFill>
          <a:schemeClr val="accent6">
            <a:lumMod val="20000"/>
            <a:lumOff val="80000"/>
          </a:schemeClr>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AU" sz="800" b="0">
              <a:solidFill>
                <a:sysClr val="windowText" lastClr="000000"/>
              </a:solidFill>
              <a:effectLst/>
              <a:latin typeface="+mn-lt"/>
              <a:ea typeface="+mn-ea"/>
              <a:cs typeface="+mn-cs"/>
            </a:rPr>
            <a:t>Unregulated</a:t>
          </a:r>
          <a:r>
            <a:rPr lang="en-AU" sz="800" b="0" baseline="0">
              <a:solidFill>
                <a:sysClr val="windowText" lastClr="000000"/>
              </a:solidFill>
              <a:effectLst/>
              <a:latin typeface="+mn-lt"/>
              <a:ea typeface="+mn-ea"/>
              <a:cs typeface="+mn-cs"/>
            </a:rPr>
            <a:t> revenue/s</a:t>
          </a:r>
          <a:r>
            <a:rPr lang="en-AU" sz="800" b="0">
              <a:solidFill>
                <a:sysClr val="windowText" lastClr="000000"/>
              </a:solidFill>
              <a:effectLst/>
              <a:latin typeface="+mn-lt"/>
              <a:ea typeface="+mn-ea"/>
              <a:cs typeface="+mn-cs"/>
            </a:rPr>
            <a:t>hared assets </a:t>
          </a:r>
          <a:r>
            <a:rPr lang="en-AU" sz="800" b="0" baseline="0">
              <a:solidFill>
                <a:sysClr val="windowText" lastClr="000000"/>
              </a:solidFill>
              <a:effectLst/>
              <a:latin typeface="+mn-lt"/>
              <a:ea typeface="+mn-ea"/>
              <a:cs typeface="+mn-cs"/>
            </a:rPr>
            <a:t>($)</a:t>
          </a:r>
          <a:endParaRPr lang="en-AU" sz="800">
            <a:solidFill>
              <a:sysClr val="windowText" lastClr="000000"/>
            </a:solidFill>
            <a:effectLst/>
          </a:endParaRPr>
        </a:p>
      </xdr:txBody>
    </xdr:sp>
    <xdr:clientData/>
  </xdr:twoCellAnchor>
  <xdr:twoCellAnchor>
    <xdr:from>
      <xdr:col>3</xdr:col>
      <xdr:colOff>547613</xdr:colOff>
      <xdr:row>380</xdr:row>
      <xdr:rowOff>36645</xdr:rowOff>
    </xdr:from>
    <xdr:to>
      <xdr:col>6</xdr:col>
      <xdr:colOff>121920</xdr:colOff>
      <xdr:row>383</xdr:row>
      <xdr:rowOff>36645</xdr:rowOff>
    </xdr:to>
    <xdr:sp macro="" textlink="">
      <xdr:nvSpPr>
        <xdr:cNvPr id="219" name="Rectangle 218">
          <a:extLst>
            <a:ext uri="{FF2B5EF4-FFF2-40B4-BE49-F238E27FC236}">
              <a16:creationId xmlns:a16="http://schemas.microsoft.com/office/drawing/2014/main" id="{00000000-0008-0000-0200-0000DB000000}"/>
            </a:ext>
          </a:extLst>
        </xdr:cNvPr>
        <xdr:cNvSpPr/>
      </xdr:nvSpPr>
      <xdr:spPr>
        <a:xfrm>
          <a:off x="821933" y="44872725"/>
          <a:ext cx="1288807" cy="388620"/>
        </a:xfrm>
        <a:prstGeom prst="rect">
          <a:avLst/>
        </a:prstGeom>
        <a:solidFill>
          <a:schemeClr val="accent6">
            <a:lumMod val="20000"/>
            <a:lumOff val="80000"/>
          </a:schemeClr>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tIns="36000" rIns="36000" bIns="36000" rtlCol="0" anchor="ctr"/>
        <a:lstStyle/>
        <a:p>
          <a:pPr algn="ctr"/>
          <a:r>
            <a:rPr lang="en-AU" sz="800" b="0">
              <a:solidFill>
                <a:sysClr val="windowText" lastClr="000000"/>
              </a:solidFill>
            </a:rPr>
            <a:t>Probabilistic benefits*</a:t>
          </a:r>
          <a:r>
            <a:rPr lang="en-AU" sz="800" b="0" baseline="0">
              <a:solidFill>
                <a:sysClr val="windowText" lastClr="000000"/>
              </a:solidFill>
            </a:rPr>
            <a:t> ($)</a:t>
          </a:r>
          <a:endParaRPr lang="en-AU" sz="800" b="0">
            <a:solidFill>
              <a:sysClr val="windowText" lastClr="000000"/>
            </a:solidFill>
          </a:endParaRPr>
        </a:p>
      </xdr:txBody>
    </xdr:sp>
    <xdr:clientData/>
  </xdr:twoCellAnchor>
  <xdr:twoCellAnchor>
    <xdr:from>
      <xdr:col>3</xdr:col>
      <xdr:colOff>562188</xdr:colOff>
      <xdr:row>323</xdr:row>
      <xdr:rowOff>117324</xdr:rowOff>
    </xdr:from>
    <xdr:to>
      <xdr:col>6</xdr:col>
      <xdr:colOff>121920</xdr:colOff>
      <xdr:row>326</xdr:row>
      <xdr:rowOff>117323</xdr:rowOff>
    </xdr:to>
    <xdr:sp macro="" textlink="">
      <xdr:nvSpPr>
        <xdr:cNvPr id="220" name="Rectangle 219">
          <a:extLst>
            <a:ext uri="{FF2B5EF4-FFF2-40B4-BE49-F238E27FC236}">
              <a16:creationId xmlns:a16="http://schemas.microsoft.com/office/drawing/2014/main" id="{00000000-0008-0000-0200-0000DC000000}"/>
            </a:ext>
          </a:extLst>
        </xdr:cNvPr>
        <xdr:cNvSpPr/>
      </xdr:nvSpPr>
      <xdr:spPr>
        <a:xfrm>
          <a:off x="836508" y="37569624"/>
          <a:ext cx="1274232" cy="388619"/>
        </a:xfrm>
        <a:prstGeom prst="rect">
          <a:avLst/>
        </a:prstGeom>
        <a:solidFill>
          <a:schemeClr val="accent6">
            <a:lumMod val="20000"/>
            <a:lumOff val="80000"/>
          </a:schemeClr>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tIns="36000" rIns="36000" bIns="36000" rtlCol="0" anchor="ctr"/>
        <a:lstStyle/>
        <a:p>
          <a:pPr algn="ctr"/>
          <a:r>
            <a:rPr lang="en-AU" sz="800" b="0">
              <a:solidFill>
                <a:sysClr val="windowText" lastClr="000000"/>
              </a:solidFill>
            </a:rPr>
            <a:t>Incentive schemes*</a:t>
          </a:r>
          <a:r>
            <a:rPr lang="en-AU" sz="800" b="0" baseline="0">
              <a:solidFill>
                <a:sysClr val="windowText" lastClr="000000"/>
              </a:solidFill>
            </a:rPr>
            <a:t> ($)</a:t>
          </a:r>
          <a:endParaRPr lang="en-AU" sz="800" b="0">
            <a:solidFill>
              <a:sysClr val="windowText" lastClr="000000"/>
            </a:solidFill>
          </a:endParaRPr>
        </a:p>
      </xdr:txBody>
    </xdr:sp>
    <xdr:clientData/>
  </xdr:twoCellAnchor>
  <xdr:twoCellAnchor>
    <xdr:from>
      <xdr:col>3</xdr:col>
      <xdr:colOff>550332</xdr:colOff>
      <xdr:row>333</xdr:row>
      <xdr:rowOff>16085</xdr:rowOff>
    </xdr:from>
    <xdr:to>
      <xdr:col>6</xdr:col>
      <xdr:colOff>106680</xdr:colOff>
      <xdr:row>336</xdr:row>
      <xdr:rowOff>16084</xdr:rowOff>
    </xdr:to>
    <xdr:sp macro="" textlink="">
      <xdr:nvSpPr>
        <xdr:cNvPr id="222" name="Rectangle 221">
          <a:extLst>
            <a:ext uri="{FF2B5EF4-FFF2-40B4-BE49-F238E27FC236}">
              <a16:creationId xmlns:a16="http://schemas.microsoft.com/office/drawing/2014/main" id="{00000000-0008-0000-0200-0000DE000000}"/>
            </a:ext>
          </a:extLst>
        </xdr:cNvPr>
        <xdr:cNvSpPr/>
      </xdr:nvSpPr>
      <xdr:spPr>
        <a:xfrm>
          <a:off x="824652" y="38763785"/>
          <a:ext cx="1270848" cy="388619"/>
        </a:xfrm>
        <a:prstGeom prst="rect">
          <a:avLst/>
        </a:prstGeom>
        <a:solidFill>
          <a:schemeClr val="accent6">
            <a:lumMod val="20000"/>
            <a:lumOff val="80000"/>
          </a:schemeClr>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AU" sz="800" b="0">
              <a:solidFill>
                <a:sysClr val="windowText" lastClr="000000"/>
              </a:solidFill>
            </a:rPr>
            <a:t>Unregulated</a:t>
          </a:r>
          <a:r>
            <a:rPr lang="en-AU" sz="800" b="0" baseline="0">
              <a:solidFill>
                <a:sysClr val="windowText" lastClr="000000"/>
              </a:solidFill>
            </a:rPr>
            <a:t> revenue/s</a:t>
          </a:r>
          <a:r>
            <a:rPr lang="en-AU" sz="800" b="0">
              <a:solidFill>
                <a:sysClr val="windowText" lastClr="000000"/>
              </a:solidFill>
            </a:rPr>
            <a:t>hared assets </a:t>
          </a:r>
          <a:r>
            <a:rPr lang="en-AU" sz="800" b="0" baseline="0">
              <a:solidFill>
                <a:sysClr val="windowText" lastClr="000000"/>
              </a:solidFill>
            </a:rPr>
            <a:t>($)</a:t>
          </a:r>
          <a:endParaRPr lang="en-AU" sz="800" b="0">
            <a:solidFill>
              <a:sysClr val="windowText" lastClr="000000"/>
            </a:solidFill>
          </a:endParaRPr>
        </a:p>
      </xdr:txBody>
    </xdr:sp>
    <xdr:clientData/>
  </xdr:twoCellAnchor>
  <xdr:twoCellAnchor>
    <xdr:from>
      <xdr:col>3</xdr:col>
      <xdr:colOff>550332</xdr:colOff>
      <xdr:row>340</xdr:row>
      <xdr:rowOff>3385</xdr:rowOff>
    </xdr:from>
    <xdr:to>
      <xdr:col>6</xdr:col>
      <xdr:colOff>99060</xdr:colOff>
      <xdr:row>343</xdr:row>
      <xdr:rowOff>3384</xdr:rowOff>
    </xdr:to>
    <xdr:sp macro="" textlink="">
      <xdr:nvSpPr>
        <xdr:cNvPr id="223" name="Rectangle 222">
          <a:extLst>
            <a:ext uri="{FF2B5EF4-FFF2-40B4-BE49-F238E27FC236}">
              <a16:creationId xmlns:a16="http://schemas.microsoft.com/office/drawing/2014/main" id="{00000000-0008-0000-0200-0000DF000000}"/>
            </a:ext>
          </a:extLst>
        </xdr:cNvPr>
        <xdr:cNvSpPr/>
      </xdr:nvSpPr>
      <xdr:spPr>
        <a:xfrm>
          <a:off x="824652" y="44062225"/>
          <a:ext cx="1263228" cy="388619"/>
        </a:xfrm>
        <a:prstGeom prst="rect">
          <a:avLst/>
        </a:prstGeom>
        <a:solidFill>
          <a:schemeClr val="accent6">
            <a:lumMod val="20000"/>
            <a:lumOff val="80000"/>
          </a:schemeClr>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AU" sz="800" b="0">
              <a:solidFill>
                <a:sysClr val="windowText" lastClr="000000"/>
              </a:solidFill>
            </a:rPr>
            <a:t>Probabilistic benefits* </a:t>
          </a:r>
          <a:r>
            <a:rPr lang="en-AU" sz="800" b="0" baseline="0">
              <a:solidFill>
                <a:sysClr val="windowText" lastClr="000000"/>
              </a:solidFill>
            </a:rPr>
            <a:t>($)</a:t>
          </a:r>
          <a:endParaRPr lang="en-AU" sz="800" b="0">
            <a:solidFill>
              <a:sysClr val="windowText" lastClr="000000"/>
            </a:solidFill>
          </a:endParaRPr>
        </a:p>
      </xdr:txBody>
    </xdr:sp>
    <xdr:clientData/>
  </xdr:twoCellAnchor>
  <xdr:twoCellAnchor>
    <xdr:from>
      <xdr:col>8</xdr:col>
      <xdr:colOff>319192</xdr:colOff>
      <xdr:row>336</xdr:row>
      <xdr:rowOff>69428</xdr:rowOff>
    </xdr:from>
    <xdr:to>
      <xdr:col>10</xdr:col>
      <xdr:colOff>294759</xdr:colOff>
      <xdr:row>339</xdr:row>
      <xdr:rowOff>69427</xdr:rowOff>
    </xdr:to>
    <xdr:sp macro="" textlink="">
      <xdr:nvSpPr>
        <xdr:cNvPr id="227" name="Rectangle 226">
          <a:extLst>
            <a:ext uri="{FF2B5EF4-FFF2-40B4-BE49-F238E27FC236}">
              <a16:creationId xmlns:a16="http://schemas.microsoft.com/office/drawing/2014/main" id="{00000000-0008-0000-0200-0000E3000000}"/>
            </a:ext>
          </a:extLst>
        </xdr:cNvPr>
        <xdr:cNvSpPr/>
      </xdr:nvSpPr>
      <xdr:spPr>
        <a:xfrm>
          <a:off x="3451012" y="39205748"/>
          <a:ext cx="1118567" cy="388619"/>
        </a:xfrm>
        <a:prstGeom prst="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AU" sz="800" b="0" baseline="0">
              <a:solidFill>
                <a:sysClr val="windowText" lastClr="000000"/>
              </a:solidFill>
            </a:rPr>
            <a:t>Customer benefits ($)</a:t>
          </a:r>
          <a:endParaRPr lang="en-AU" sz="800" b="0">
            <a:solidFill>
              <a:sysClr val="windowText" lastClr="000000"/>
            </a:solidFill>
          </a:endParaRPr>
        </a:p>
      </xdr:txBody>
    </xdr:sp>
    <xdr:clientData/>
  </xdr:twoCellAnchor>
  <xdr:twoCellAnchor>
    <xdr:from>
      <xdr:col>8</xdr:col>
      <xdr:colOff>319192</xdr:colOff>
      <xdr:row>323</xdr:row>
      <xdr:rowOff>117325</xdr:rowOff>
    </xdr:from>
    <xdr:to>
      <xdr:col>10</xdr:col>
      <xdr:colOff>294759</xdr:colOff>
      <xdr:row>326</xdr:row>
      <xdr:rowOff>117324</xdr:rowOff>
    </xdr:to>
    <xdr:sp macro="" textlink="">
      <xdr:nvSpPr>
        <xdr:cNvPr id="228" name="Rectangle 227">
          <a:extLst>
            <a:ext uri="{FF2B5EF4-FFF2-40B4-BE49-F238E27FC236}">
              <a16:creationId xmlns:a16="http://schemas.microsoft.com/office/drawing/2014/main" id="{00000000-0008-0000-0200-0000E4000000}"/>
            </a:ext>
          </a:extLst>
        </xdr:cNvPr>
        <xdr:cNvSpPr/>
      </xdr:nvSpPr>
      <xdr:spPr>
        <a:xfrm>
          <a:off x="3451012" y="37569625"/>
          <a:ext cx="1118567" cy="388619"/>
        </a:xfrm>
        <a:prstGeom prst="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AU" sz="800" b="0" baseline="0">
              <a:solidFill>
                <a:sysClr val="windowText" lastClr="000000"/>
              </a:solidFill>
            </a:rPr>
            <a:t>Customer </a:t>
          </a:r>
        </a:p>
        <a:p>
          <a:pPr algn="ctr"/>
          <a:r>
            <a:rPr lang="en-AU" sz="800" b="0" baseline="0">
              <a:solidFill>
                <a:sysClr val="windowText" lastClr="000000"/>
              </a:solidFill>
            </a:rPr>
            <a:t>costs ($)</a:t>
          </a:r>
          <a:endParaRPr lang="en-AU" sz="800" b="0">
            <a:solidFill>
              <a:sysClr val="windowText" lastClr="000000"/>
            </a:solidFill>
          </a:endParaRPr>
        </a:p>
      </xdr:txBody>
    </xdr:sp>
    <xdr:clientData/>
  </xdr:twoCellAnchor>
  <xdr:twoCellAnchor>
    <xdr:from>
      <xdr:col>13</xdr:col>
      <xdr:colOff>36649</xdr:colOff>
      <xdr:row>367</xdr:row>
      <xdr:rowOff>50804</xdr:rowOff>
    </xdr:from>
    <xdr:to>
      <xdr:col>15</xdr:col>
      <xdr:colOff>103093</xdr:colOff>
      <xdr:row>370</xdr:row>
      <xdr:rowOff>50803</xdr:rowOff>
    </xdr:to>
    <xdr:sp macro="" textlink="">
      <xdr:nvSpPr>
        <xdr:cNvPr id="229" name="Rectangle 228">
          <a:extLst>
            <a:ext uri="{FF2B5EF4-FFF2-40B4-BE49-F238E27FC236}">
              <a16:creationId xmlns:a16="http://schemas.microsoft.com/office/drawing/2014/main" id="{00000000-0008-0000-0200-0000E5000000}"/>
            </a:ext>
          </a:extLst>
        </xdr:cNvPr>
        <xdr:cNvSpPr/>
      </xdr:nvSpPr>
      <xdr:spPr>
        <a:xfrm>
          <a:off x="6025969" y="43202864"/>
          <a:ext cx="1209444" cy="388619"/>
        </a:xfrm>
        <a:prstGeom prst="rect">
          <a:avLst/>
        </a:prstGeom>
        <a:solidFill>
          <a:schemeClr val="accent6">
            <a:lumMod val="20000"/>
            <a:lumOff val="80000"/>
          </a:schemeClr>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AU" sz="800" b="0" baseline="0">
              <a:solidFill>
                <a:sysClr val="windowText" lastClr="000000"/>
              </a:solidFill>
            </a:rPr>
            <a:t>Shareholder </a:t>
          </a:r>
        </a:p>
        <a:p>
          <a:pPr algn="ctr"/>
          <a:r>
            <a:rPr lang="en-AU" sz="800" b="0" baseline="0">
              <a:solidFill>
                <a:sysClr val="windowText" lastClr="000000"/>
              </a:solidFill>
            </a:rPr>
            <a:t>NPV ($)</a:t>
          </a:r>
          <a:endParaRPr lang="en-AU" sz="800" b="0">
            <a:solidFill>
              <a:sysClr val="windowText" lastClr="000000"/>
            </a:solidFill>
          </a:endParaRPr>
        </a:p>
      </xdr:txBody>
    </xdr:sp>
    <xdr:clientData/>
  </xdr:twoCellAnchor>
  <xdr:twoCellAnchor>
    <xdr:from>
      <xdr:col>6</xdr:col>
      <xdr:colOff>129540</xdr:colOff>
      <xdr:row>321</xdr:row>
      <xdr:rowOff>126820</xdr:rowOff>
    </xdr:from>
    <xdr:to>
      <xdr:col>8</xdr:col>
      <xdr:colOff>319192</xdr:colOff>
      <xdr:row>325</xdr:row>
      <xdr:rowOff>52555</xdr:rowOff>
    </xdr:to>
    <xdr:cxnSp macro="">
      <xdr:nvCxnSpPr>
        <xdr:cNvPr id="231" name="Elbow Connector 230">
          <a:extLst>
            <a:ext uri="{FF2B5EF4-FFF2-40B4-BE49-F238E27FC236}">
              <a16:creationId xmlns:a16="http://schemas.microsoft.com/office/drawing/2014/main" id="{00000000-0008-0000-0200-0000E7000000}"/>
            </a:ext>
          </a:extLst>
        </xdr:cNvPr>
        <xdr:cNvCxnSpPr>
          <a:stCxn id="215" idx="3"/>
          <a:endCxn id="228" idx="1"/>
        </xdr:cNvCxnSpPr>
      </xdr:nvCxnSpPr>
      <xdr:spPr>
        <a:xfrm>
          <a:off x="2118360" y="41724400"/>
          <a:ext cx="1332652" cy="443895"/>
        </a:xfrm>
        <a:prstGeom prst="bentConnector3">
          <a:avLst>
            <a:gd name="adj1" fmla="val 50000"/>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106680</xdr:colOff>
      <xdr:row>334</xdr:row>
      <xdr:rowOff>80855</xdr:rowOff>
    </xdr:from>
    <xdr:to>
      <xdr:col>8</xdr:col>
      <xdr:colOff>319192</xdr:colOff>
      <xdr:row>338</xdr:row>
      <xdr:rowOff>4658</xdr:rowOff>
    </xdr:to>
    <xdr:cxnSp macro="">
      <xdr:nvCxnSpPr>
        <xdr:cNvPr id="235" name="Elbow Connector 234">
          <a:extLst>
            <a:ext uri="{FF2B5EF4-FFF2-40B4-BE49-F238E27FC236}">
              <a16:creationId xmlns:a16="http://schemas.microsoft.com/office/drawing/2014/main" id="{00000000-0008-0000-0200-0000EB000000}"/>
            </a:ext>
          </a:extLst>
        </xdr:cNvPr>
        <xdr:cNvCxnSpPr>
          <a:stCxn id="222" idx="3"/>
          <a:endCxn id="227" idx="1"/>
        </xdr:cNvCxnSpPr>
      </xdr:nvCxnSpPr>
      <xdr:spPr>
        <a:xfrm>
          <a:off x="2095500" y="38958095"/>
          <a:ext cx="1355512" cy="441963"/>
        </a:xfrm>
        <a:prstGeom prst="bentConnector3">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99060</xdr:colOff>
      <xdr:row>338</xdr:row>
      <xdr:rowOff>4658</xdr:rowOff>
    </xdr:from>
    <xdr:to>
      <xdr:col>8</xdr:col>
      <xdr:colOff>319192</xdr:colOff>
      <xdr:row>341</xdr:row>
      <xdr:rowOff>68155</xdr:rowOff>
    </xdr:to>
    <xdr:cxnSp macro="">
      <xdr:nvCxnSpPr>
        <xdr:cNvPr id="237" name="Elbow Connector 236">
          <a:extLst>
            <a:ext uri="{FF2B5EF4-FFF2-40B4-BE49-F238E27FC236}">
              <a16:creationId xmlns:a16="http://schemas.microsoft.com/office/drawing/2014/main" id="{00000000-0008-0000-0200-0000ED000000}"/>
            </a:ext>
          </a:extLst>
        </xdr:cNvPr>
        <xdr:cNvCxnSpPr>
          <a:stCxn id="223" idx="3"/>
          <a:endCxn id="227" idx="1"/>
        </xdr:cNvCxnSpPr>
      </xdr:nvCxnSpPr>
      <xdr:spPr>
        <a:xfrm flipV="1">
          <a:off x="2087880" y="43804418"/>
          <a:ext cx="1363132" cy="452117"/>
        </a:xfrm>
        <a:prstGeom prst="bentConnector3">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321612</xdr:colOff>
      <xdr:row>374</xdr:row>
      <xdr:rowOff>117324</xdr:rowOff>
    </xdr:from>
    <xdr:to>
      <xdr:col>10</xdr:col>
      <xdr:colOff>297179</xdr:colOff>
      <xdr:row>377</xdr:row>
      <xdr:rowOff>117324</xdr:rowOff>
    </xdr:to>
    <xdr:sp macro="" textlink="">
      <xdr:nvSpPr>
        <xdr:cNvPr id="257" name="Rectangle 256">
          <a:extLst>
            <a:ext uri="{FF2B5EF4-FFF2-40B4-BE49-F238E27FC236}">
              <a16:creationId xmlns:a16="http://schemas.microsoft.com/office/drawing/2014/main" id="{00000000-0008-0000-0200-000001010000}"/>
            </a:ext>
          </a:extLst>
        </xdr:cNvPr>
        <xdr:cNvSpPr/>
      </xdr:nvSpPr>
      <xdr:spPr>
        <a:xfrm>
          <a:off x="3453432" y="44176164"/>
          <a:ext cx="1118567" cy="388620"/>
        </a:xfrm>
        <a:prstGeom prst="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AU" sz="800" b="0" baseline="0">
              <a:solidFill>
                <a:sysClr val="windowText" lastClr="000000"/>
              </a:solidFill>
            </a:rPr>
            <a:t>Shareholder </a:t>
          </a:r>
        </a:p>
        <a:p>
          <a:pPr algn="ctr"/>
          <a:r>
            <a:rPr lang="en-AU" sz="800" b="0" baseline="0">
              <a:solidFill>
                <a:sysClr val="windowText" lastClr="000000"/>
              </a:solidFill>
            </a:rPr>
            <a:t>benefits ($)</a:t>
          </a:r>
          <a:endParaRPr lang="en-AU" sz="800" b="0">
            <a:solidFill>
              <a:sysClr val="windowText" lastClr="000000"/>
            </a:solidFill>
          </a:endParaRPr>
        </a:p>
      </xdr:txBody>
    </xdr:sp>
    <xdr:clientData/>
  </xdr:twoCellAnchor>
  <xdr:twoCellAnchor>
    <xdr:from>
      <xdr:col>8</xdr:col>
      <xdr:colOff>321613</xdr:colOff>
      <xdr:row>359</xdr:row>
      <xdr:rowOff>125792</xdr:rowOff>
    </xdr:from>
    <xdr:to>
      <xdr:col>10</xdr:col>
      <xdr:colOff>297180</xdr:colOff>
      <xdr:row>362</xdr:row>
      <xdr:rowOff>125791</xdr:rowOff>
    </xdr:to>
    <xdr:sp macro="" textlink="">
      <xdr:nvSpPr>
        <xdr:cNvPr id="266" name="Rectangle 265">
          <a:extLst>
            <a:ext uri="{FF2B5EF4-FFF2-40B4-BE49-F238E27FC236}">
              <a16:creationId xmlns:a16="http://schemas.microsoft.com/office/drawing/2014/main" id="{00000000-0008-0000-0200-00000A010000}"/>
            </a:ext>
          </a:extLst>
        </xdr:cNvPr>
        <xdr:cNvSpPr/>
      </xdr:nvSpPr>
      <xdr:spPr>
        <a:xfrm>
          <a:off x="3453433" y="42241532"/>
          <a:ext cx="1118567" cy="388619"/>
        </a:xfrm>
        <a:prstGeom prst="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AU" sz="800" b="0" baseline="0">
              <a:solidFill>
                <a:sysClr val="windowText" lastClr="000000"/>
              </a:solidFill>
            </a:rPr>
            <a:t>Shareholder </a:t>
          </a:r>
        </a:p>
        <a:p>
          <a:pPr algn="ctr"/>
          <a:r>
            <a:rPr lang="en-AU" sz="800" b="0" baseline="0">
              <a:solidFill>
                <a:sysClr val="windowText" lastClr="000000"/>
              </a:solidFill>
            </a:rPr>
            <a:t>costs ($)</a:t>
          </a:r>
          <a:endParaRPr lang="en-AU" sz="800" b="0">
            <a:solidFill>
              <a:sysClr val="windowText" lastClr="000000"/>
            </a:solidFill>
          </a:endParaRPr>
        </a:p>
      </xdr:txBody>
    </xdr:sp>
    <xdr:clientData/>
  </xdr:twoCellAnchor>
  <xdr:twoCellAnchor>
    <xdr:from>
      <xdr:col>3</xdr:col>
      <xdr:colOff>547613</xdr:colOff>
      <xdr:row>365</xdr:row>
      <xdr:rowOff>28181</xdr:rowOff>
    </xdr:from>
    <xdr:to>
      <xdr:col>6</xdr:col>
      <xdr:colOff>114300</xdr:colOff>
      <xdr:row>368</xdr:row>
      <xdr:rowOff>28180</xdr:rowOff>
    </xdr:to>
    <xdr:sp macro="" textlink="">
      <xdr:nvSpPr>
        <xdr:cNvPr id="274" name="Rectangle 273">
          <a:extLst>
            <a:ext uri="{FF2B5EF4-FFF2-40B4-BE49-F238E27FC236}">
              <a16:creationId xmlns:a16="http://schemas.microsoft.com/office/drawing/2014/main" id="{00000000-0008-0000-0200-000012010000}"/>
            </a:ext>
          </a:extLst>
        </xdr:cNvPr>
        <xdr:cNvSpPr/>
      </xdr:nvSpPr>
      <xdr:spPr>
        <a:xfrm>
          <a:off x="821933" y="42921161"/>
          <a:ext cx="1281187" cy="388619"/>
        </a:xfrm>
        <a:prstGeom prst="rect">
          <a:avLst/>
        </a:prstGeom>
        <a:solidFill>
          <a:schemeClr val="accent6">
            <a:lumMod val="20000"/>
            <a:lumOff val="80000"/>
          </a:schemeClr>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AU" sz="800" b="0">
              <a:solidFill>
                <a:sysClr val="windowText" lastClr="000000"/>
              </a:solidFill>
            </a:rPr>
            <a:t>Regulatory revenue </a:t>
          </a:r>
          <a:r>
            <a:rPr lang="en-AU" sz="800" b="0" baseline="0">
              <a:solidFill>
                <a:sysClr val="windowText" lastClr="000000"/>
              </a:solidFill>
            </a:rPr>
            <a:t>($)</a:t>
          </a:r>
          <a:endParaRPr lang="en-AU" sz="800" b="0">
            <a:solidFill>
              <a:sysClr val="windowText" lastClr="000000"/>
            </a:solidFill>
          </a:endParaRPr>
        </a:p>
      </xdr:txBody>
    </xdr:sp>
    <xdr:clientData/>
  </xdr:twoCellAnchor>
  <xdr:twoCellAnchor>
    <xdr:from>
      <xdr:col>3</xdr:col>
      <xdr:colOff>547613</xdr:colOff>
      <xdr:row>373</xdr:row>
      <xdr:rowOff>126111</xdr:rowOff>
    </xdr:from>
    <xdr:to>
      <xdr:col>6</xdr:col>
      <xdr:colOff>121920</xdr:colOff>
      <xdr:row>376</xdr:row>
      <xdr:rowOff>126110</xdr:rowOff>
    </xdr:to>
    <xdr:sp macro="" textlink="">
      <xdr:nvSpPr>
        <xdr:cNvPr id="277" name="Rectangle 276">
          <a:extLst>
            <a:ext uri="{FF2B5EF4-FFF2-40B4-BE49-F238E27FC236}">
              <a16:creationId xmlns:a16="http://schemas.microsoft.com/office/drawing/2014/main" id="{00000000-0008-0000-0200-000015010000}"/>
            </a:ext>
          </a:extLst>
        </xdr:cNvPr>
        <xdr:cNvSpPr/>
      </xdr:nvSpPr>
      <xdr:spPr>
        <a:xfrm>
          <a:off x="821933" y="44055411"/>
          <a:ext cx="1288807" cy="388619"/>
        </a:xfrm>
        <a:prstGeom prst="rect">
          <a:avLst/>
        </a:prstGeom>
        <a:solidFill>
          <a:schemeClr val="accent6">
            <a:lumMod val="20000"/>
            <a:lumOff val="80000"/>
          </a:schemeClr>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tIns="36000" rIns="36000" bIns="36000" rtlCol="0" anchor="ctr"/>
        <a:lstStyle/>
        <a:p>
          <a:pPr algn="ctr"/>
          <a:r>
            <a:rPr lang="en-AU" sz="800" b="0">
              <a:solidFill>
                <a:sysClr val="windowText" lastClr="000000"/>
              </a:solidFill>
            </a:rPr>
            <a:t>Incentive schemes*</a:t>
          </a:r>
          <a:r>
            <a:rPr lang="en-AU" sz="800" b="0" baseline="0">
              <a:solidFill>
                <a:sysClr val="windowText" lastClr="000000"/>
              </a:solidFill>
            </a:rPr>
            <a:t> ($)</a:t>
          </a:r>
          <a:endParaRPr lang="en-AU" sz="800" b="0">
            <a:solidFill>
              <a:sysClr val="windowText" lastClr="000000"/>
            </a:solidFill>
          </a:endParaRPr>
        </a:p>
      </xdr:txBody>
    </xdr:sp>
    <xdr:clientData/>
  </xdr:twoCellAnchor>
  <xdr:twoCellAnchor>
    <xdr:from>
      <xdr:col>3</xdr:col>
      <xdr:colOff>563880</xdr:colOff>
      <xdr:row>183</xdr:row>
      <xdr:rowOff>13546</xdr:rowOff>
    </xdr:from>
    <xdr:to>
      <xdr:col>6</xdr:col>
      <xdr:colOff>45720</xdr:colOff>
      <xdr:row>186</xdr:row>
      <xdr:rowOff>13546</xdr:rowOff>
    </xdr:to>
    <xdr:sp macro="" textlink="">
      <xdr:nvSpPr>
        <xdr:cNvPr id="280" name="Rectangle 279">
          <a:extLst>
            <a:ext uri="{FF2B5EF4-FFF2-40B4-BE49-F238E27FC236}">
              <a16:creationId xmlns:a16="http://schemas.microsoft.com/office/drawing/2014/main" id="{00000000-0008-0000-0200-000018010000}"/>
            </a:ext>
          </a:extLst>
        </xdr:cNvPr>
        <xdr:cNvSpPr/>
      </xdr:nvSpPr>
      <xdr:spPr>
        <a:xfrm>
          <a:off x="838200" y="18682546"/>
          <a:ext cx="1196340" cy="388620"/>
        </a:xfrm>
        <a:prstGeom prst="rect">
          <a:avLst/>
        </a:prstGeom>
        <a:solidFill>
          <a:schemeClr val="accent4">
            <a:lumMod val="20000"/>
            <a:lumOff val="80000"/>
          </a:schemeClr>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tIns="36000" rIns="36000" bIns="36000" rtlCol="0" anchor="ctr"/>
        <a:lstStyle/>
        <a:p>
          <a:pPr algn="ctr"/>
          <a:r>
            <a:rPr lang="en-AU" sz="800">
              <a:solidFill>
                <a:sysClr val="windowText" lastClr="000000"/>
              </a:solidFill>
            </a:rPr>
            <a:t>Repairs and maintenance impact ($)</a:t>
          </a:r>
        </a:p>
      </xdr:txBody>
    </xdr:sp>
    <xdr:clientData/>
  </xdr:twoCellAnchor>
  <xdr:twoCellAnchor>
    <xdr:from>
      <xdr:col>6</xdr:col>
      <xdr:colOff>45720</xdr:colOff>
      <xdr:row>184</xdr:row>
      <xdr:rowOff>78316</xdr:rowOff>
    </xdr:from>
    <xdr:to>
      <xdr:col>15</xdr:col>
      <xdr:colOff>265006</xdr:colOff>
      <xdr:row>187</xdr:row>
      <xdr:rowOff>19900</xdr:rowOff>
    </xdr:to>
    <xdr:cxnSp macro="">
      <xdr:nvCxnSpPr>
        <xdr:cNvPr id="282" name="Elbow Connector 281">
          <a:extLst>
            <a:ext uri="{FF2B5EF4-FFF2-40B4-BE49-F238E27FC236}">
              <a16:creationId xmlns:a16="http://schemas.microsoft.com/office/drawing/2014/main" id="{00000000-0008-0000-0200-00001A010000}"/>
            </a:ext>
          </a:extLst>
        </xdr:cNvPr>
        <xdr:cNvCxnSpPr>
          <a:stCxn id="280" idx="3"/>
          <a:endCxn id="136" idx="1"/>
        </xdr:cNvCxnSpPr>
      </xdr:nvCxnSpPr>
      <xdr:spPr>
        <a:xfrm>
          <a:off x="2034540" y="18876856"/>
          <a:ext cx="5362786" cy="330204"/>
        </a:xfrm>
        <a:prstGeom prst="bentConnector3">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53340</xdr:colOff>
      <xdr:row>187</xdr:row>
      <xdr:rowOff>19900</xdr:rowOff>
    </xdr:from>
    <xdr:to>
      <xdr:col>15</xdr:col>
      <xdr:colOff>265006</xdr:colOff>
      <xdr:row>189</xdr:row>
      <xdr:rowOff>95250</xdr:rowOff>
    </xdr:to>
    <xdr:cxnSp macro="">
      <xdr:nvCxnSpPr>
        <xdr:cNvPr id="284" name="Elbow Connector 283">
          <a:extLst>
            <a:ext uri="{FF2B5EF4-FFF2-40B4-BE49-F238E27FC236}">
              <a16:creationId xmlns:a16="http://schemas.microsoft.com/office/drawing/2014/main" id="{00000000-0008-0000-0200-00001C010000}"/>
            </a:ext>
          </a:extLst>
        </xdr:cNvPr>
        <xdr:cNvCxnSpPr>
          <a:stCxn id="134" idx="3"/>
          <a:endCxn id="136" idx="1"/>
        </xdr:cNvCxnSpPr>
      </xdr:nvCxnSpPr>
      <xdr:spPr>
        <a:xfrm flipV="1">
          <a:off x="2042160" y="19207060"/>
          <a:ext cx="5355166" cy="334430"/>
        </a:xfrm>
        <a:prstGeom prst="bentConnector3">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12</xdr:col>
      <xdr:colOff>592667</xdr:colOff>
      <xdr:row>185</xdr:row>
      <xdr:rowOff>50799</xdr:rowOff>
    </xdr:from>
    <xdr:to>
      <xdr:col>13</xdr:col>
      <xdr:colOff>95432</xdr:colOff>
      <xdr:row>187</xdr:row>
      <xdr:rowOff>8828</xdr:rowOff>
    </xdr:to>
    <xdr:sp macro="" textlink="">
      <xdr:nvSpPr>
        <xdr:cNvPr id="285" name="Rectangle 284">
          <a:extLst>
            <a:ext uri="{FF2B5EF4-FFF2-40B4-BE49-F238E27FC236}">
              <a16:creationId xmlns:a16="http://schemas.microsoft.com/office/drawing/2014/main" id="{00000000-0008-0000-0200-00001D010000}"/>
            </a:ext>
          </a:extLst>
        </xdr:cNvPr>
        <xdr:cNvSpPr/>
      </xdr:nvSpPr>
      <xdr:spPr>
        <a:xfrm>
          <a:off x="7577667" y="18228732"/>
          <a:ext cx="239365" cy="212029"/>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AU" sz="1200">
              <a:solidFill>
                <a:sysClr val="windowText" lastClr="000000"/>
              </a:solidFill>
            </a:rPr>
            <a:t>∑</a:t>
          </a:r>
        </a:p>
      </xdr:txBody>
    </xdr:sp>
    <xdr:clientData/>
  </xdr:twoCellAnchor>
  <xdr:twoCellAnchor>
    <xdr:from>
      <xdr:col>7</xdr:col>
      <xdr:colOff>693057</xdr:colOff>
      <xdr:row>333</xdr:row>
      <xdr:rowOff>50801</xdr:rowOff>
    </xdr:from>
    <xdr:to>
      <xdr:col>8</xdr:col>
      <xdr:colOff>195823</xdr:colOff>
      <xdr:row>335</xdr:row>
      <xdr:rowOff>8830</xdr:rowOff>
    </xdr:to>
    <xdr:sp macro="" textlink="">
      <xdr:nvSpPr>
        <xdr:cNvPr id="286" name="Rectangle 285">
          <a:extLst>
            <a:ext uri="{FF2B5EF4-FFF2-40B4-BE49-F238E27FC236}">
              <a16:creationId xmlns:a16="http://schemas.microsoft.com/office/drawing/2014/main" id="{00000000-0008-0000-0200-00001E010000}"/>
            </a:ext>
          </a:extLst>
        </xdr:cNvPr>
        <xdr:cNvSpPr/>
      </xdr:nvSpPr>
      <xdr:spPr>
        <a:xfrm>
          <a:off x="4013200" y="33763858"/>
          <a:ext cx="242994" cy="219286"/>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endParaRPr lang="en-AU" sz="1200">
            <a:solidFill>
              <a:sysClr val="windowText" lastClr="000000"/>
            </a:solidFill>
          </a:endParaRPr>
        </a:p>
      </xdr:txBody>
    </xdr:sp>
    <xdr:clientData/>
  </xdr:twoCellAnchor>
  <xdr:twoCellAnchor>
    <xdr:from>
      <xdr:col>12</xdr:col>
      <xdr:colOff>533762</xdr:colOff>
      <xdr:row>329</xdr:row>
      <xdr:rowOff>105233</xdr:rowOff>
    </xdr:from>
    <xdr:to>
      <xdr:col>15</xdr:col>
      <xdr:colOff>22859</xdr:colOff>
      <xdr:row>332</xdr:row>
      <xdr:rowOff>105232</xdr:rowOff>
    </xdr:to>
    <xdr:sp macro="" textlink="">
      <xdr:nvSpPr>
        <xdr:cNvPr id="301" name="Rectangle 300">
          <a:extLst>
            <a:ext uri="{FF2B5EF4-FFF2-40B4-BE49-F238E27FC236}">
              <a16:creationId xmlns:a16="http://schemas.microsoft.com/office/drawing/2014/main" id="{00000000-0008-0000-0200-00002D010000}"/>
            </a:ext>
          </a:extLst>
        </xdr:cNvPr>
        <xdr:cNvSpPr/>
      </xdr:nvSpPr>
      <xdr:spPr>
        <a:xfrm>
          <a:off x="5951582" y="38334773"/>
          <a:ext cx="1203597" cy="388619"/>
        </a:xfrm>
        <a:prstGeom prst="rect">
          <a:avLst/>
        </a:prstGeom>
        <a:solidFill>
          <a:schemeClr val="accent6">
            <a:lumMod val="20000"/>
            <a:lumOff val="80000"/>
          </a:schemeClr>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AU" sz="800" b="0" baseline="0">
              <a:solidFill>
                <a:sysClr val="windowText" lastClr="000000"/>
              </a:solidFill>
            </a:rPr>
            <a:t>Customer </a:t>
          </a:r>
        </a:p>
        <a:p>
          <a:pPr algn="ctr"/>
          <a:r>
            <a:rPr lang="en-AU" sz="800" b="0" baseline="0">
              <a:solidFill>
                <a:sysClr val="windowText" lastClr="000000"/>
              </a:solidFill>
            </a:rPr>
            <a:t>NPV ($)</a:t>
          </a:r>
          <a:endParaRPr lang="en-AU" sz="800" b="0">
            <a:solidFill>
              <a:sysClr val="windowText" lastClr="000000"/>
            </a:solidFill>
          </a:endParaRPr>
        </a:p>
      </xdr:txBody>
    </xdr:sp>
    <xdr:clientData/>
  </xdr:twoCellAnchor>
  <xdr:twoCellAnchor>
    <xdr:from>
      <xdr:col>6</xdr:col>
      <xdr:colOff>137160</xdr:colOff>
      <xdr:row>358</xdr:row>
      <xdr:rowOff>57272</xdr:rowOff>
    </xdr:from>
    <xdr:to>
      <xdr:col>8</xdr:col>
      <xdr:colOff>321613</xdr:colOff>
      <xdr:row>361</xdr:row>
      <xdr:rowOff>61022</xdr:rowOff>
    </xdr:to>
    <xdr:cxnSp macro="">
      <xdr:nvCxnSpPr>
        <xdr:cNvPr id="309" name="Elbow Connector 308">
          <a:extLst>
            <a:ext uri="{FF2B5EF4-FFF2-40B4-BE49-F238E27FC236}">
              <a16:creationId xmlns:a16="http://schemas.microsoft.com/office/drawing/2014/main" id="{00000000-0008-0000-0200-000035010000}"/>
            </a:ext>
          </a:extLst>
        </xdr:cNvPr>
        <xdr:cNvCxnSpPr>
          <a:stCxn id="217" idx="3"/>
          <a:endCxn id="266" idx="1"/>
        </xdr:cNvCxnSpPr>
      </xdr:nvCxnSpPr>
      <xdr:spPr>
        <a:xfrm>
          <a:off x="2125980" y="46447832"/>
          <a:ext cx="1327453" cy="392370"/>
        </a:xfrm>
        <a:prstGeom prst="bentConnector3">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129540</xdr:colOff>
      <xdr:row>361</xdr:row>
      <xdr:rowOff>61022</xdr:rowOff>
    </xdr:from>
    <xdr:to>
      <xdr:col>8</xdr:col>
      <xdr:colOff>321613</xdr:colOff>
      <xdr:row>362</xdr:row>
      <xdr:rowOff>50499</xdr:rowOff>
    </xdr:to>
    <xdr:cxnSp macro="">
      <xdr:nvCxnSpPr>
        <xdr:cNvPr id="311" name="Elbow Connector 310">
          <a:extLst>
            <a:ext uri="{FF2B5EF4-FFF2-40B4-BE49-F238E27FC236}">
              <a16:creationId xmlns:a16="http://schemas.microsoft.com/office/drawing/2014/main" id="{00000000-0008-0000-0200-000037010000}"/>
            </a:ext>
          </a:extLst>
        </xdr:cNvPr>
        <xdr:cNvCxnSpPr>
          <a:stCxn id="216" idx="3"/>
          <a:endCxn id="266" idx="1"/>
        </xdr:cNvCxnSpPr>
      </xdr:nvCxnSpPr>
      <xdr:spPr>
        <a:xfrm flipV="1">
          <a:off x="2118360" y="42435842"/>
          <a:ext cx="1335073" cy="119017"/>
        </a:xfrm>
        <a:prstGeom prst="bentConnector3">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114300</xdr:colOff>
      <xdr:row>366</xdr:row>
      <xdr:rowOff>92951</xdr:rowOff>
    </xdr:from>
    <xdr:to>
      <xdr:col>8</xdr:col>
      <xdr:colOff>321612</xdr:colOff>
      <xdr:row>376</xdr:row>
      <xdr:rowOff>52554</xdr:rowOff>
    </xdr:to>
    <xdr:cxnSp macro="">
      <xdr:nvCxnSpPr>
        <xdr:cNvPr id="313" name="Elbow Connector 312">
          <a:extLst>
            <a:ext uri="{FF2B5EF4-FFF2-40B4-BE49-F238E27FC236}">
              <a16:creationId xmlns:a16="http://schemas.microsoft.com/office/drawing/2014/main" id="{00000000-0008-0000-0200-000039010000}"/>
            </a:ext>
          </a:extLst>
        </xdr:cNvPr>
        <xdr:cNvCxnSpPr>
          <a:stCxn id="274" idx="3"/>
          <a:endCxn id="257" idx="1"/>
        </xdr:cNvCxnSpPr>
      </xdr:nvCxnSpPr>
      <xdr:spPr>
        <a:xfrm>
          <a:off x="2103120" y="43115471"/>
          <a:ext cx="1350312" cy="1255003"/>
        </a:xfrm>
        <a:prstGeom prst="bentConnector3">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114300</xdr:colOff>
      <xdr:row>371</xdr:row>
      <xdr:rowOff>3486</xdr:rowOff>
    </xdr:from>
    <xdr:to>
      <xdr:col>8</xdr:col>
      <xdr:colOff>321612</xdr:colOff>
      <xdr:row>376</xdr:row>
      <xdr:rowOff>52554</xdr:rowOff>
    </xdr:to>
    <xdr:cxnSp macro="">
      <xdr:nvCxnSpPr>
        <xdr:cNvPr id="315" name="Elbow Connector 314">
          <a:extLst>
            <a:ext uri="{FF2B5EF4-FFF2-40B4-BE49-F238E27FC236}">
              <a16:creationId xmlns:a16="http://schemas.microsoft.com/office/drawing/2014/main" id="{00000000-0008-0000-0200-00003B010000}"/>
            </a:ext>
          </a:extLst>
        </xdr:cNvPr>
        <xdr:cNvCxnSpPr>
          <a:stCxn id="218" idx="3"/>
          <a:endCxn id="257" idx="1"/>
        </xdr:cNvCxnSpPr>
      </xdr:nvCxnSpPr>
      <xdr:spPr>
        <a:xfrm>
          <a:off x="2103120" y="43673706"/>
          <a:ext cx="1350312" cy="696768"/>
        </a:xfrm>
        <a:prstGeom prst="bentConnector3">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121920</xdr:colOff>
      <xdr:row>375</xdr:row>
      <xdr:rowOff>61341</xdr:rowOff>
    </xdr:from>
    <xdr:to>
      <xdr:col>8</xdr:col>
      <xdr:colOff>321612</xdr:colOff>
      <xdr:row>376</xdr:row>
      <xdr:rowOff>52554</xdr:rowOff>
    </xdr:to>
    <xdr:cxnSp macro="">
      <xdr:nvCxnSpPr>
        <xdr:cNvPr id="317" name="Elbow Connector 316">
          <a:extLst>
            <a:ext uri="{FF2B5EF4-FFF2-40B4-BE49-F238E27FC236}">
              <a16:creationId xmlns:a16="http://schemas.microsoft.com/office/drawing/2014/main" id="{00000000-0008-0000-0200-00003D010000}"/>
            </a:ext>
          </a:extLst>
        </xdr:cNvPr>
        <xdr:cNvCxnSpPr>
          <a:stCxn id="277" idx="3"/>
          <a:endCxn id="257" idx="1"/>
        </xdr:cNvCxnSpPr>
      </xdr:nvCxnSpPr>
      <xdr:spPr>
        <a:xfrm>
          <a:off x="2110740" y="44249721"/>
          <a:ext cx="1342692" cy="120753"/>
        </a:xfrm>
        <a:prstGeom prst="bentConnector3">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121920</xdr:colOff>
      <xdr:row>376</xdr:row>
      <xdr:rowOff>52554</xdr:rowOff>
    </xdr:from>
    <xdr:to>
      <xdr:col>8</xdr:col>
      <xdr:colOff>321612</xdr:colOff>
      <xdr:row>381</xdr:row>
      <xdr:rowOff>101415</xdr:rowOff>
    </xdr:to>
    <xdr:cxnSp macro="">
      <xdr:nvCxnSpPr>
        <xdr:cNvPr id="319" name="Elbow Connector 318">
          <a:extLst>
            <a:ext uri="{FF2B5EF4-FFF2-40B4-BE49-F238E27FC236}">
              <a16:creationId xmlns:a16="http://schemas.microsoft.com/office/drawing/2014/main" id="{00000000-0008-0000-0200-00003F010000}"/>
            </a:ext>
          </a:extLst>
        </xdr:cNvPr>
        <xdr:cNvCxnSpPr>
          <a:stCxn id="219" idx="3"/>
          <a:endCxn id="257" idx="1"/>
        </xdr:cNvCxnSpPr>
      </xdr:nvCxnSpPr>
      <xdr:spPr>
        <a:xfrm flipV="1">
          <a:off x="2110740" y="44370474"/>
          <a:ext cx="1342692" cy="696561"/>
        </a:xfrm>
        <a:prstGeom prst="bentConnector3">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297180</xdr:colOff>
      <xdr:row>361</xdr:row>
      <xdr:rowOff>61022</xdr:rowOff>
    </xdr:from>
    <xdr:to>
      <xdr:col>13</xdr:col>
      <xdr:colOff>7620</xdr:colOff>
      <xdr:row>367</xdr:row>
      <xdr:rowOff>114300</xdr:rowOff>
    </xdr:to>
    <xdr:cxnSp macro="">
      <xdr:nvCxnSpPr>
        <xdr:cNvPr id="321" name="Elbow Connector 320">
          <a:extLst>
            <a:ext uri="{FF2B5EF4-FFF2-40B4-BE49-F238E27FC236}">
              <a16:creationId xmlns:a16="http://schemas.microsoft.com/office/drawing/2014/main" id="{00000000-0008-0000-0200-000041010000}"/>
            </a:ext>
          </a:extLst>
        </xdr:cNvPr>
        <xdr:cNvCxnSpPr>
          <a:stCxn id="266" idx="3"/>
        </xdr:cNvCxnSpPr>
      </xdr:nvCxnSpPr>
      <xdr:spPr>
        <a:xfrm>
          <a:off x="4572000" y="42435842"/>
          <a:ext cx="1424940" cy="830518"/>
        </a:xfrm>
        <a:prstGeom prst="bentConnector3">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158326</xdr:colOff>
      <xdr:row>355</xdr:row>
      <xdr:rowOff>71363</xdr:rowOff>
    </xdr:from>
    <xdr:to>
      <xdr:col>12</xdr:col>
      <xdr:colOff>249767</xdr:colOff>
      <xdr:row>358</xdr:row>
      <xdr:rowOff>71362</xdr:rowOff>
    </xdr:to>
    <xdr:sp macro="" textlink="">
      <xdr:nvSpPr>
        <xdr:cNvPr id="328" name="Rectangle 327">
          <a:extLst>
            <a:ext uri="{FF2B5EF4-FFF2-40B4-BE49-F238E27FC236}">
              <a16:creationId xmlns:a16="http://schemas.microsoft.com/office/drawing/2014/main" id="{00000000-0008-0000-0200-000048010000}"/>
            </a:ext>
          </a:extLst>
        </xdr:cNvPr>
        <xdr:cNvSpPr/>
      </xdr:nvSpPr>
      <xdr:spPr>
        <a:xfrm>
          <a:off x="5004646" y="41668943"/>
          <a:ext cx="662941" cy="388619"/>
        </a:xfrm>
        <a:prstGeom prst="rect">
          <a:avLst/>
        </a:prstGeom>
        <a:solidFill>
          <a:schemeClr val="bg2"/>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tIns="36000" rIns="36000" bIns="36000" rtlCol="0" anchor="ctr"/>
        <a:lstStyle/>
        <a:p>
          <a:pPr algn="ctr"/>
          <a:r>
            <a:rPr lang="en-AU" sz="800" b="0" baseline="0">
              <a:solidFill>
                <a:sysClr val="windowText" lastClr="000000"/>
              </a:solidFill>
            </a:rPr>
            <a:t>WACC (%)</a:t>
          </a:r>
          <a:endParaRPr lang="en-AU" sz="800" b="0">
            <a:solidFill>
              <a:sysClr val="windowText" lastClr="000000"/>
            </a:solidFill>
          </a:endParaRPr>
        </a:p>
      </xdr:txBody>
    </xdr:sp>
    <xdr:clientData/>
  </xdr:twoCellAnchor>
  <xdr:twoCellAnchor>
    <xdr:from>
      <xdr:col>11</xdr:col>
      <xdr:colOff>147443</xdr:colOff>
      <xdr:row>379</xdr:row>
      <xdr:rowOff>49592</xdr:rowOff>
    </xdr:from>
    <xdr:to>
      <xdr:col>12</xdr:col>
      <xdr:colOff>254124</xdr:colOff>
      <xdr:row>382</xdr:row>
      <xdr:rowOff>49593</xdr:rowOff>
    </xdr:to>
    <xdr:sp macro="" textlink="">
      <xdr:nvSpPr>
        <xdr:cNvPr id="329" name="Rectangle 328">
          <a:extLst>
            <a:ext uri="{FF2B5EF4-FFF2-40B4-BE49-F238E27FC236}">
              <a16:creationId xmlns:a16="http://schemas.microsoft.com/office/drawing/2014/main" id="{00000000-0008-0000-0200-000049010000}"/>
            </a:ext>
          </a:extLst>
        </xdr:cNvPr>
        <xdr:cNvSpPr/>
      </xdr:nvSpPr>
      <xdr:spPr>
        <a:xfrm>
          <a:off x="4993763" y="44756132"/>
          <a:ext cx="678181" cy="388621"/>
        </a:xfrm>
        <a:prstGeom prst="rect">
          <a:avLst/>
        </a:prstGeom>
        <a:solidFill>
          <a:schemeClr val="bg2"/>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tIns="36000" rIns="36000" bIns="36000" rtlCol="0" anchor="ctr"/>
        <a:lstStyle/>
        <a:p>
          <a:pPr algn="ctr"/>
          <a:r>
            <a:rPr lang="en-AU" sz="800" b="0" baseline="0">
              <a:solidFill>
                <a:sysClr val="windowText" lastClr="000000"/>
              </a:solidFill>
            </a:rPr>
            <a:t>WACC (%)</a:t>
          </a:r>
          <a:endParaRPr lang="en-AU" sz="800" b="0">
            <a:solidFill>
              <a:sysClr val="windowText" lastClr="000000"/>
            </a:solidFill>
          </a:endParaRPr>
        </a:p>
      </xdr:txBody>
    </xdr:sp>
    <xdr:clientData/>
  </xdr:twoCellAnchor>
  <xdr:twoCellAnchor>
    <xdr:from>
      <xdr:col>10</xdr:col>
      <xdr:colOff>297179</xdr:colOff>
      <xdr:row>370</xdr:row>
      <xdr:rowOff>7620</xdr:rowOff>
    </xdr:from>
    <xdr:to>
      <xdr:col>13</xdr:col>
      <xdr:colOff>7620</xdr:colOff>
      <xdr:row>376</xdr:row>
      <xdr:rowOff>52554</xdr:rowOff>
    </xdr:to>
    <xdr:cxnSp macro="">
      <xdr:nvCxnSpPr>
        <xdr:cNvPr id="331" name="Elbow Connector 330">
          <a:extLst>
            <a:ext uri="{FF2B5EF4-FFF2-40B4-BE49-F238E27FC236}">
              <a16:creationId xmlns:a16="http://schemas.microsoft.com/office/drawing/2014/main" id="{00000000-0008-0000-0200-00004B010000}"/>
            </a:ext>
          </a:extLst>
        </xdr:cNvPr>
        <xdr:cNvCxnSpPr>
          <a:stCxn id="257" idx="3"/>
        </xdr:cNvCxnSpPr>
      </xdr:nvCxnSpPr>
      <xdr:spPr>
        <a:xfrm flipV="1">
          <a:off x="4571999" y="43548300"/>
          <a:ext cx="1424941" cy="822174"/>
        </a:xfrm>
        <a:prstGeom prst="bentConnector3">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294759</xdr:colOff>
      <xdr:row>325</xdr:row>
      <xdr:rowOff>52555</xdr:rowOff>
    </xdr:from>
    <xdr:to>
      <xdr:col>12</xdr:col>
      <xdr:colOff>480060</xdr:colOff>
      <xdr:row>330</xdr:row>
      <xdr:rowOff>60960</xdr:rowOff>
    </xdr:to>
    <xdr:cxnSp macro="">
      <xdr:nvCxnSpPr>
        <xdr:cNvPr id="340" name="Elbow Connector 339">
          <a:extLst>
            <a:ext uri="{FF2B5EF4-FFF2-40B4-BE49-F238E27FC236}">
              <a16:creationId xmlns:a16="http://schemas.microsoft.com/office/drawing/2014/main" id="{00000000-0008-0000-0200-000054010000}"/>
            </a:ext>
          </a:extLst>
        </xdr:cNvPr>
        <xdr:cNvCxnSpPr>
          <a:stCxn id="228" idx="3"/>
        </xdr:cNvCxnSpPr>
      </xdr:nvCxnSpPr>
      <xdr:spPr>
        <a:xfrm>
          <a:off x="4569579" y="37763935"/>
          <a:ext cx="1328301" cy="656105"/>
        </a:xfrm>
        <a:prstGeom prst="bentConnector3">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294759</xdr:colOff>
      <xdr:row>332</xdr:row>
      <xdr:rowOff>38100</xdr:rowOff>
    </xdr:from>
    <xdr:to>
      <xdr:col>12</xdr:col>
      <xdr:colOff>487680</xdr:colOff>
      <xdr:row>338</xdr:row>
      <xdr:rowOff>4658</xdr:rowOff>
    </xdr:to>
    <xdr:cxnSp macro="">
      <xdr:nvCxnSpPr>
        <xdr:cNvPr id="342" name="Elbow Connector 341">
          <a:extLst>
            <a:ext uri="{FF2B5EF4-FFF2-40B4-BE49-F238E27FC236}">
              <a16:creationId xmlns:a16="http://schemas.microsoft.com/office/drawing/2014/main" id="{00000000-0008-0000-0200-000056010000}"/>
            </a:ext>
          </a:extLst>
        </xdr:cNvPr>
        <xdr:cNvCxnSpPr>
          <a:stCxn id="227" idx="3"/>
        </xdr:cNvCxnSpPr>
      </xdr:nvCxnSpPr>
      <xdr:spPr>
        <a:xfrm flipV="1">
          <a:off x="4569579" y="38656260"/>
          <a:ext cx="1335921" cy="743798"/>
        </a:xfrm>
        <a:prstGeom prst="bentConnector3">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94103</xdr:colOff>
      <xdr:row>319</xdr:row>
      <xdr:rowOff>49592</xdr:rowOff>
    </xdr:from>
    <xdr:to>
      <xdr:col>12</xdr:col>
      <xdr:colOff>200784</xdr:colOff>
      <xdr:row>322</xdr:row>
      <xdr:rowOff>49590</xdr:rowOff>
    </xdr:to>
    <xdr:sp macro="" textlink="">
      <xdr:nvSpPr>
        <xdr:cNvPr id="345" name="Rectangle 344">
          <a:extLst>
            <a:ext uri="{FF2B5EF4-FFF2-40B4-BE49-F238E27FC236}">
              <a16:creationId xmlns:a16="http://schemas.microsoft.com/office/drawing/2014/main" id="{00000000-0008-0000-0200-000059010000}"/>
            </a:ext>
          </a:extLst>
        </xdr:cNvPr>
        <xdr:cNvSpPr/>
      </xdr:nvSpPr>
      <xdr:spPr>
        <a:xfrm>
          <a:off x="4940423" y="36983732"/>
          <a:ext cx="678181" cy="388618"/>
        </a:xfrm>
        <a:prstGeom prst="rect">
          <a:avLst/>
        </a:prstGeom>
        <a:solidFill>
          <a:schemeClr val="bg2"/>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tIns="36000" rIns="36000" bIns="36000" rtlCol="0" anchor="ctr"/>
        <a:lstStyle/>
        <a:p>
          <a:pPr algn="ctr"/>
          <a:r>
            <a:rPr lang="en-AU" sz="800" b="0" baseline="0">
              <a:solidFill>
                <a:sysClr val="windowText" lastClr="000000"/>
              </a:solidFill>
            </a:rPr>
            <a:t>WACC (%)</a:t>
          </a:r>
          <a:endParaRPr lang="en-AU" sz="800" b="0">
            <a:solidFill>
              <a:sysClr val="windowText" lastClr="000000"/>
            </a:solidFill>
          </a:endParaRPr>
        </a:p>
      </xdr:txBody>
    </xdr:sp>
    <xdr:clientData/>
  </xdr:twoCellAnchor>
  <xdr:twoCellAnchor>
    <xdr:from>
      <xdr:col>11</xdr:col>
      <xdr:colOff>120229</xdr:colOff>
      <xdr:row>341</xdr:row>
      <xdr:rowOff>13668</xdr:rowOff>
    </xdr:from>
    <xdr:to>
      <xdr:col>12</xdr:col>
      <xdr:colOff>211670</xdr:colOff>
      <xdr:row>344</xdr:row>
      <xdr:rowOff>13667</xdr:rowOff>
    </xdr:to>
    <xdr:sp macro="" textlink="">
      <xdr:nvSpPr>
        <xdr:cNvPr id="346" name="Rectangle 345">
          <a:extLst>
            <a:ext uri="{FF2B5EF4-FFF2-40B4-BE49-F238E27FC236}">
              <a16:creationId xmlns:a16="http://schemas.microsoft.com/office/drawing/2014/main" id="{00000000-0008-0000-0200-00005A010000}"/>
            </a:ext>
          </a:extLst>
        </xdr:cNvPr>
        <xdr:cNvSpPr/>
      </xdr:nvSpPr>
      <xdr:spPr>
        <a:xfrm>
          <a:off x="4966549" y="39797688"/>
          <a:ext cx="662941" cy="388619"/>
        </a:xfrm>
        <a:prstGeom prst="rect">
          <a:avLst/>
        </a:prstGeom>
        <a:solidFill>
          <a:schemeClr val="bg2"/>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tIns="36000" rIns="36000" bIns="36000" rtlCol="0" anchor="ctr"/>
        <a:lstStyle/>
        <a:p>
          <a:pPr algn="ctr"/>
          <a:r>
            <a:rPr lang="en-AU" sz="800" b="0" baseline="0">
              <a:solidFill>
                <a:sysClr val="windowText" lastClr="000000"/>
              </a:solidFill>
            </a:rPr>
            <a:t>WACC (%)</a:t>
          </a:r>
        </a:p>
      </xdr:txBody>
    </xdr:sp>
    <xdr:clientData/>
  </xdr:twoCellAnchor>
  <xdr:twoCellAnchor>
    <xdr:from>
      <xdr:col>19</xdr:col>
      <xdr:colOff>13426</xdr:colOff>
      <xdr:row>349</xdr:row>
      <xdr:rowOff>18148</xdr:rowOff>
    </xdr:from>
    <xdr:to>
      <xdr:col>21</xdr:col>
      <xdr:colOff>144780</xdr:colOff>
      <xdr:row>352</xdr:row>
      <xdr:rowOff>18146</xdr:rowOff>
    </xdr:to>
    <xdr:sp macro="" textlink="">
      <xdr:nvSpPr>
        <xdr:cNvPr id="353" name="Rectangle 352">
          <a:extLst>
            <a:ext uri="{FF2B5EF4-FFF2-40B4-BE49-F238E27FC236}">
              <a16:creationId xmlns:a16="http://schemas.microsoft.com/office/drawing/2014/main" id="{00000000-0008-0000-0200-000061010000}"/>
            </a:ext>
          </a:extLst>
        </xdr:cNvPr>
        <xdr:cNvSpPr/>
      </xdr:nvSpPr>
      <xdr:spPr>
        <a:xfrm>
          <a:off x="9431746" y="40838488"/>
          <a:ext cx="1274354" cy="388618"/>
        </a:xfrm>
        <a:prstGeom prst="rect">
          <a:avLst/>
        </a:prstGeom>
        <a:solidFill>
          <a:schemeClr val="accent6">
            <a:lumMod val="20000"/>
            <a:lumOff val="80000"/>
          </a:schemeClr>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AU" sz="800" b="0" baseline="0">
              <a:solidFill>
                <a:sysClr val="windowText" lastClr="000000"/>
              </a:solidFill>
            </a:rPr>
            <a:t>Market </a:t>
          </a:r>
        </a:p>
        <a:p>
          <a:pPr algn="ctr"/>
          <a:r>
            <a:rPr lang="en-AU" sz="800" b="0" baseline="0">
              <a:solidFill>
                <a:sysClr val="windowText" lastClr="000000"/>
              </a:solidFill>
            </a:rPr>
            <a:t>NPV ($)</a:t>
          </a:r>
          <a:endParaRPr lang="en-AU" sz="800" b="0">
            <a:solidFill>
              <a:sysClr val="windowText" lastClr="000000"/>
            </a:solidFill>
          </a:endParaRPr>
        </a:p>
      </xdr:txBody>
    </xdr:sp>
    <xdr:clientData/>
  </xdr:twoCellAnchor>
  <xdr:twoCellAnchor>
    <xdr:from>
      <xdr:col>15</xdr:col>
      <xdr:colOff>22859</xdr:colOff>
      <xdr:row>331</xdr:row>
      <xdr:rowOff>40463</xdr:rowOff>
    </xdr:from>
    <xdr:to>
      <xdr:col>19</xdr:col>
      <xdr:colOff>13426</xdr:colOff>
      <xdr:row>350</xdr:row>
      <xdr:rowOff>82917</xdr:rowOff>
    </xdr:to>
    <xdr:cxnSp macro="">
      <xdr:nvCxnSpPr>
        <xdr:cNvPr id="355" name="Elbow Connector 354">
          <a:extLst>
            <a:ext uri="{FF2B5EF4-FFF2-40B4-BE49-F238E27FC236}">
              <a16:creationId xmlns:a16="http://schemas.microsoft.com/office/drawing/2014/main" id="{00000000-0008-0000-0200-000063010000}"/>
            </a:ext>
          </a:extLst>
        </xdr:cNvPr>
        <xdr:cNvCxnSpPr>
          <a:stCxn id="301" idx="3"/>
          <a:endCxn id="353" idx="1"/>
        </xdr:cNvCxnSpPr>
      </xdr:nvCxnSpPr>
      <xdr:spPr>
        <a:xfrm>
          <a:off x="7155179" y="38529083"/>
          <a:ext cx="2276567" cy="2503714"/>
        </a:xfrm>
        <a:prstGeom prst="bentConnector3">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15</xdr:col>
      <xdr:colOff>103093</xdr:colOff>
      <xdr:row>350</xdr:row>
      <xdr:rowOff>82917</xdr:rowOff>
    </xdr:from>
    <xdr:to>
      <xdr:col>19</xdr:col>
      <xdr:colOff>13426</xdr:colOff>
      <xdr:row>368</xdr:row>
      <xdr:rowOff>115574</xdr:rowOff>
    </xdr:to>
    <xdr:cxnSp macro="">
      <xdr:nvCxnSpPr>
        <xdr:cNvPr id="357" name="Elbow Connector 356">
          <a:extLst>
            <a:ext uri="{FF2B5EF4-FFF2-40B4-BE49-F238E27FC236}">
              <a16:creationId xmlns:a16="http://schemas.microsoft.com/office/drawing/2014/main" id="{00000000-0008-0000-0200-000065010000}"/>
            </a:ext>
          </a:extLst>
        </xdr:cNvPr>
        <xdr:cNvCxnSpPr>
          <a:stCxn id="229" idx="3"/>
          <a:endCxn id="353" idx="1"/>
        </xdr:cNvCxnSpPr>
      </xdr:nvCxnSpPr>
      <xdr:spPr>
        <a:xfrm flipV="1">
          <a:off x="7235413" y="41032797"/>
          <a:ext cx="2196333" cy="2364377"/>
        </a:xfrm>
        <a:prstGeom prst="bentConnector3">
          <a:avLst>
            <a:gd name="adj1" fmla="val 48265"/>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16</xdr:col>
      <xdr:colOff>361404</xdr:colOff>
      <xdr:row>349</xdr:row>
      <xdr:rowOff>87086</xdr:rowOff>
    </xdr:from>
    <xdr:to>
      <xdr:col>16</xdr:col>
      <xdr:colOff>539809</xdr:colOff>
      <xdr:row>351</xdr:row>
      <xdr:rowOff>45115</xdr:rowOff>
    </xdr:to>
    <xdr:sp macro="" textlink="">
      <xdr:nvSpPr>
        <xdr:cNvPr id="358" name="Rectangle 357">
          <a:extLst>
            <a:ext uri="{FF2B5EF4-FFF2-40B4-BE49-F238E27FC236}">
              <a16:creationId xmlns:a16="http://schemas.microsoft.com/office/drawing/2014/main" id="{00000000-0008-0000-0200-000066010000}"/>
            </a:ext>
          </a:extLst>
        </xdr:cNvPr>
        <xdr:cNvSpPr/>
      </xdr:nvSpPr>
      <xdr:spPr>
        <a:xfrm>
          <a:off x="8065224" y="40907426"/>
          <a:ext cx="178405" cy="217109"/>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AU" sz="1200">
              <a:solidFill>
                <a:sysClr val="windowText" lastClr="000000"/>
              </a:solidFill>
            </a:rPr>
            <a:t>∑</a:t>
          </a:r>
        </a:p>
      </xdr:txBody>
    </xdr:sp>
    <xdr:clientData/>
  </xdr:twoCellAnchor>
  <xdr:twoCellAnchor>
    <xdr:from>
      <xdr:col>11</xdr:col>
      <xdr:colOff>383120</xdr:colOff>
      <xdr:row>322</xdr:row>
      <xdr:rowOff>49590</xdr:rowOff>
    </xdr:from>
    <xdr:to>
      <xdr:col>11</xdr:col>
      <xdr:colOff>383120</xdr:colOff>
      <xdr:row>325</xdr:row>
      <xdr:rowOff>43543</xdr:rowOff>
    </xdr:to>
    <xdr:cxnSp macro="">
      <xdr:nvCxnSpPr>
        <xdr:cNvPr id="27" name="Straight Connector 26">
          <a:extLst>
            <a:ext uri="{FF2B5EF4-FFF2-40B4-BE49-F238E27FC236}">
              <a16:creationId xmlns:a16="http://schemas.microsoft.com/office/drawing/2014/main" id="{00000000-0008-0000-0200-00001B000000}"/>
            </a:ext>
          </a:extLst>
        </xdr:cNvPr>
        <xdr:cNvCxnSpPr>
          <a:stCxn id="345" idx="2"/>
        </xdr:cNvCxnSpPr>
      </xdr:nvCxnSpPr>
      <xdr:spPr>
        <a:xfrm>
          <a:off x="5229440" y="37372350"/>
          <a:ext cx="0" cy="382573"/>
        </a:xfrm>
        <a:prstGeom prst="line">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398360</xdr:colOff>
      <xdr:row>338</xdr:row>
      <xdr:rowOff>13667</xdr:rowOff>
    </xdr:from>
    <xdr:to>
      <xdr:col>11</xdr:col>
      <xdr:colOff>398360</xdr:colOff>
      <xdr:row>341</xdr:row>
      <xdr:rowOff>7621</xdr:rowOff>
    </xdr:to>
    <xdr:cxnSp macro="">
      <xdr:nvCxnSpPr>
        <xdr:cNvPr id="230" name="Straight Connector 229">
          <a:extLst>
            <a:ext uri="{FF2B5EF4-FFF2-40B4-BE49-F238E27FC236}">
              <a16:creationId xmlns:a16="http://schemas.microsoft.com/office/drawing/2014/main" id="{00000000-0008-0000-0200-0000E6000000}"/>
            </a:ext>
          </a:extLst>
        </xdr:cNvPr>
        <xdr:cNvCxnSpPr/>
      </xdr:nvCxnSpPr>
      <xdr:spPr>
        <a:xfrm>
          <a:off x="5244680" y="39409067"/>
          <a:ext cx="0" cy="382574"/>
        </a:xfrm>
        <a:prstGeom prst="line">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436460</xdr:colOff>
      <xdr:row>376</xdr:row>
      <xdr:rowOff>49589</xdr:rowOff>
    </xdr:from>
    <xdr:to>
      <xdr:col>11</xdr:col>
      <xdr:colOff>436460</xdr:colOff>
      <xdr:row>379</xdr:row>
      <xdr:rowOff>43542</xdr:rowOff>
    </xdr:to>
    <xdr:cxnSp macro="">
      <xdr:nvCxnSpPr>
        <xdr:cNvPr id="232" name="Straight Connector 231">
          <a:extLst>
            <a:ext uri="{FF2B5EF4-FFF2-40B4-BE49-F238E27FC236}">
              <a16:creationId xmlns:a16="http://schemas.microsoft.com/office/drawing/2014/main" id="{00000000-0008-0000-0200-0000E8000000}"/>
            </a:ext>
          </a:extLst>
        </xdr:cNvPr>
        <xdr:cNvCxnSpPr/>
      </xdr:nvCxnSpPr>
      <xdr:spPr>
        <a:xfrm>
          <a:off x="5282780" y="44367509"/>
          <a:ext cx="0" cy="382573"/>
        </a:xfrm>
        <a:prstGeom prst="line">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436460</xdr:colOff>
      <xdr:row>358</xdr:row>
      <xdr:rowOff>71360</xdr:rowOff>
    </xdr:from>
    <xdr:to>
      <xdr:col>11</xdr:col>
      <xdr:colOff>436460</xdr:colOff>
      <xdr:row>361</xdr:row>
      <xdr:rowOff>65314</xdr:rowOff>
    </xdr:to>
    <xdr:cxnSp macro="">
      <xdr:nvCxnSpPr>
        <xdr:cNvPr id="234" name="Straight Connector 233">
          <a:extLst>
            <a:ext uri="{FF2B5EF4-FFF2-40B4-BE49-F238E27FC236}">
              <a16:creationId xmlns:a16="http://schemas.microsoft.com/office/drawing/2014/main" id="{00000000-0008-0000-0200-0000EA000000}"/>
            </a:ext>
          </a:extLst>
        </xdr:cNvPr>
        <xdr:cNvCxnSpPr/>
      </xdr:nvCxnSpPr>
      <xdr:spPr>
        <a:xfrm>
          <a:off x="5282780" y="42057560"/>
          <a:ext cx="0" cy="382574"/>
        </a:xfrm>
        <a:prstGeom prst="line">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15</xdr:col>
      <xdr:colOff>265006</xdr:colOff>
      <xdr:row>174</xdr:row>
      <xdr:rowOff>46569</xdr:rowOff>
    </xdr:from>
    <xdr:to>
      <xdr:col>17</xdr:col>
      <xdr:colOff>350519</xdr:colOff>
      <xdr:row>177</xdr:row>
      <xdr:rowOff>46568</xdr:rowOff>
    </xdr:to>
    <xdr:sp macro="" textlink="">
      <xdr:nvSpPr>
        <xdr:cNvPr id="236" name="Rectangle 235">
          <a:extLst>
            <a:ext uri="{FF2B5EF4-FFF2-40B4-BE49-F238E27FC236}">
              <a16:creationId xmlns:a16="http://schemas.microsoft.com/office/drawing/2014/main" id="{00000000-0008-0000-0200-0000EC000000}"/>
            </a:ext>
          </a:extLst>
        </xdr:cNvPr>
        <xdr:cNvSpPr/>
      </xdr:nvSpPr>
      <xdr:spPr>
        <a:xfrm>
          <a:off x="7397326" y="17290629"/>
          <a:ext cx="1228513" cy="388619"/>
        </a:xfrm>
        <a:prstGeom prst="rect">
          <a:avLst/>
        </a:prstGeom>
        <a:solidFill>
          <a:schemeClr val="accent6">
            <a:lumMod val="20000"/>
            <a:lumOff val="80000"/>
          </a:schemeClr>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AU" sz="800" b="0">
              <a:solidFill>
                <a:sysClr val="windowText" lastClr="000000"/>
              </a:solidFill>
            </a:rPr>
            <a:t>Customer:</a:t>
          </a:r>
          <a:r>
            <a:rPr lang="en-AU" sz="800" b="0" baseline="0">
              <a:solidFill>
                <a:sysClr val="windowText" lastClr="000000"/>
              </a:solidFill>
            </a:rPr>
            <a:t> </a:t>
          </a:r>
          <a:r>
            <a:rPr lang="en-AU" sz="800" b="0">
              <a:solidFill>
                <a:sysClr val="windowText" lastClr="000000"/>
              </a:solidFill>
            </a:rPr>
            <a:t>Non-regulatory revenue </a:t>
          </a:r>
          <a:r>
            <a:rPr lang="en-AU" sz="800" b="0" baseline="0">
              <a:solidFill>
                <a:sysClr val="windowText" lastClr="000000"/>
              </a:solidFill>
            </a:rPr>
            <a:t>($)</a:t>
          </a:r>
          <a:endParaRPr lang="en-AU" sz="800" b="0">
            <a:solidFill>
              <a:sysClr val="windowText" lastClr="000000"/>
            </a:solidFill>
          </a:endParaRPr>
        </a:p>
      </xdr:txBody>
    </xdr:sp>
    <xdr:clientData/>
  </xdr:twoCellAnchor>
  <xdr:twoCellAnchor>
    <xdr:from>
      <xdr:col>7</xdr:col>
      <xdr:colOff>546463</xdr:colOff>
      <xdr:row>166</xdr:row>
      <xdr:rowOff>52252</xdr:rowOff>
    </xdr:from>
    <xdr:to>
      <xdr:col>8</xdr:col>
      <xdr:colOff>182880</xdr:colOff>
      <xdr:row>168</xdr:row>
      <xdr:rowOff>15240</xdr:rowOff>
    </xdr:to>
    <xdr:sp macro="" textlink="">
      <xdr:nvSpPr>
        <xdr:cNvPr id="240" name="Diamond 239">
          <a:extLst>
            <a:ext uri="{FF2B5EF4-FFF2-40B4-BE49-F238E27FC236}">
              <a16:creationId xmlns:a16="http://schemas.microsoft.com/office/drawing/2014/main" id="{00000000-0008-0000-0200-0000F0000000}"/>
            </a:ext>
          </a:extLst>
        </xdr:cNvPr>
        <xdr:cNvSpPr/>
      </xdr:nvSpPr>
      <xdr:spPr>
        <a:xfrm>
          <a:off x="3106783" y="16259992"/>
          <a:ext cx="207917" cy="222068"/>
        </a:xfrm>
        <a:prstGeom prst="diamond">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AU" sz="1100"/>
        </a:p>
      </xdr:txBody>
    </xdr:sp>
    <xdr:clientData/>
  </xdr:twoCellAnchor>
  <xdr:twoCellAnchor>
    <xdr:from>
      <xdr:col>5</xdr:col>
      <xdr:colOff>548640</xdr:colOff>
      <xdr:row>167</xdr:row>
      <xdr:rowOff>33746</xdr:rowOff>
    </xdr:from>
    <xdr:to>
      <xdr:col>7</xdr:col>
      <xdr:colOff>546463</xdr:colOff>
      <xdr:row>167</xdr:row>
      <xdr:rowOff>41910</xdr:rowOff>
    </xdr:to>
    <xdr:cxnSp macro="">
      <xdr:nvCxnSpPr>
        <xdr:cNvPr id="248" name="Straight Arrow Connector 247">
          <a:extLst>
            <a:ext uri="{FF2B5EF4-FFF2-40B4-BE49-F238E27FC236}">
              <a16:creationId xmlns:a16="http://schemas.microsoft.com/office/drawing/2014/main" id="{00000000-0008-0000-0200-0000F8000000}"/>
            </a:ext>
          </a:extLst>
        </xdr:cNvPr>
        <xdr:cNvCxnSpPr>
          <a:stCxn id="123" idx="3"/>
          <a:endCxn id="240" idx="1"/>
        </xdr:cNvCxnSpPr>
      </xdr:nvCxnSpPr>
      <xdr:spPr>
        <a:xfrm flipV="1">
          <a:off x="1965960" y="16371026"/>
          <a:ext cx="1140823" cy="8164"/>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167640</xdr:colOff>
      <xdr:row>174</xdr:row>
      <xdr:rowOff>46567</xdr:rowOff>
    </xdr:from>
    <xdr:to>
      <xdr:col>12</xdr:col>
      <xdr:colOff>60960</xdr:colOff>
      <xdr:row>177</xdr:row>
      <xdr:rowOff>46568</xdr:rowOff>
    </xdr:to>
    <xdr:sp macro="" textlink="">
      <xdr:nvSpPr>
        <xdr:cNvPr id="253" name="Rectangle 252">
          <a:extLst>
            <a:ext uri="{FF2B5EF4-FFF2-40B4-BE49-F238E27FC236}">
              <a16:creationId xmlns:a16="http://schemas.microsoft.com/office/drawing/2014/main" id="{00000000-0008-0000-0200-0000FD000000}"/>
            </a:ext>
          </a:extLst>
        </xdr:cNvPr>
        <xdr:cNvSpPr/>
      </xdr:nvSpPr>
      <xdr:spPr>
        <a:xfrm>
          <a:off x="4442460" y="17290627"/>
          <a:ext cx="1036320" cy="388621"/>
        </a:xfrm>
        <a:prstGeom prst="rect">
          <a:avLst/>
        </a:prstGeom>
        <a:solidFill>
          <a:schemeClr val="bg2"/>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AU" sz="800">
              <a:solidFill>
                <a:sysClr val="windowText" lastClr="000000"/>
              </a:solidFill>
            </a:rPr>
            <a:t>SAG factor</a:t>
          </a:r>
        </a:p>
      </xdr:txBody>
    </xdr:sp>
    <xdr:clientData/>
  </xdr:twoCellAnchor>
  <xdr:twoCellAnchor>
    <xdr:from>
      <xdr:col>9</xdr:col>
      <xdr:colOff>458288</xdr:colOff>
      <xdr:row>173</xdr:row>
      <xdr:rowOff>125791</xdr:rowOff>
    </xdr:from>
    <xdr:to>
      <xdr:col>10</xdr:col>
      <xdr:colOff>126153</xdr:colOff>
      <xdr:row>175</xdr:row>
      <xdr:rowOff>80191</xdr:rowOff>
    </xdr:to>
    <xdr:sp macro="" textlink="">
      <xdr:nvSpPr>
        <xdr:cNvPr id="254" name="Rectangle 253">
          <a:extLst>
            <a:ext uri="{FF2B5EF4-FFF2-40B4-BE49-F238E27FC236}">
              <a16:creationId xmlns:a16="http://schemas.microsoft.com/office/drawing/2014/main" id="{00000000-0008-0000-0200-0000FE000000}"/>
            </a:ext>
          </a:extLst>
        </xdr:cNvPr>
        <xdr:cNvSpPr/>
      </xdr:nvSpPr>
      <xdr:spPr>
        <a:xfrm>
          <a:off x="4161608" y="17240311"/>
          <a:ext cx="239365" cy="21348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AU" sz="1200">
              <a:solidFill>
                <a:sysClr val="windowText" lastClr="000000"/>
              </a:solidFill>
            </a:rPr>
            <a:t>×</a:t>
          </a:r>
        </a:p>
      </xdr:txBody>
    </xdr:sp>
    <xdr:clientData/>
  </xdr:twoCellAnchor>
  <xdr:twoCellAnchor>
    <xdr:from>
      <xdr:col>8</xdr:col>
      <xdr:colOff>78922</xdr:colOff>
      <xdr:row>168</xdr:row>
      <xdr:rowOff>15240</xdr:rowOff>
    </xdr:from>
    <xdr:to>
      <xdr:col>10</xdr:col>
      <xdr:colOff>167640</xdr:colOff>
      <xdr:row>175</xdr:row>
      <xdr:rowOff>111338</xdr:rowOff>
    </xdr:to>
    <xdr:cxnSp macro="">
      <xdr:nvCxnSpPr>
        <xdr:cNvPr id="255" name="Elbow Connector 254">
          <a:extLst>
            <a:ext uri="{FF2B5EF4-FFF2-40B4-BE49-F238E27FC236}">
              <a16:creationId xmlns:a16="http://schemas.microsoft.com/office/drawing/2014/main" id="{00000000-0008-0000-0200-0000FF000000}"/>
            </a:ext>
          </a:extLst>
        </xdr:cNvPr>
        <xdr:cNvCxnSpPr>
          <a:stCxn id="240" idx="2"/>
          <a:endCxn id="253" idx="1"/>
        </xdr:cNvCxnSpPr>
      </xdr:nvCxnSpPr>
      <xdr:spPr>
        <a:xfrm rot="16200000" flipH="1">
          <a:off x="3325162" y="16367640"/>
          <a:ext cx="1002878" cy="1231718"/>
        </a:xfrm>
        <a:prstGeom prst="bentConnector2">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12</xdr:col>
      <xdr:colOff>60960</xdr:colOff>
      <xdr:row>175</xdr:row>
      <xdr:rowOff>111338</xdr:rowOff>
    </xdr:from>
    <xdr:to>
      <xdr:col>15</xdr:col>
      <xdr:colOff>265006</xdr:colOff>
      <xdr:row>175</xdr:row>
      <xdr:rowOff>111339</xdr:rowOff>
    </xdr:to>
    <xdr:cxnSp macro="">
      <xdr:nvCxnSpPr>
        <xdr:cNvPr id="256" name="Straight Arrow Connector 255">
          <a:extLst>
            <a:ext uri="{FF2B5EF4-FFF2-40B4-BE49-F238E27FC236}">
              <a16:creationId xmlns:a16="http://schemas.microsoft.com/office/drawing/2014/main" id="{00000000-0008-0000-0200-000000010000}"/>
            </a:ext>
          </a:extLst>
        </xdr:cNvPr>
        <xdr:cNvCxnSpPr>
          <a:stCxn id="253" idx="3"/>
          <a:endCxn id="236" idx="1"/>
        </xdr:cNvCxnSpPr>
      </xdr:nvCxnSpPr>
      <xdr:spPr>
        <a:xfrm>
          <a:off x="5478780" y="17484938"/>
          <a:ext cx="1918546" cy="1"/>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502920</xdr:colOff>
      <xdr:row>342</xdr:row>
      <xdr:rowOff>121920</xdr:rowOff>
    </xdr:from>
    <xdr:to>
      <xdr:col>8</xdr:col>
      <xdr:colOff>396240</xdr:colOff>
      <xdr:row>352</xdr:row>
      <xdr:rowOff>22860</xdr:rowOff>
    </xdr:to>
    <xdr:sp macro="" textlink="">
      <xdr:nvSpPr>
        <xdr:cNvPr id="242" name="Rectangle 241">
          <a:extLst>
            <a:ext uri="{FF2B5EF4-FFF2-40B4-BE49-F238E27FC236}">
              <a16:creationId xmlns:a16="http://schemas.microsoft.com/office/drawing/2014/main" id="{00000000-0008-0000-0200-0000F2000000}"/>
            </a:ext>
          </a:extLst>
        </xdr:cNvPr>
        <xdr:cNvSpPr/>
      </xdr:nvSpPr>
      <xdr:spPr>
        <a:xfrm>
          <a:off x="777240" y="40035480"/>
          <a:ext cx="2750820" cy="119634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lang="en-AU" sz="800" i="1">
              <a:solidFill>
                <a:schemeClr val="bg1">
                  <a:lumMod val="75000"/>
                </a:schemeClr>
              </a:solidFill>
            </a:rPr>
            <a:t>*</a:t>
          </a:r>
          <a:r>
            <a:rPr lang="en-AU" sz="800" i="1" baseline="0">
              <a:solidFill>
                <a:schemeClr val="bg1">
                  <a:lumMod val="75000"/>
                </a:schemeClr>
              </a:solidFill>
            </a:rPr>
            <a:t> Includes safety risk reduction, fire risk reduction, environment risk reduction, network asset failure EUE reduction, reactive replacement cost reduction, reduced carbon emissions, decrease in opex costs (protective security risk reduction, ICT/OT hardware or software failure risk reduction, and employee engagement), loss of data risk reduction (protective security risk reduction), safety risk reduction (ICT/OT hardware or software failure), and customer value </a:t>
          </a:r>
          <a:endParaRPr lang="en-AU" sz="800" i="1">
            <a:solidFill>
              <a:schemeClr val="bg1">
                <a:lumMod val="75000"/>
              </a:schemeClr>
            </a:solidFill>
          </a:endParaRPr>
        </a:p>
      </xdr:txBody>
    </xdr:sp>
    <xdr:clientData/>
  </xdr:twoCellAnchor>
  <xdr:twoCellAnchor>
    <xdr:from>
      <xdr:col>15</xdr:col>
      <xdr:colOff>259080</xdr:colOff>
      <xdr:row>114</xdr:row>
      <xdr:rowOff>100148</xdr:rowOff>
    </xdr:from>
    <xdr:to>
      <xdr:col>17</xdr:col>
      <xdr:colOff>327660</xdr:colOff>
      <xdr:row>116</xdr:row>
      <xdr:rowOff>45720</xdr:rowOff>
    </xdr:to>
    <xdr:sp macro="" textlink="">
      <xdr:nvSpPr>
        <xdr:cNvPr id="292" name="Rectangle 291">
          <a:extLst>
            <a:ext uri="{FF2B5EF4-FFF2-40B4-BE49-F238E27FC236}">
              <a16:creationId xmlns:a16="http://schemas.microsoft.com/office/drawing/2014/main" id="{00000000-0008-0000-0200-000024010000}"/>
            </a:ext>
          </a:extLst>
        </xdr:cNvPr>
        <xdr:cNvSpPr/>
      </xdr:nvSpPr>
      <xdr:spPr>
        <a:xfrm>
          <a:off x="7391400" y="9297488"/>
          <a:ext cx="1211580" cy="204652"/>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AU" sz="800" i="1">
              <a:solidFill>
                <a:schemeClr val="bg1">
                  <a:lumMod val="75000"/>
                </a:schemeClr>
              </a:solidFill>
            </a:rPr>
            <a:t>*Land is not depreciated</a:t>
          </a:r>
        </a:p>
      </xdr:txBody>
    </xdr:sp>
    <xdr:clientData/>
  </xdr:twoCellAnchor>
  <xdr:twoCellAnchor>
    <xdr:from>
      <xdr:col>11</xdr:col>
      <xdr:colOff>205740</xdr:colOff>
      <xdr:row>99</xdr:row>
      <xdr:rowOff>95250</xdr:rowOff>
    </xdr:from>
    <xdr:to>
      <xdr:col>15</xdr:col>
      <xdr:colOff>342900</xdr:colOff>
      <xdr:row>103</xdr:row>
      <xdr:rowOff>118208</xdr:rowOff>
    </xdr:to>
    <xdr:cxnSp macro="">
      <xdr:nvCxnSpPr>
        <xdr:cNvPr id="298" name="Elbow Connector 297">
          <a:extLst>
            <a:ext uri="{FF2B5EF4-FFF2-40B4-BE49-F238E27FC236}">
              <a16:creationId xmlns:a16="http://schemas.microsoft.com/office/drawing/2014/main" id="{00000000-0008-0000-0200-00002A010000}"/>
            </a:ext>
          </a:extLst>
        </xdr:cNvPr>
        <xdr:cNvCxnSpPr>
          <a:stCxn id="128" idx="3"/>
          <a:endCxn id="112" idx="1"/>
        </xdr:cNvCxnSpPr>
      </xdr:nvCxnSpPr>
      <xdr:spPr>
        <a:xfrm flipV="1">
          <a:off x="5052060" y="7349490"/>
          <a:ext cx="2423160" cy="541118"/>
        </a:xfrm>
        <a:prstGeom prst="bentConnector3">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566420</xdr:colOff>
      <xdr:row>115</xdr:row>
      <xdr:rowOff>45719</xdr:rowOff>
    </xdr:from>
    <xdr:to>
      <xdr:col>5</xdr:col>
      <xdr:colOff>480060</xdr:colOff>
      <xdr:row>118</xdr:row>
      <xdr:rowOff>45720</xdr:rowOff>
    </xdr:to>
    <xdr:sp macro="" textlink="">
      <xdr:nvSpPr>
        <xdr:cNvPr id="320" name="Rectangle 319">
          <a:extLst>
            <a:ext uri="{FF2B5EF4-FFF2-40B4-BE49-F238E27FC236}">
              <a16:creationId xmlns:a16="http://schemas.microsoft.com/office/drawing/2014/main" id="{00000000-0008-0000-0200-000040010000}"/>
            </a:ext>
          </a:extLst>
        </xdr:cNvPr>
        <xdr:cNvSpPr/>
      </xdr:nvSpPr>
      <xdr:spPr>
        <a:xfrm>
          <a:off x="840740" y="9372599"/>
          <a:ext cx="1056640" cy="388621"/>
        </a:xfrm>
        <a:prstGeom prst="rect">
          <a:avLst/>
        </a:prstGeom>
        <a:solidFill>
          <a:schemeClr val="accent4">
            <a:lumMod val="20000"/>
            <a:lumOff val="80000"/>
          </a:schemeClr>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AU" sz="800">
              <a:solidFill>
                <a:sysClr val="windowText" lastClr="000000"/>
              </a:solidFill>
            </a:rPr>
            <a:t>Sunk costs ($)</a:t>
          </a:r>
        </a:p>
      </xdr:txBody>
    </xdr:sp>
    <xdr:clientData/>
  </xdr:twoCellAnchor>
  <xdr:twoCellAnchor>
    <xdr:from>
      <xdr:col>5</xdr:col>
      <xdr:colOff>472440</xdr:colOff>
      <xdr:row>103</xdr:row>
      <xdr:rowOff>119199</xdr:rowOff>
    </xdr:from>
    <xdr:to>
      <xdr:col>9</xdr:col>
      <xdr:colOff>281940</xdr:colOff>
      <xdr:row>109</xdr:row>
      <xdr:rowOff>4898</xdr:rowOff>
    </xdr:to>
    <xdr:cxnSp macro="">
      <xdr:nvCxnSpPr>
        <xdr:cNvPr id="124" name="Elbow Connector 123">
          <a:extLst>
            <a:ext uri="{FF2B5EF4-FFF2-40B4-BE49-F238E27FC236}">
              <a16:creationId xmlns:a16="http://schemas.microsoft.com/office/drawing/2014/main" id="{00000000-0008-0000-0200-00007C000000}"/>
            </a:ext>
          </a:extLst>
        </xdr:cNvPr>
        <xdr:cNvCxnSpPr>
          <a:stCxn id="45" idx="3"/>
          <a:endCxn id="48" idx="1"/>
        </xdr:cNvCxnSpPr>
      </xdr:nvCxnSpPr>
      <xdr:spPr>
        <a:xfrm>
          <a:off x="1889760" y="7891599"/>
          <a:ext cx="2095500" cy="662939"/>
        </a:xfrm>
        <a:prstGeom prst="bentConnector3">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480060</xdr:colOff>
      <xdr:row>108</xdr:row>
      <xdr:rowOff>20138</xdr:rowOff>
    </xdr:from>
    <xdr:to>
      <xdr:col>9</xdr:col>
      <xdr:colOff>281940</xdr:colOff>
      <xdr:row>109</xdr:row>
      <xdr:rowOff>4898</xdr:rowOff>
    </xdr:to>
    <xdr:cxnSp macro="">
      <xdr:nvCxnSpPr>
        <xdr:cNvPr id="127" name="Elbow Connector 126">
          <a:extLst>
            <a:ext uri="{FF2B5EF4-FFF2-40B4-BE49-F238E27FC236}">
              <a16:creationId xmlns:a16="http://schemas.microsoft.com/office/drawing/2014/main" id="{00000000-0008-0000-0200-00007F000000}"/>
            </a:ext>
          </a:extLst>
        </xdr:cNvPr>
        <xdr:cNvCxnSpPr>
          <a:stCxn id="46" idx="3"/>
          <a:endCxn id="48" idx="1"/>
        </xdr:cNvCxnSpPr>
      </xdr:nvCxnSpPr>
      <xdr:spPr>
        <a:xfrm>
          <a:off x="1897380" y="8440238"/>
          <a:ext cx="2087880" cy="114300"/>
        </a:xfrm>
        <a:prstGeom prst="bentConnector3">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480060</xdr:colOff>
      <xdr:row>109</xdr:row>
      <xdr:rowOff>4898</xdr:rowOff>
    </xdr:from>
    <xdr:to>
      <xdr:col>9</xdr:col>
      <xdr:colOff>281940</xdr:colOff>
      <xdr:row>112</xdr:row>
      <xdr:rowOff>49530</xdr:rowOff>
    </xdr:to>
    <xdr:cxnSp macro="">
      <xdr:nvCxnSpPr>
        <xdr:cNvPr id="323" name="Elbow Connector 322">
          <a:extLst>
            <a:ext uri="{FF2B5EF4-FFF2-40B4-BE49-F238E27FC236}">
              <a16:creationId xmlns:a16="http://schemas.microsoft.com/office/drawing/2014/main" id="{00000000-0008-0000-0200-000043010000}"/>
            </a:ext>
          </a:extLst>
        </xdr:cNvPr>
        <xdr:cNvCxnSpPr>
          <a:stCxn id="47" idx="3"/>
          <a:endCxn id="48" idx="1"/>
        </xdr:cNvCxnSpPr>
      </xdr:nvCxnSpPr>
      <xdr:spPr>
        <a:xfrm flipV="1">
          <a:off x="1897380" y="8554538"/>
          <a:ext cx="2087880" cy="433252"/>
        </a:xfrm>
        <a:prstGeom prst="bentConnector3">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480060</xdr:colOff>
      <xdr:row>109</xdr:row>
      <xdr:rowOff>4898</xdr:rowOff>
    </xdr:from>
    <xdr:to>
      <xdr:col>9</xdr:col>
      <xdr:colOff>281940</xdr:colOff>
      <xdr:row>116</xdr:row>
      <xdr:rowOff>110490</xdr:rowOff>
    </xdr:to>
    <xdr:cxnSp macro="">
      <xdr:nvCxnSpPr>
        <xdr:cNvPr id="325" name="Elbow Connector 324">
          <a:extLst>
            <a:ext uri="{FF2B5EF4-FFF2-40B4-BE49-F238E27FC236}">
              <a16:creationId xmlns:a16="http://schemas.microsoft.com/office/drawing/2014/main" id="{00000000-0008-0000-0200-000045010000}"/>
            </a:ext>
          </a:extLst>
        </xdr:cNvPr>
        <xdr:cNvCxnSpPr>
          <a:stCxn id="320" idx="3"/>
          <a:endCxn id="48" idx="1"/>
        </xdr:cNvCxnSpPr>
      </xdr:nvCxnSpPr>
      <xdr:spPr>
        <a:xfrm flipV="1">
          <a:off x="1897380" y="8554538"/>
          <a:ext cx="2087880" cy="1012372"/>
        </a:xfrm>
        <a:prstGeom prst="bentConnector3">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566420</xdr:colOff>
      <xdr:row>143</xdr:row>
      <xdr:rowOff>91439</xdr:rowOff>
    </xdr:from>
    <xdr:to>
      <xdr:col>5</xdr:col>
      <xdr:colOff>518160</xdr:colOff>
      <xdr:row>146</xdr:row>
      <xdr:rowOff>91440</xdr:rowOff>
    </xdr:to>
    <xdr:sp macro="" textlink="">
      <xdr:nvSpPr>
        <xdr:cNvPr id="352" name="Rectangle 351">
          <a:extLst>
            <a:ext uri="{FF2B5EF4-FFF2-40B4-BE49-F238E27FC236}">
              <a16:creationId xmlns:a16="http://schemas.microsoft.com/office/drawing/2014/main" id="{00000000-0008-0000-0200-000060010000}"/>
            </a:ext>
          </a:extLst>
        </xdr:cNvPr>
        <xdr:cNvSpPr/>
      </xdr:nvSpPr>
      <xdr:spPr>
        <a:xfrm>
          <a:off x="840740" y="13060679"/>
          <a:ext cx="1094740" cy="388621"/>
        </a:xfrm>
        <a:prstGeom prst="rect">
          <a:avLst/>
        </a:prstGeom>
        <a:solidFill>
          <a:schemeClr val="accent4">
            <a:lumMod val="20000"/>
            <a:lumOff val="80000"/>
          </a:schemeClr>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AU" sz="800">
              <a:solidFill>
                <a:sysClr val="windowText" lastClr="000000"/>
              </a:solidFill>
            </a:rPr>
            <a:t>Future</a:t>
          </a:r>
          <a:r>
            <a:rPr lang="en-AU" sz="800" baseline="0">
              <a:solidFill>
                <a:sysClr val="windowText" lastClr="000000"/>
              </a:solidFill>
            </a:rPr>
            <a:t> l</a:t>
          </a:r>
          <a:r>
            <a:rPr lang="en-AU" sz="800">
              <a:solidFill>
                <a:sysClr val="windowText" lastClr="000000"/>
              </a:solidFill>
            </a:rPr>
            <a:t>and Capex ($)</a:t>
          </a:r>
        </a:p>
      </xdr:txBody>
    </xdr:sp>
    <xdr:clientData/>
  </xdr:twoCellAnchor>
  <xdr:twoCellAnchor>
    <xdr:from>
      <xdr:col>15</xdr:col>
      <xdr:colOff>220980</xdr:colOff>
      <xdr:row>148</xdr:row>
      <xdr:rowOff>75111</xdr:rowOff>
    </xdr:from>
    <xdr:to>
      <xdr:col>17</xdr:col>
      <xdr:colOff>289560</xdr:colOff>
      <xdr:row>150</xdr:row>
      <xdr:rowOff>20683</xdr:rowOff>
    </xdr:to>
    <xdr:sp macro="" textlink="">
      <xdr:nvSpPr>
        <xdr:cNvPr id="354" name="Rectangle 353">
          <a:extLst>
            <a:ext uri="{FF2B5EF4-FFF2-40B4-BE49-F238E27FC236}">
              <a16:creationId xmlns:a16="http://schemas.microsoft.com/office/drawing/2014/main" id="{00000000-0008-0000-0200-000062010000}"/>
            </a:ext>
          </a:extLst>
        </xdr:cNvPr>
        <xdr:cNvSpPr/>
      </xdr:nvSpPr>
      <xdr:spPr>
        <a:xfrm>
          <a:off x="7353300" y="13692051"/>
          <a:ext cx="1211580" cy="204652"/>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AU" sz="800" i="1">
              <a:solidFill>
                <a:schemeClr val="bg1">
                  <a:lumMod val="75000"/>
                </a:schemeClr>
              </a:solidFill>
            </a:rPr>
            <a:t>*Land is not depreciated</a:t>
          </a:r>
        </a:p>
      </xdr:txBody>
    </xdr:sp>
    <xdr:clientData/>
  </xdr:twoCellAnchor>
  <xdr:twoCellAnchor>
    <xdr:from>
      <xdr:col>3</xdr:col>
      <xdr:colOff>563880</xdr:colOff>
      <xdr:row>138</xdr:row>
      <xdr:rowOff>53340</xdr:rowOff>
    </xdr:from>
    <xdr:to>
      <xdr:col>5</xdr:col>
      <xdr:colOff>525780</xdr:colOff>
      <xdr:row>141</xdr:row>
      <xdr:rowOff>53340</xdr:rowOff>
    </xdr:to>
    <xdr:sp macro="" textlink="">
      <xdr:nvSpPr>
        <xdr:cNvPr id="363" name="Rectangle 362">
          <a:extLst>
            <a:ext uri="{FF2B5EF4-FFF2-40B4-BE49-F238E27FC236}">
              <a16:creationId xmlns:a16="http://schemas.microsoft.com/office/drawing/2014/main" id="{00000000-0008-0000-0200-00006B010000}"/>
            </a:ext>
          </a:extLst>
        </xdr:cNvPr>
        <xdr:cNvSpPr/>
      </xdr:nvSpPr>
      <xdr:spPr>
        <a:xfrm>
          <a:off x="838200" y="12374880"/>
          <a:ext cx="1104900" cy="388620"/>
        </a:xfrm>
        <a:prstGeom prst="rect">
          <a:avLst/>
        </a:prstGeom>
        <a:solidFill>
          <a:schemeClr val="accent4">
            <a:lumMod val="20000"/>
            <a:lumOff val="80000"/>
          </a:schemeClr>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AU" sz="800">
              <a:solidFill>
                <a:sysClr val="windowText" lastClr="000000"/>
              </a:solidFill>
            </a:rPr>
            <a:t>Future Capex ($)</a:t>
          </a:r>
        </a:p>
      </xdr:txBody>
    </xdr:sp>
    <xdr:clientData/>
  </xdr:twoCellAnchor>
  <xdr:twoCellAnchor>
    <xdr:from>
      <xdr:col>5</xdr:col>
      <xdr:colOff>525780</xdr:colOff>
      <xdr:row>139</xdr:row>
      <xdr:rowOff>118110</xdr:rowOff>
    </xdr:from>
    <xdr:to>
      <xdr:col>6</xdr:col>
      <xdr:colOff>335280</xdr:colOff>
      <xdr:row>142</xdr:row>
      <xdr:rowOff>64770</xdr:rowOff>
    </xdr:to>
    <xdr:cxnSp macro="">
      <xdr:nvCxnSpPr>
        <xdr:cNvPr id="365" name="Elbow Connector 364">
          <a:extLst>
            <a:ext uri="{FF2B5EF4-FFF2-40B4-BE49-F238E27FC236}">
              <a16:creationId xmlns:a16="http://schemas.microsoft.com/office/drawing/2014/main" id="{00000000-0008-0000-0200-00006D010000}"/>
            </a:ext>
          </a:extLst>
        </xdr:cNvPr>
        <xdr:cNvCxnSpPr>
          <a:stCxn id="363" idx="3"/>
          <a:endCxn id="73" idx="1"/>
        </xdr:cNvCxnSpPr>
      </xdr:nvCxnSpPr>
      <xdr:spPr>
        <a:xfrm>
          <a:off x="1943100" y="12569190"/>
          <a:ext cx="381000" cy="335280"/>
        </a:xfrm>
        <a:prstGeom prst="bentConnector3">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518160</xdr:colOff>
      <xdr:row>142</xdr:row>
      <xdr:rowOff>64770</xdr:rowOff>
    </xdr:from>
    <xdr:to>
      <xdr:col>6</xdr:col>
      <xdr:colOff>335280</xdr:colOff>
      <xdr:row>145</xdr:row>
      <xdr:rowOff>26670</xdr:rowOff>
    </xdr:to>
    <xdr:cxnSp macro="">
      <xdr:nvCxnSpPr>
        <xdr:cNvPr id="367" name="Elbow Connector 366">
          <a:extLst>
            <a:ext uri="{FF2B5EF4-FFF2-40B4-BE49-F238E27FC236}">
              <a16:creationId xmlns:a16="http://schemas.microsoft.com/office/drawing/2014/main" id="{00000000-0008-0000-0200-00006F010000}"/>
            </a:ext>
          </a:extLst>
        </xdr:cNvPr>
        <xdr:cNvCxnSpPr>
          <a:stCxn id="352" idx="3"/>
          <a:endCxn id="73" idx="1"/>
        </xdr:cNvCxnSpPr>
      </xdr:nvCxnSpPr>
      <xdr:spPr>
        <a:xfrm flipV="1">
          <a:off x="1935480" y="12904470"/>
          <a:ext cx="388620" cy="350520"/>
        </a:xfrm>
        <a:prstGeom prst="bentConnector3">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477762</xdr:colOff>
      <xdr:row>141</xdr:row>
      <xdr:rowOff>72817</xdr:rowOff>
    </xdr:from>
    <xdr:to>
      <xdr:col>6</xdr:col>
      <xdr:colOff>145627</xdr:colOff>
      <xdr:row>143</xdr:row>
      <xdr:rowOff>30846</xdr:rowOff>
    </xdr:to>
    <xdr:sp macro="" textlink="">
      <xdr:nvSpPr>
        <xdr:cNvPr id="368" name="Rectangle 367">
          <a:extLst>
            <a:ext uri="{FF2B5EF4-FFF2-40B4-BE49-F238E27FC236}">
              <a16:creationId xmlns:a16="http://schemas.microsoft.com/office/drawing/2014/main" id="{00000000-0008-0000-0200-000070010000}"/>
            </a:ext>
          </a:extLst>
        </xdr:cNvPr>
        <xdr:cNvSpPr/>
      </xdr:nvSpPr>
      <xdr:spPr>
        <a:xfrm>
          <a:off x="1895082" y="12782977"/>
          <a:ext cx="239365" cy="217109"/>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AU" sz="1200">
              <a:solidFill>
                <a:sysClr val="windowText" lastClr="000000"/>
              </a:solidFill>
            </a:rPr>
            <a:t>∑</a:t>
          </a:r>
        </a:p>
      </xdr:txBody>
    </xdr:sp>
    <xdr:clientData/>
  </xdr:twoCellAnchor>
  <xdr:twoCellAnchor>
    <xdr:from>
      <xdr:col>3</xdr:col>
      <xdr:colOff>563880</xdr:colOff>
      <xdr:row>210</xdr:row>
      <xdr:rowOff>46567</xdr:rowOff>
    </xdr:from>
    <xdr:to>
      <xdr:col>6</xdr:col>
      <xdr:colOff>76200</xdr:colOff>
      <xdr:row>213</xdr:row>
      <xdr:rowOff>46567</xdr:rowOff>
    </xdr:to>
    <xdr:sp macro="" textlink="">
      <xdr:nvSpPr>
        <xdr:cNvPr id="384" name="Rectangle 383">
          <a:extLst>
            <a:ext uri="{FF2B5EF4-FFF2-40B4-BE49-F238E27FC236}">
              <a16:creationId xmlns:a16="http://schemas.microsoft.com/office/drawing/2014/main" id="{00000000-0008-0000-0200-000080010000}"/>
            </a:ext>
          </a:extLst>
        </xdr:cNvPr>
        <xdr:cNvSpPr/>
      </xdr:nvSpPr>
      <xdr:spPr>
        <a:xfrm>
          <a:off x="838200" y="22472227"/>
          <a:ext cx="1226820" cy="388620"/>
        </a:xfrm>
        <a:prstGeom prst="rect">
          <a:avLst/>
        </a:prstGeom>
        <a:solidFill>
          <a:schemeClr val="accent4">
            <a:lumMod val="20000"/>
            <a:lumOff val="80000"/>
          </a:schemeClr>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tIns="36000" rIns="36000" bIns="36000" rtlCol="0" anchor="ctr"/>
        <a:lstStyle/>
        <a:p>
          <a:pPr algn="ctr"/>
          <a:r>
            <a:rPr lang="en-AU" sz="800">
              <a:solidFill>
                <a:sysClr val="windowText" lastClr="000000"/>
              </a:solidFill>
            </a:rPr>
            <a:t>DMIS ($)</a:t>
          </a:r>
        </a:p>
      </xdr:txBody>
    </xdr:sp>
    <xdr:clientData/>
  </xdr:twoCellAnchor>
  <xdr:twoCellAnchor>
    <xdr:from>
      <xdr:col>6</xdr:col>
      <xdr:colOff>68580</xdr:colOff>
      <xdr:row>201</xdr:row>
      <xdr:rowOff>86784</xdr:rowOff>
    </xdr:from>
    <xdr:to>
      <xdr:col>15</xdr:col>
      <xdr:colOff>265006</xdr:colOff>
      <xdr:row>203</xdr:row>
      <xdr:rowOff>90174</xdr:rowOff>
    </xdr:to>
    <xdr:cxnSp macro="">
      <xdr:nvCxnSpPr>
        <xdr:cNvPr id="389" name="Elbow Connector 388">
          <a:extLst>
            <a:ext uri="{FF2B5EF4-FFF2-40B4-BE49-F238E27FC236}">
              <a16:creationId xmlns:a16="http://schemas.microsoft.com/office/drawing/2014/main" id="{00000000-0008-0000-0200-000085010000}"/>
            </a:ext>
          </a:extLst>
        </xdr:cNvPr>
        <xdr:cNvCxnSpPr>
          <a:stCxn id="140" idx="3"/>
          <a:endCxn id="138" idx="1"/>
        </xdr:cNvCxnSpPr>
      </xdr:nvCxnSpPr>
      <xdr:spPr>
        <a:xfrm>
          <a:off x="2057400" y="21346584"/>
          <a:ext cx="5339926" cy="262470"/>
        </a:xfrm>
        <a:prstGeom prst="bentConnector3">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76200</xdr:colOff>
      <xdr:row>203</xdr:row>
      <xdr:rowOff>90174</xdr:rowOff>
    </xdr:from>
    <xdr:to>
      <xdr:col>15</xdr:col>
      <xdr:colOff>265006</xdr:colOff>
      <xdr:row>211</xdr:row>
      <xdr:rowOff>111337</xdr:rowOff>
    </xdr:to>
    <xdr:cxnSp macro="">
      <xdr:nvCxnSpPr>
        <xdr:cNvPr id="391" name="Elbow Connector 390">
          <a:extLst>
            <a:ext uri="{FF2B5EF4-FFF2-40B4-BE49-F238E27FC236}">
              <a16:creationId xmlns:a16="http://schemas.microsoft.com/office/drawing/2014/main" id="{00000000-0008-0000-0200-000087010000}"/>
            </a:ext>
          </a:extLst>
        </xdr:cNvPr>
        <xdr:cNvCxnSpPr>
          <a:stCxn id="384" idx="3"/>
          <a:endCxn id="138" idx="1"/>
        </xdr:cNvCxnSpPr>
      </xdr:nvCxnSpPr>
      <xdr:spPr>
        <a:xfrm flipV="1">
          <a:off x="2065020" y="21609054"/>
          <a:ext cx="5332306" cy="1057483"/>
        </a:xfrm>
        <a:prstGeom prst="bentConnector3">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563880</xdr:colOff>
      <xdr:row>225</xdr:row>
      <xdr:rowOff>64347</xdr:rowOff>
    </xdr:from>
    <xdr:to>
      <xdr:col>6</xdr:col>
      <xdr:colOff>91440</xdr:colOff>
      <xdr:row>228</xdr:row>
      <xdr:rowOff>64347</xdr:rowOff>
    </xdr:to>
    <xdr:sp macro="" textlink="">
      <xdr:nvSpPr>
        <xdr:cNvPr id="399" name="Rectangle 398">
          <a:extLst>
            <a:ext uri="{FF2B5EF4-FFF2-40B4-BE49-F238E27FC236}">
              <a16:creationId xmlns:a16="http://schemas.microsoft.com/office/drawing/2014/main" id="{00000000-0008-0000-0200-00008F010000}"/>
            </a:ext>
          </a:extLst>
        </xdr:cNvPr>
        <xdr:cNvSpPr/>
      </xdr:nvSpPr>
      <xdr:spPr>
        <a:xfrm>
          <a:off x="838200" y="24303567"/>
          <a:ext cx="1242060" cy="388620"/>
        </a:xfrm>
        <a:prstGeom prst="rect">
          <a:avLst/>
        </a:prstGeom>
        <a:solidFill>
          <a:schemeClr val="accent4">
            <a:lumMod val="20000"/>
            <a:lumOff val="80000"/>
          </a:schemeClr>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tIns="36000" rIns="36000" bIns="36000" rtlCol="0" anchor="ctr"/>
        <a:lstStyle/>
        <a:p>
          <a:pPr algn="ctr"/>
          <a:r>
            <a:rPr lang="en-AU" sz="800">
              <a:solidFill>
                <a:sysClr val="windowText" lastClr="000000"/>
              </a:solidFill>
            </a:rPr>
            <a:t>Fire cost/benefit ($)</a:t>
          </a:r>
        </a:p>
      </xdr:txBody>
    </xdr:sp>
    <xdr:clientData/>
  </xdr:twoCellAnchor>
  <xdr:twoCellAnchor>
    <xdr:from>
      <xdr:col>15</xdr:col>
      <xdr:colOff>265006</xdr:colOff>
      <xdr:row>225</xdr:row>
      <xdr:rowOff>67737</xdr:rowOff>
    </xdr:from>
    <xdr:to>
      <xdr:col>17</xdr:col>
      <xdr:colOff>312419</xdr:colOff>
      <xdr:row>228</xdr:row>
      <xdr:rowOff>67736</xdr:rowOff>
    </xdr:to>
    <xdr:sp macro="" textlink="">
      <xdr:nvSpPr>
        <xdr:cNvPr id="401" name="Rectangle 400">
          <a:extLst>
            <a:ext uri="{FF2B5EF4-FFF2-40B4-BE49-F238E27FC236}">
              <a16:creationId xmlns:a16="http://schemas.microsoft.com/office/drawing/2014/main" id="{00000000-0008-0000-0200-000091010000}"/>
            </a:ext>
          </a:extLst>
        </xdr:cNvPr>
        <xdr:cNvSpPr/>
      </xdr:nvSpPr>
      <xdr:spPr>
        <a:xfrm>
          <a:off x="7397326" y="24306957"/>
          <a:ext cx="1190413" cy="388619"/>
        </a:xfrm>
        <a:prstGeom prst="rect">
          <a:avLst/>
        </a:prstGeom>
        <a:solidFill>
          <a:schemeClr val="accent6">
            <a:lumMod val="20000"/>
            <a:lumOff val="80000"/>
          </a:schemeClr>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tIns="36000" rIns="36000" bIns="36000" rtlCol="0" anchor="ctr"/>
        <a:lstStyle/>
        <a:p>
          <a:pPr algn="ctr"/>
          <a:r>
            <a:rPr lang="en-AU" sz="800" b="0" baseline="0">
              <a:solidFill>
                <a:sysClr val="windowText" lastClr="000000"/>
              </a:solidFill>
            </a:rPr>
            <a:t>Fire cost/benefit ($)</a:t>
          </a:r>
          <a:endParaRPr lang="en-AU" sz="800" b="0">
            <a:solidFill>
              <a:sysClr val="windowText" lastClr="000000"/>
            </a:solidFill>
          </a:endParaRPr>
        </a:p>
      </xdr:txBody>
    </xdr:sp>
    <xdr:clientData/>
  </xdr:twoCellAnchor>
  <xdr:twoCellAnchor>
    <xdr:from>
      <xdr:col>6</xdr:col>
      <xdr:colOff>91440</xdr:colOff>
      <xdr:row>226</xdr:row>
      <xdr:rowOff>129117</xdr:rowOff>
    </xdr:from>
    <xdr:to>
      <xdr:col>15</xdr:col>
      <xdr:colOff>265006</xdr:colOff>
      <xdr:row>227</xdr:row>
      <xdr:rowOff>2967</xdr:rowOff>
    </xdr:to>
    <xdr:cxnSp macro="">
      <xdr:nvCxnSpPr>
        <xdr:cNvPr id="403" name="Straight Arrow Connector 402">
          <a:extLst>
            <a:ext uri="{FF2B5EF4-FFF2-40B4-BE49-F238E27FC236}">
              <a16:creationId xmlns:a16="http://schemas.microsoft.com/office/drawing/2014/main" id="{00000000-0008-0000-0200-000093010000}"/>
            </a:ext>
          </a:extLst>
        </xdr:cNvPr>
        <xdr:cNvCxnSpPr>
          <a:stCxn id="399" idx="3"/>
          <a:endCxn id="401" idx="1"/>
        </xdr:cNvCxnSpPr>
      </xdr:nvCxnSpPr>
      <xdr:spPr>
        <a:xfrm>
          <a:off x="2080260" y="24497877"/>
          <a:ext cx="5317066" cy="339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563880</xdr:colOff>
      <xdr:row>230</xdr:row>
      <xdr:rowOff>79587</xdr:rowOff>
    </xdr:from>
    <xdr:to>
      <xdr:col>6</xdr:col>
      <xdr:colOff>91440</xdr:colOff>
      <xdr:row>233</xdr:row>
      <xdr:rowOff>79587</xdr:rowOff>
    </xdr:to>
    <xdr:sp macro="" textlink="">
      <xdr:nvSpPr>
        <xdr:cNvPr id="404" name="Rectangle 403">
          <a:extLst>
            <a:ext uri="{FF2B5EF4-FFF2-40B4-BE49-F238E27FC236}">
              <a16:creationId xmlns:a16="http://schemas.microsoft.com/office/drawing/2014/main" id="{00000000-0008-0000-0200-000094010000}"/>
            </a:ext>
          </a:extLst>
        </xdr:cNvPr>
        <xdr:cNvSpPr/>
      </xdr:nvSpPr>
      <xdr:spPr>
        <a:xfrm>
          <a:off x="838200" y="24966507"/>
          <a:ext cx="1242060" cy="388620"/>
        </a:xfrm>
        <a:prstGeom prst="rect">
          <a:avLst/>
        </a:prstGeom>
        <a:solidFill>
          <a:schemeClr val="accent4">
            <a:lumMod val="20000"/>
            <a:lumOff val="80000"/>
          </a:schemeClr>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tIns="36000" rIns="36000" bIns="36000" rtlCol="0" anchor="ctr"/>
        <a:lstStyle/>
        <a:p>
          <a:pPr algn="ctr"/>
          <a:r>
            <a:rPr lang="en-AU" sz="800">
              <a:solidFill>
                <a:sysClr val="windowText" lastClr="000000"/>
              </a:solidFill>
            </a:rPr>
            <a:t>Environment cost/benefit ($)</a:t>
          </a:r>
        </a:p>
      </xdr:txBody>
    </xdr:sp>
    <xdr:clientData/>
  </xdr:twoCellAnchor>
  <xdr:twoCellAnchor>
    <xdr:from>
      <xdr:col>15</xdr:col>
      <xdr:colOff>265006</xdr:colOff>
      <xdr:row>230</xdr:row>
      <xdr:rowOff>82977</xdr:rowOff>
    </xdr:from>
    <xdr:to>
      <xdr:col>17</xdr:col>
      <xdr:colOff>312419</xdr:colOff>
      <xdr:row>233</xdr:row>
      <xdr:rowOff>82976</xdr:rowOff>
    </xdr:to>
    <xdr:sp macro="" textlink="">
      <xdr:nvSpPr>
        <xdr:cNvPr id="405" name="Rectangle 404">
          <a:extLst>
            <a:ext uri="{FF2B5EF4-FFF2-40B4-BE49-F238E27FC236}">
              <a16:creationId xmlns:a16="http://schemas.microsoft.com/office/drawing/2014/main" id="{00000000-0008-0000-0200-000095010000}"/>
            </a:ext>
          </a:extLst>
        </xdr:cNvPr>
        <xdr:cNvSpPr/>
      </xdr:nvSpPr>
      <xdr:spPr>
        <a:xfrm>
          <a:off x="7397326" y="24969897"/>
          <a:ext cx="1190413" cy="388619"/>
        </a:xfrm>
        <a:prstGeom prst="rect">
          <a:avLst/>
        </a:prstGeom>
        <a:solidFill>
          <a:schemeClr val="accent6">
            <a:lumMod val="20000"/>
            <a:lumOff val="80000"/>
          </a:schemeClr>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tIns="36000" rIns="36000" bIns="36000" rtlCol="0" anchor="ctr"/>
        <a:lstStyle/>
        <a:p>
          <a:pPr algn="ctr"/>
          <a:r>
            <a:rPr lang="en-AU" sz="800" b="0" baseline="0">
              <a:solidFill>
                <a:sysClr val="windowText" lastClr="000000"/>
              </a:solidFill>
            </a:rPr>
            <a:t>Environment cost/benefit ($)</a:t>
          </a:r>
          <a:endParaRPr lang="en-AU" sz="800" b="0">
            <a:solidFill>
              <a:sysClr val="windowText" lastClr="000000"/>
            </a:solidFill>
          </a:endParaRPr>
        </a:p>
      </xdr:txBody>
    </xdr:sp>
    <xdr:clientData/>
  </xdr:twoCellAnchor>
  <xdr:twoCellAnchor>
    <xdr:from>
      <xdr:col>6</xdr:col>
      <xdr:colOff>91440</xdr:colOff>
      <xdr:row>232</xdr:row>
      <xdr:rowOff>14817</xdr:rowOff>
    </xdr:from>
    <xdr:to>
      <xdr:col>15</xdr:col>
      <xdr:colOff>265006</xdr:colOff>
      <xdr:row>232</xdr:row>
      <xdr:rowOff>18207</xdr:rowOff>
    </xdr:to>
    <xdr:cxnSp macro="">
      <xdr:nvCxnSpPr>
        <xdr:cNvPr id="406" name="Straight Arrow Connector 405">
          <a:extLst>
            <a:ext uri="{FF2B5EF4-FFF2-40B4-BE49-F238E27FC236}">
              <a16:creationId xmlns:a16="http://schemas.microsoft.com/office/drawing/2014/main" id="{00000000-0008-0000-0200-000096010000}"/>
            </a:ext>
          </a:extLst>
        </xdr:cNvPr>
        <xdr:cNvCxnSpPr>
          <a:stCxn id="404" idx="3"/>
          <a:endCxn id="405" idx="1"/>
        </xdr:cNvCxnSpPr>
      </xdr:nvCxnSpPr>
      <xdr:spPr>
        <a:xfrm>
          <a:off x="2080260" y="25160817"/>
          <a:ext cx="5317066" cy="339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563880</xdr:colOff>
      <xdr:row>235</xdr:row>
      <xdr:rowOff>110067</xdr:rowOff>
    </xdr:from>
    <xdr:to>
      <xdr:col>6</xdr:col>
      <xdr:colOff>91440</xdr:colOff>
      <xdr:row>238</xdr:row>
      <xdr:rowOff>110067</xdr:rowOff>
    </xdr:to>
    <xdr:sp macro="" textlink="">
      <xdr:nvSpPr>
        <xdr:cNvPr id="407" name="Rectangle 406">
          <a:extLst>
            <a:ext uri="{FF2B5EF4-FFF2-40B4-BE49-F238E27FC236}">
              <a16:creationId xmlns:a16="http://schemas.microsoft.com/office/drawing/2014/main" id="{00000000-0008-0000-0200-000097010000}"/>
            </a:ext>
          </a:extLst>
        </xdr:cNvPr>
        <xdr:cNvSpPr/>
      </xdr:nvSpPr>
      <xdr:spPr>
        <a:xfrm>
          <a:off x="838200" y="25644687"/>
          <a:ext cx="1242060" cy="388620"/>
        </a:xfrm>
        <a:prstGeom prst="rect">
          <a:avLst/>
        </a:prstGeom>
        <a:solidFill>
          <a:schemeClr val="accent4">
            <a:lumMod val="20000"/>
            <a:lumOff val="80000"/>
          </a:schemeClr>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tIns="36000" rIns="36000" bIns="36000" rtlCol="0" anchor="ctr"/>
        <a:lstStyle/>
        <a:p>
          <a:pPr algn="ctr"/>
          <a:r>
            <a:rPr lang="en-AU" sz="800">
              <a:solidFill>
                <a:sysClr val="windowText" lastClr="000000"/>
              </a:solidFill>
            </a:rPr>
            <a:t>Network asset failure EUE cost/benefit ($)</a:t>
          </a:r>
        </a:p>
      </xdr:txBody>
    </xdr:sp>
    <xdr:clientData/>
  </xdr:twoCellAnchor>
  <xdr:twoCellAnchor>
    <xdr:from>
      <xdr:col>15</xdr:col>
      <xdr:colOff>265006</xdr:colOff>
      <xdr:row>235</xdr:row>
      <xdr:rowOff>113457</xdr:rowOff>
    </xdr:from>
    <xdr:to>
      <xdr:col>17</xdr:col>
      <xdr:colOff>312419</xdr:colOff>
      <xdr:row>238</xdr:row>
      <xdr:rowOff>113456</xdr:rowOff>
    </xdr:to>
    <xdr:sp macro="" textlink="">
      <xdr:nvSpPr>
        <xdr:cNvPr id="408" name="Rectangle 407">
          <a:extLst>
            <a:ext uri="{FF2B5EF4-FFF2-40B4-BE49-F238E27FC236}">
              <a16:creationId xmlns:a16="http://schemas.microsoft.com/office/drawing/2014/main" id="{00000000-0008-0000-0200-000098010000}"/>
            </a:ext>
          </a:extLst>
        </xdr:cNvPr>
        <xdr:cNvSpPr/>
      </xdr:nvSpPr>
      <xdr:spPr>
        <a:xfrm>
          <a:off x="7397326" y="25648077"/>
          <a:ext cx="1190413" cy="388619"/>
        </a:xfrm>
        <a:prstGeom prst="rect">
          <a:avLst/>
        </a:prstGeom>
        <a:solidFill>
          <a:schemeClr val="accent6">
            <a:lumMod val="20000"/>
            <a:lumOff val="80000"/>
          </a:schemeClr>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tIns="36000" rIns="36000" bIns="36000" rtlCol="0" anchor="ctr"/>
        <a:lstStyle/>
        <a:p>
          <a:pPr algn="ctr"/>
          <a:r>
            <a:rPr lang="en-AU" sz="800" b="0" baseline="0">
              <a:solidFill>
                <a:sysClr val="windowText" lastClr="000000"/>
              </a:solidFill>
            </a:rPr>
            <a:t>Network asset failure EUE cost/benefit ($)</a:t>
          </a:r>
          <a:endParaRPr lang="en-AU" sz="800" b="0">
            <a:solidFill>
              <a:sysClr val="windowText" lastClr="000000"/>
            </a:solidFill>
          </a:endParaRPr>
        </a:p>
      </xdr:txBody>
    </xdr:sp>
    <xdr:clientData/>
  </xdr:twoCellAnchor>
  <xdr:twoCellAnchor>
    <xdr:from>
      <xdr:col>6</xdr:col>
      <xdr:colOff>91440</xdr:colOff>
      <xdr:row>237</xdr:row>
      <xdr:rowOff>45297</xdr:rowOff>
    </xdr:from>
    <xdr:to>
      <xdr:col>15</xdr:col>
      <xdr:colOff>265006</xdr:colOff>
      <xdr:row>237</xdr:row>
      <xdr:rowOff>48687</xdr:rowOff>
    </xdr:to>
    <xdr:cxnSp macro="">
      <xdr:nvCxnSpPr>
        <xdr:cNvPr id="409" name="Straight Arrow Connector 408">
          <a:extLst>
            <a:ext uri="{FF2B5EF4-FFF2-40B4-BE49-F238E27FC236}">
              <a16:creationId xmlns:a16="http://schemas.microsoft.com/office/drawing/2014/main" id="{00000000-0008-0000-0200-000099010000}"/>
            </a:ext>
          </a:extLst>
        </xdr:cNvPr>
        <xdr:cNvCxnSpPr>
          <a:stCxn id="407" idx="3"/>
          <a:endCxn id="408" idx="1"/>
        </xdr:cNvCxnSpPr>
      </xdr:nvCxnSpPr>
      <xdr:spPr>
        <a:xfrm>
          <a:off x="2080260" y="25838997"/>
          <a:ext cx="5317066" cy="339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563880</xdr:colOff>
      <xdr:row>241</xdr:row>
      <xdr:rowOff>3387</xdr:rowOff>
    </xdr:from>
    <xdr:to>
      <xdr:col>6</xdr:col>
      <xdr:colOff>91440</xdr:colOff>
      <xdr:row>244</xdr:row>
      <xdr:rowOff>3387</xdr:rowOff>
    </xdr:to>
    <xdr:sp macro="" textlink="">
      <xdr:nvSpPr>
        <xdr:cNvPr id="410" name="Rectangle 409">
          <a:extLst>
            <a:ext uri="{FF2B5EF4-FFF2-40B4-BE49-F238E27FC236}">
              <a16:creationId xmlns:a16="http://schemas.microsoft.com/office/drawing/2014/main" id="{00000000-0008-0000-0200-00009A010000}"/>
            </a:ext>
          </a:extLst>
        </xdr:cNvPr>
        <xdr:cNvSpPr/>
      </xdr:nvSpPr>
      <xdr:spPr>
        <a:xfrm>
          <a:off x="838200" y="26315247"/>
          <a:ext cx="1242060" cy="388620"/>
        </a:xfrm>
        <a:prstGeom prst="rect">
          <a:avLst/>
        </a:prstGeom>
        <a:solidFill>
          <a:schemeClr val="accent4">
            <a:lumMod val="20000"/>
            <a:lumOff val="80000"/>
          </a:schemeClr>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tIns="36000" rIns="36000" bIns="36000" rtlCol="0" anchor="ctr"/>
        <a:lstStyle/>
        <a:p>
          <a:pPr algn="ctr"/>
          <a:r>
            <a:rPr lang="en-AU" sz="800">
              <a:solidFill>
                <a:sysClr val="windowText" lastClr="000000"/>
              </a:solidFill>
            </a:rPr>
            <a:t>3rd party property damage cost/benefit ($)</a:t>
          </a:r>
        </a:p>
      </xdr:txBody>
    </xdr:sp>
    <xdr:clientData/>
  </xdr:twoCellAnchor>
  <xdr:twoCellAnchor>
    <xdr:from>
      <xdr:col>15</xdr:col>
      <xdr:colOff>265006</xdr:colOff>
      <xdr:row>241</xdr:row>
      <xdr:rowOff>6777</xdr:rowOff>
    </xdr:from>
    <xdr:to>
      <xdr:col>17</xdr:col>
      <xdr:colOff>312419</xdr:colOff>
      <xdr:row>244</xdr:row>
      <xdr:rowOff>6776</xdr:rowOff>
    </xdr:to>
    <xdr:sp macro="" textlink="">
      <xdr:nvSpPr>
        <xdr:cNvPr id="411" name="Rectangle 410">
          <a:extLst>
            <a:ext uri="{FF2B5EF4-FFF2-40B4-BE49-F238E27FC236}">
              <a16:creationId xmlns:a16="http://schemas.microsoft.com/office/drawing/2014/main" id="{00000000-0008-0000-0200-00009B010000}"/>
            </a:ext>
          </a:extLst>
        </xdr:cNvPr>
        <xdr:cNvSpPr/>
      </xdr:nvSpPr>
      <xdr:spPr>
        <a:xfrm>
          <a:off x="7397326" y="26318637"/>
          <a:ext cx="1190413" cy="388619"/>
        </a:xfrm>
        <a:prstGeom prst="rect">
          <a:avLst/>
        </a:prstGeom>
        <a:solidFill>
          <a:schemeClr val="accent6">
            <a:lumMod val="20000"/>
            <a:lumOff val="80000"/>
          </a:schemeClr>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tIns="36000" rIns="36000" bIns="36000" rtlCol="0" anchor="ctr"/>
        <a:lstStyle/>
        <a:p>
          <a:pPr algn="ctr"/>
          <a:r>
            <a:rPr lang="en-AU" sz="800" b="0" baseline="0">
              <a:solidFill>
                <a:sysClr val="windowText" lastClr="000000"/>
              </a:solidFill>
            </a:rPr>
            <a:t>3rd party property damage cost/benefit ($)</a:t>
          </a:r>
          <a:endParaRPr lang="en-AU" sz="800" b="0">
            <a:solidFill>
              <a:sysClr val="windowText" lastClr="000000"/>
            </a:solidFill>
          </a:endParaRPr>
        </a:p>
      </xdr:txBody>
    </xdr:sp>
    <xdr:clientData/>
  </xdr:twoCellAnchor>
  <xdr:twoCellAnchor>
    <xdr:from>
      <xdr:col>6</xdr:col>
      <xdr:colOff>91440</xdr:colOff>
      <xdr:row>242</xdr:row>
      <xdr:rowOff>68157</xdr:rowOff>
    </xdr:from>
    <xdr:to>
      <xdr:col>15</xdr:col>
      <xdr:colOff>265006</xdr:colOff>
      <xdr:row>242</xdr:row>
      <xdr:rowOff>71547</xdr:rowOff>
    </xdr:to>
    <xdr:cxnSp macro="">
      <xdr:nvCxnSpPr>
        <xdr:cNvPr id="412" name="Straight Arrow Connector 411">
          <a:extLst>
            <a:ext uri="{FF2B5EF4-FFF2-40B4-BE49-F238E27FC236}">
              <a16:creationId xmlns:a16="http://schemas.microsoft.com/office/drawing/2014/main" id="{00000000-0008-0000-0200-00009C010000}"/>
            </a:ext>
          </a:extLst>
        </xdr:cNvPr>
        <xdr:cNvCxnSpPr>
          <a:stCxn id="410" idx="3"/>
          <a:endCxn id="411" idx="1"/>
        </xdr:cNvCxnSpPr>
      </xdr:nvCxnSpPr>
      <xdr:spPr>
        <a:xfrm>
          <a:off x="2080260" y="26509557"/>
          <a:ext cx="5317066" cy="339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563880</xdr:colOff>
      <xdr:row>246</xdr:row>
      <xdr:rowOff>26247</xdr:rowOff>
    </xdr:from>
    <xdr:to>
      <xdr:col>6</xdr:col>
      <xdr:colOff>91440</xdr:colOff>
      <xdr:row>249</xdr:row>
      <xdr:rowOff>26247</xdr:rowOff>
    </xdr:to>
    <xdr:sp macro="" textlink="">
      <xdr:nvSpPr>
        <xdr:cNvPr id="413" name="Rectangle 412">
          <a:extLst>
            <a:ext uri="{FF2B5EF4-FFF2-40B4-BE49-F238E27FC236}">
              <a16:creationId xmlns:a16="http://schemas.microsoft.com/office/drawing/2014/main" id="{00000000-0008-0000-0200-00009D010000}"/>
            </a:ext>
          </a:extLst>
        </xdr:cNvPr>
        <xdr:cNvSpPr/>
      </xdr:nvSpPr>
      <xdr:spPr>
        <a:xfrm>
          <a:off x="838200" y="26985807"/>
          <a:ext cx="1242060" cy="388620"/>
        </a:xfrm>
        <a:prstGeom prst="rect">
          <a:avLst/>
        </a:prstGeom>
        <a:solidFill>
          <a:schemeClr val="accent4">
            <a:lumMod val="20000"/>
            <a:lumOff val="80000"/>
          </a:schemeClr>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tIns="36000" rIns="36000" bIns="36000" rtlCol="0" anchor="ctr"/>
        <a:lstStyle/>
        <a:p>
          <a:pPr algn="ctr"/>
          <a:r>
            <a:rPr lang="en-AU" sz="800">
              <a:solidFill>
                <a:sysClr val="windowText" lastClr="000000"/>
              </a:solidFill>
            </a:rPr>
            <a:t>Construction EUE risk cost/benefit</a:t>
          </a:r>
          <a:r>
            <a:rPr lang="en-AU" sz="800" baseline="0">
              <a:solidFill>
                <a:sysClr val="windowText" lastClr="000000"/>
              </a:solidFill>
            </a:rPr>
            <a:t> </a:t>
          </a:r>
          <a:r>
            <a:rPr lang="en-AU" sz="800">
              <a:solidFill>
                <a:sysClr val="windowText" lastClr="000000"/>
              </a:solidFill>
            </a:rPr>
            <a:t>($)</a:t>
          </a:r>
        </a:p>
      </xdr:txBody>
    </xdr:sp>
    <xdr:clientData/>
  </xdr:twoCellAnchor>
  <xdr:twoCellAnchor>
    <xdr:from>
      <xdr:col>15</xdr:col>
      <xdr:colOff>265006</xdr:colOff>
      <xdr:row>246</xdr:row>
      <xdr:rowOff>29637</xdr:rowOff>
    </xdr:from>
    <xdr:to>
      <xdr:col>17</xdr:col>
      <xdr:colOff>312419</xdr:colOff>
      <xdr:row>249</xdr:row>
      <xdr:rowOff>29636</xdr:rowOff>
    </xdr:to>
    <xdr:sp macro="" textlink="">
      <xdr:nvSpPr>
        <xdr:cNvPr id="414" name="Rectangle 413">
          <a:extLst>
            <a:ext uri="{FF2B5EF4-FFF2-40B4-BE49-F238E27FC236}">
              <a16:creationId xmlns:a16="http://schemas.microsoft.com/office/drawing/2014/main" id="{00000000-0008-0000-0200-00009E010000}"/>
            </a:ext>
          </a:extLst>
        </xdr:cNvPr>
        <xdr:cNvSpPr/>
      </xdr:nvSpPr>
      <xdr:spPr>
        <a:xfrm>
          <a:off x="7397326" y="26989197"/>
          <a:ext cx="1190413" cy="388619"/>
        </a:xfrm>
        <a:prstGeom prst="rect">
          <a:avLst/>
        </a:prstGeom>
        <a:solidFill>
          <a:schemeClr val="accent6">
            <a:lumMod val="20000"/>
            <a:lumOff val="80000"/>
          </a:schemeClr>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tIns="36000" rIns="36000" bIns="36000" rtlCol="0" anchor="ctr"/>
        <a:lstStyle/>
        <a:p>
          <a:pPr algn="ctr"/>
          <a:r>
            <a:rPr lang="en-AU" sz="800" b="0" baseline="0">
              <a:solidFill>
                <a:sysClr val="windowText" lastClr="000000"/>
              </a:solidFill>
            </a:rPr>
            <a:t>Construction EUE cost/benefit ($)</a:t>
          </a:r>
          <a:endParaRPr lang="en-AU" sz="800" b="0">
            <a:solidFill>
              <a:sysClr val="windowText" lastClr="000000"/>
            </a:solidFill>
          </a:endParaRPr>
        </a:p>
      </xdr:txBody>
    </xdr:sp>
    <xdr:clientData/>
  </xdr:twoCellAnchor>
  <xdr:twoCellAnchor>
    <xdr:from>
      <xdr:col>6</xdr:col>
      <xdr:colOff>91440</xdr:colOff>
      <xdr:row>247</xdr:row>
      <xdr:rowOff>91017</xdr:rowOff>
    </xdr:from>
    <xdr:to>
      <xdr:col>15</xdr:col>
      <xdr:colOff>265006</xdr:colOff>
      <xdr:row>247</xdr:row>
      <xdr:rowOff>94407</xdr:rowOff>
    </xdr:to>
    <xdr:cxnSp macro="">
      <xdr:nvCxnSpPr>
        <xdr:cNvPr id="415" name="Straight Arrow Connector 414">
          <a:extLst>
            <a:ext uri="{FF2B5EF4-FFF2-40B4-BE49-F238E27FC236}">
              <a16:creationId xmlns:a16="http://schemas.microsoft.com/office/drawing/2014/main" id="{00000000-0008-0000-0200-00009F010000}"/>
            </a:ext>
          </a:extLst>
        </xdr:cNvPr>
        <xdr:cNvCxnSpPr>
          <a:stCxn id="413" idx="3"/>
          <a:endCxn id="414" idx="1"/>
        </xdr:cNvCxnSpPr>
      </xdr:nvCxnSpPr>
      <xdr:spPr>
        <a:xfrm>
          <a:off x="2080260" y="27180117"/>
          <a:ext cx="5317066" cy="339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14</xdr:col>
      <xdr:colOff>548640</xdr:colOff>
      <xdr:row>128</xdr:row>
      <xdr:rowOff>7620</xdr:rowOff>
    </xdr:from>
    <xdr:to>
      <xdr:col>17</xdr:col>
      <xdr:colOff>563880</xdr:colOff>
      <xdr:row>130</xdr:row>
      <xdr:rowOff>90352</xdr:rowOff>
    </xdr:to>
    <xdr:sp macro="" textlink="">
      <xdr:nvSpPr>
        <xdr:cNvPr id="417" name="Rectangle 416">
          <a:extLst>
            <a:ext uri="{FF2B5EF4-FFF2-40B4-BE49-F238E27FC236}">
              <a16:creationId xmlns:a16="http://schemas.microsoft.com/office/drawing/2014/main" id="{00000000-0008-0000-0200-0000A1010000}"/>
            </a:ext>
          </a:extLst>
        </xdr:cNvPr>
        <xdr:cNvSpPr/>
      </xdr:nvSpPr>
      <xdr:spPr>
        <a:xfrm>
          <a:off x="7109460" y="10904220"/>
          <a:ext cx="1729740" cy="341812"/>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AU" sz="800" i="1">
              <a:solidFill>
                <a:schemeClr val="bg1">
                  <a:lumMod val="75000"/>
                </a:schemeClr>
              </a:solidFill>
            </a:rPr>
            <a:t>If</a:t>
          </a:r>
          <a:r>
            <a:rPr lang="en-AU" sz="800" i="1" baseline="0">
              <a:solidFill>
                <a:schemeClr val="bg1">
                  <a:lumMod val="75000"/>
                </a:schemeClr>
              </a:solidFill>
            </a:rPr>
            <a:t> applicable (when asset life extends beyond model timeline) </a:t>
          </a:r>
          <a:endParaRPr lang="en-AU" sz="800" i="1">
            <a:solidFill>
              <a:schemeClr val="bg1">
                <a:lumMod val="75000"/>
              </a:schemeClr>
            </a:solidFill>
          </a:endParaRPr>
        </a:p>
      </xdr:txBody>
    </xdr:sp>
    <xdr:clientData/>
  </xdr:twoCellAnchor>
  <xdr:twoCellAnchor>
    <xdr:from>
      <xdr:col>1</xdr:col>
      <xdr:colOff>60960</xdr:colOff>
      <xdr:row>217</xdr:row>
      <xdr:rowOff>38100</xdr:rowOff>
    </xdr:from>
    <xdr:to>
      <xdr:col>17</xdr:col>
      <xdr:colOff>533400</xdr:colOff>
      <xdr:row>218</xdr:row>
      <xdr:rowOff>82732</xdr:rowOff>
    </xdr:to>
    <xdr:sp macro="" textlink="">
      <xdr:nvSpPr>
        <xdr:cNvPr id="418" name="Rectangle 417">
          <a:extLst>
            <a:ext uri="{FF2B5EF4-FFF2-40B4-BE49-F238E27FC236}">
              <a16:creationId xmlns:a16="http://schemas.microsoft.com/office/drawing/2014/main" id="{00000000-0008-0000-0200-0000A2010000}"/>
            </a:ext>
          </a:extLst>
        </xdr:cNvPr>
        <xdr:cNvSpPr/>
      </xdr:nvSpPr>
      <xdr:spPr>
        <a:xfrm>
          <a:off x="152400" y="22593300"/>
          <a:ext cx="8656320" cy="174172"/>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lang="en-AU" sz="800" i="1">
              <a:solidFill>
                <a:schemeClr val="bg1">
                  <a:lumMod val="75000"/>
                </a:schemeClr>
              </a:solidFill>
            </a:rPr>
            <a:t>Probabilistic</a:t>
          </a:r>
          <a:r>
            <a:rPr lang="en-AU" sz="800" i="1" baseline="0">
              <a:solidFill>
                <a:schemeClr val="bg1">
                  <a:lumMod val="75000"/>
                </a:schemeClr>
              </a:solidFill>
            </a:rPr>
            <a:t> inputs can be calculated using the </a:t>
          </a:r>
          <a:r>
            <a:rPr lang="en-AU" sz="800" b="1" i="1" baseline="0">
              <a:solidFill>
                <a:schemeClr val="bg1">
                  <a:lumMod val="75000"/>
                </a:schemeClr>
              </a:solidFill>
            </a:rPr>
            <a:t>ProbNPV tool </a:t>
          </a:r>
          <a:r>
            <a:rPr lang="en-AU" sz="800" b="0" i="1" baseline="0">
              <a:solidFill>
                <a:schemeClr val="bg1">
                  <a:lumMod val="75000"/>
                </a:schemeClr>
              </a:solidFill>
            </a:rPr>
            <a:t>provided. Alternatively, they can be input by business case owners directly to be submitted with supporting documentation as required </a:t>
          </a:r>
          <a:endParaRPr lang="en-AU" sz="800" b="1" i="1">
            <a:solidFill>
              <a:schemeClr val="bg1">
                <a:lumMod val="75000"/>
              </a:schemeClr>
            </a:solidFill>
          </a:endParaRPr>
        </a:p>
      </xdr:txBody>
    </xdr:sp>
    <xdr:clientData/>
  </xdr:twoCellAnchor>
  <xdr:twoCellAnchor>
    <xdr:from>
      <xdr:col>3</xdr:col>
      <xdr:colOff>563880</xdr:colOff>
      <xdr:row>251</xdr:row>
      <xdr:rowOff>26247</xdr:rowOff>
    </xdr:from>
    <xdr:to>
      <xdr:col>6</xdr:col>
      <xdr:colOff>91440</xdr:colOff>
      <xdr:row>254</xdr:row>
      <xdr:rowOff>26247</xdr:rowOff>
    </xdr:to>
    <xdr:sp macro="" textlink="">
      <xdr:nvSpPr>
        <xdr:cNvPr id="419" name="Rectangle 418">
          <a:extLst>
            <a:ext uri="{FF2B5EF4-FFF2-40B4-BE49-F238E27FC236}">
              <a16:creationId xmlns:a16="http://schemas.microsoft.com/office/drawing/2014/main" id="{00000000-0008-0000-0200-0000A3010000}"/>
            </a:ext>
          </a:extLst>
        </xdr:cNvPr>
        <xdr:cNvSpPr/>
      </xdr:nvSpPr>
      <xdr:spPr>
        <a:xfrm>
          <a:off x="838200" y="28022127"/>
          <a:ext cx="1242060" cy="388620"/>
        </a:xfrm>
        <a:prstGeom prst="rect">
          <a:avLst/>
        </a:prstGeom>
        <a:solidFill>
          <a:schemeClr val="accent4">
            <a:lumMod val="20000"/>
            <a:lumOff val="80000"/>
          </a:schemeClr>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tIns="36000" rIns="36000" bIns="36000" rtlCol="0" anchor="ctr"/>
        <a:lstStyle/>
        <a:p>
          <a:pPr algn="ctr"/>
          <a:r>
            <a:rPr lang="en-AU" sz="800">
              <a:solidFill>
                <a:sysClr val="windowText" lastClr="000000"/>
              </a:solidFill>
            </a:rPr>
            <a:t>Carbon</a:t>
          </a:r>
          <a:r>
            <a:rPr lang="en-AU" sz="800" baseline="0">
              <a:solidFill>
                <a:sysClr val="windowText" lastClr="000000"/>
              </a:solidFill>
            </a:rPr>
            <a:t> emissions cost/benefit </a:t>
          </a:r>
          <a:r>
            <a:rPr lang="en-AU" sz="800">
              <a:solidFill>
                <a:sysClr val="windowText" lastClr="000000"/>
              </a:solidFill>
            </a:rPr>
            <a:t>($)</a:t>
          </a:r>
        </a:p>
      </xdr:txBody>
    </xdr:sp>
    <xdr:clientData/>
  </xdr:twoCellAnchor>
  <xdr:twoCellAnchor>
    <xdr:from>
      <xdr:col>15</xdr:col>
      <xdr:colOff>265006</xdr:colOff>
      <xdr:row>251</xdr:row>
      <xdr:rowOff>29637</xdr:rowOff>
    </xdr:from>
    <xdr:to>
      <xdr:col>17</xdr:col>
      <xdr:colOff>312419</xdr:colOff>
      <xdr:row>254</xdr:row>
      <xdr:rowOff>29636</xdr:rowOff>
    </xdr:to>
    <xdr:sp macro="" textlink="">
      <xdr:nvSpPr>
        <xdr:cNvPr id="420" name="Rectangle 419">
          <a:extLst>
            <a:ext uri="{FF2B5EF4-FFF2-40B4-BE49-F238E27FC236}">
              <a16:creationId xmlns:a16="http://schemas.microsoft.com/office/drawing/2014/main" id="{00000000-0008-0000-0200-0000A4010000}"/>
            </a:ext>
          </a:extLst>
        </xdr:cNvPr>
        <xdr:cNvSpPr/>
      </xdr:nvSpPr>
      <xdr:spPr>
        <a:xfrm>
          <a:off x="7397326" y="28025517"/>
          <a:ext cx="1190413" cy="388619"/>
        </a:xfrm>
        <a:prstGeom prst="rect">
          <a:avLst/>
        </a:prstGeom>
        <a:solidFill>
          <a:schemeClr val="accent6">
            <a:lumMod val="20000"/>
            <a:lumOff val="80000"/>
          </a:schemeClr>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tIns="36000" rIns="36000" bIns="36000" rtlCol="0" anchor="ctr"/>
        <a:lstStyle/>
        <a:p>
          <a:pPr algn="ctr"/>
          <a:r>
            <a:rPr lang="en-AU" sz="800" b="0" baseline="0">
              <a:solidFill>
                <a:sysClr val="windowText" lastClr="000000"/>
              </a:solidFill>
            </a:rPr>
            <a:t>Carbon emissions cost/beneift ($)</a:t>
          </a:r>
          <a:endParaRPr lang="en-AU" sz="800" b="0">
            <a:solidFill>
              <a:sysClr val="windowText" lastClr="000000"/>
            </a:solidFill>
          </a:endParaRPr>
        </a:p>
      </xdr:txBody>
    </xdr:sp>
    <xdr:clientData/>
  </xdr:twoCellAnchor>
  <xdr:twoCellAnchor>
    <xdr:from>
      <xdr:col>6</xdr:col>
      <xdr:colOff>91440</xdr:colOff>
      <xdr:row>252</xdr:row>
      <xdr:rowOff>91017</xdr:rowOff>
    </xdr:from>
    <xdr:to>
      <xdr:col>15</xdr:col>
      <xdr:colOff>265006</xdr:colOff>
      <xdr:row>252</xdr:row>
      <xdr:rowOff>94407</xdr:rowOff>
    </xdr:to>
    <xdr:cxnSp macro="">
      <xdr:nvCxnSpPr>
        <xdr:cNvPr id="421" name="Straight Arrow Connector 420">
          <a:extLst>
            <a:ext uri="{FF2B5EF4-FFF2-40B4-BE49-F238E27FC236}">
              <a16:creationId xmlns:a16="http://schemas.microsoft.com/office/drawing/2014/main" id="{00000000-0008-0000-0200-0000A5010000}"/>
            </a:ext>
          </a:extLst>
        </xdr:cNvPr>
        <xdr:cNvCxnSpPr>
          <a:stCxn id="419" idx="3"/>
          <a:endCxn id="420" idx="1"/>
        </xdr:cNvCxnSpPr>
      </xdr:nvCxnSpPr>
      <xdr:spPr>
        <a:xfrm>
          <a:off x="2080260" y="28216437"/>
          <a:ext cx="5317066" cy="339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342900</xdr:colOff>
      <xdr:row>256</xdr:row>
      <xdr:rowOff>49107</xdr:rowOff>
    </xdr:from>
    <xdr:to>
      <xdr:col>9</xdr:col>
      <xdr:colOff>441960</xdr:colOff>
      <xdr:row>259</xdr:row>
      <xdr:rowOff>49107</xdr:rowOff>
    </xdr:to>
    <xdr:sp macro="" textlink="">
      <xdr:nvSpPr>
        <xdr:cNvPr id="422" name="Rectangle 421">
          <a:extLst>
            <a:ext uri="{FF2B5EF4-FFF2-40B4-BE49-F238E27FC236}">
              <a16:creationId xmlns:a16="http://schemas.microsoft.com/office/drawing/2014/main" id="{00000000-0008-0000-0200-0000A6010000}"/>
            </a:ext>
          </a:extLst>
        </xdr:cNvPr>
        <xdr:cNvSpPr/>
      </xdr:nvSpPr>
      <xdr:spPr>
        <a:xfrm>
          <a:off x="2903220" y="28692687"/>
          <a:ext cx="1242060" cy="388620"/>
        </a:xfrm>
        <a:prstGeom prst="rect">
          <a:avLst/>
        </a:prstGeom>
        <a:solidFill>
          <a:schemeClr val="accent4">
            <a:lumMod val="20000"/>
            <a:lumOff val="80000"/>
          </a:schemeClr>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tIns="36000" rIns="36000" bIns="36000" rtlCol="0" anchor="ctr"/>
        <a:lstStyle/>
        <a:p>
          <a:pPr algn="ctr"/>
          <a:r>
            <a:rPr lang="en-AU" sz="800">
              <a:solidFill>
                <a:sysClr val="windowText" lastClr="000000"/>
              </a:solidFill>
            </a:rPr>
            <a:t>Cost to respond to crisis</a:t>
          </a:r>
          <a:r>
            <a:rPr lang="en-AU" sz="800" baseline="0">
              <a:solidFill>
                <a:sysClr val="windowText" lastClr="000000"/>
              </a:solidFill>
            </a:rPr>
            <a:t> </a:t>
          </a:r>
          <a:r>
            <a:rPr lang="en-AU" sz="800">
              <a:solidFill>
                <a:sysClr val="windowText" lastClr="000000"/>
              </a:solidFill>
            </a:rPr>
            <a:t>($)</a:t>
          </a:r>
        </a:p>
      </xdr:txBody>
    </xdr:sp>
    <xdr:clientData/>
  </xdr:twoCellAnchor>
  <xdr:twoCellAnchor>
    <xdr:from>
      <xdr:col>15</xdr:col>
      <xdr:colOff>265006</xdr:colOff>
      <xdr:row>266</xdr:row>
      <xdr:rowOff>14397</xdr:rowOff>
    </xdr:from>
    <xdr:to>
      <xdr:col>17</xdr:col>
      <xdr:colOff>312419</xdr:colOff>
      <xdr:row>269</xdr:row>
      <xdr:rowOff>14396</xdr:rowOff>
    </xdr:to>
    <xdr:sp macro="" textlink="">
      <xdr:nvSpPr>
        <xdr:cNvPr id="423" name="Rectangle 422">
          <a:extLst>
            <a:ext uri="{FF2B5EF4-FFF2-40B4-BE49-F238E27FC236}">
              <a16:creationId xmlns:a16="http://schemas.microsoft.com/office/drawing/2014/main" id="{00000000-0008-0000-0200-0000A7010000}"/>
            </a:ext>
          </a:extLst>
        </xdr:cNvPr>
        <xdr:cNvSpPr/>
      </xdr:nvSpPr>
      <xdr:spPr>
        <a:xfrm>
          <a:off x="7397326" y="29953377"/>
          <a:ext cx="1190413" cy="388619"/>
        </a:xfrm>
        <a:prstGeom prst="rect">
          <a:avLst/>
        </a:prstGeom>
        <a:solidFill>
          <a:schemeClr val="accent6">
            <a:lumMod val="20000"/>
            <a:lumOff val="80000"/>
          </a:schemeClr>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tIns="36000" rIns="36000" bIns="36000" rtlCol="0" anchor="ctr"/>
        <a:lstStyle/>
        <a:p>
          <a:pPr algn="ctr"/>
          <a:r>
            <a:rPr lang="en-AU" sz="800" b="0" baseline="0">
              <a:solidFill>
                <a:sysClr val="windowText" lastClr="000000"/>
              </a:solidFill>
            </a:rPr>
            <a:t>Protective security cost/benefit ($)</a:t>
          </a:r>
          <a:endParaRPr lang="en-AU" sz="800" b="0">
            <a:solidFill>
              <a:sysClr val="windowText" lastClr="000000"/>
            </a:solidFill>
          </a:endParaRPr>
        </a:p>
      </xdr:txBody>
    </xdr:sp>
    <xdr:clientData/>
  </xdr:twoCellAnchor>
  <xdr:twoCellAnchor>
    <xdr:from>
      <xdr:col>7</xdr:col>
      <xdr:colOff>342900</xdr:colOff>
      <xdr:row>261</xdr:row>
      <xdr:rowOff>33867</xdr:rowOff>
    </xdr:from>
    <xdr:to>
      <xdr:col>9</xdr:col>
      <xdr:colOff>441960</xdr:colOff>
      <xdr:row>264</xdr:row>
      <xdr:rowOff>33867</xdr:rowOff>
    </xdr:to>
    <xdr:sp macro="" textlink="">
      <xdr:nvSpPr>
        <xdr:cNvPr id="426" name="Rectangle 425">
          <a:extLst>
            <a:ext uri="{FF2B5EF4-FFF2-40B4-BE49-F238E27FC236}">
              <a16:creationId xmlns:a16="http://schemas.microsoft.com/office/drawing/2014/main" id="{00000000-0008-0000-0200-0000AA010000}"/>
            </a:ext>
          </a:extLst>
        </xdr:cNvPr>
        <xdr:cNvSpPr/>
      </xdr:nvSpPr>
      <xdr:spPr>
        <a:xfrm>
          <a:off x="2903220" y="29325147"/>
          <a:ext cx="1242060" cy="388620"/>
        </a:xfrm>
        <a:prstGeom prst="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tIns="36000" rIns="36000" bIns="36000" rtlCol="0" anchor="ctr"/>
        <a:lstStyle/>
        <a:p>
          <a:pPr algn="ctr"/>
          <a:r>
            <a:rPr lang="en-AU" sz="800">
              <a:solidFill>
                <a:sysClr val="windowText" lastClr="000000"/>
              </a:solidFill>
            </a:rPr>
            <a:t>Loss of productive time</a:t>
          </a:r>
          <a:r>
            <a:rPr lang="en-AU" sz="800" baseline="0">
              <a:solidFill>
                <a:sysClr val="windowText" lastClr="000000"/>
              </a:solidFill>
            </a:rPr>
            <a:t> </a:t>
          </a:r>
          <a:r>
            <a:rPr lang="en-AU" sz="800">
              <a:solidFill>
                <a:sysClr val="windowText" lastClr="000000"/>
              </a:solidFill>
            </a:rPr>
            <a:t>($)</a:t>
          </a:r>
        </a:p>
      </xdr:txBody>
    </xdr:sp>
    <xdr:clientData/>
  </xdr:twoCellAnchor>
  <xdr:twoCellAnchor>
    <xdr:from>
      <xdr:col>3</xdr:col>
      <xdr:colOff>563880</xdr:colOff>
      <xdr:row>258</xdr:row>
      <xdr:rowOff>0</xdr:rowOff>
    </xdr:from>
    <xdr:to>
      <xdr:col>6</xdr:col>
      <xdr:colOff>91440</xdr:colOff>
      <xdr:row>261</xdr:row>
      <xdr:rowOff>64347</xdr:rowOff>
    </xdr:to>
    <xdr:sp macro="" textlink="">
      <xdr:nvSpPr>
        <xdr:cNvPr id="428" name="Rectangle 427">
          <a:extLst>
            <a:ext uri="{FF2B5EF4-FFF2-40B4-BE49-F238E27FC236}">
              <a16:creationId xmlns:a16="http://schemas.microsoft.com/office/drawing/2014/main" id="{00000000-0008-0000-0200-0000AC010000}"/>
            </a:ext>
          </a:extLst>
        </xdr:cNvPr>
        <xdr:cNvSpPr/>
      </xdr:nvSpPr>
      <xdr:spPr>
        <a:xfrm>
          <a:off x="838200" y="28902660"/>
          <a:ext cx="1242060" cy="452967"/>
        </a:xfrm>
        <a:prstGeom prst="rect">
          <a:avLst/>
        </a:prstGeom>
        <a:solidFill>
          <a:schemeClr val="accent4">
            <a:lumMod val="20000"/>
            <a:lumOff val="80000"/>
          </a:schemeClr>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tIns="36000" rIns="36000" bIns="36000" rtlCol="0" anchor="ctr"/>
        <a:lstStyle/>
        <a:p>
          <a:pPr algn="ctr"/>
          <a:r>
            <a:rPr lang="en-AU" sz="800">
              <a:solidFill>
                <a:sysClr val="windowText" lastClr="000000"/>
              </a:solidFill>
            </a:rPr>
            <a:t>Additional capex completed without additional labour cost ($)</a:t>
          </a:r>
        </a:p>
      </xdr:txBody>
    </xdr:sp>
    <xdr:clientData/>
  </xdr:twoCellAnchor>
  <xdr:twoCellAnchor>
    <xdr:from>
      <xdr:col>3</xdr:col>
      <xdr:colOff>563880</xdr:colOff>
      <xdr:row>263</xdr:row>
      <xdr:rowOff>71966</xdr:rowOff>
    </xdr:from>
    <xdr:to>
      <xdr:col>6</xdr:col>
      <xdr:colOff>91440</xdr:colOff>
      <xdr:row>266</xdr:row>
      <xdr:rowOff>99059</xdr:rowOff>
    </xdr:to>
    <xdr:sp macro="" textlink="">
      <xdr:nvSpPr>
        <xdr:cNvPr id="430" name="Rectangle 429">
          <a:extLst>
            <a:ext uri="{FF2B5EF4-FFF2-40B4-BE49-F238E27FC236}">
              <a16:creationId xmlns:a16="http://schemas.microsoft.com/office/drawing/2014/main" id="{00000000-0008-0000-0200-0000AE010000}"/>
            </a:ext>
          </a:extLst>
        </xdr:cNvPr>
        <xdr:cNvSpPr/>
      </xdr:nvSpPr>
      <xdr:spPr>
        <a:xfrm>
          <a:off x="838200" y="29622326"/>
          <a:ext cx="1242060" cy="415713"/>
        </a:xfrm>
        <a:prstGeom prst="rect">
          <a:avLst/>
        </a:prstGeom>
        <a:solidFill>
          <a:schemeClr val="accent4">
            <a:lumMod val="20000"/>
            <a:lumOff val="80000"/>
          </a:schemeClr>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tIns="36000" rIns="36000" bIns="36000" rtlCol="0" anchor="ctr"/>
        <a:lstStyle/>
        <a:p>
          <a:pPr algn="ctr"/>
          <a:r>
            <a:rPr lang="en-AU" sz="800">
              <a:solidFill>
                <a:sysClr val="windowText" lastClr="000000"/>
              </a:solidFill>
            </a:rPr>
            <a:t>Decrease in</a:t>
          </a:r>
          <a:r>
            <a:rPr lang="en-AU" sz="800" baseline="0">
              <a:solidFill>
                <a:sysClr val="windowText" lastClr="000000"/>
              </a:solidFill>
            </a:rPr>
            <a:t> opex costs </a:t>
          </a:r>
          <a:r>
            <a:rPr lang="en-AU" sz="800">
              <a:solidFill>
                <a:sysClr val="windowText" lastClr="000000"/>
              </a:solidFill>
            </a:rPr>
            <a:t>($)</a:t>
          </a:r>
        </a:p>
      </xdr:txBody>
    </xdr:sp>
    <xdr:clientData/>
  </xdr:twoCellAnchor>
  <xdr:twoCellAnchor>
    <xdr:from>
      <xdr:col>6</xdr:col>
      <xdr:colOff>91440</xdr:colOff>
      <xdr:row>259</xdr:row>
      <xdr:rowOff>96944</xdr:rowOff>
    </xdr:from>
    <xdr:to>
      <xdr:col>7</xdr:col>
      <xdr:colOff>342900</xdr:colOff>
      <xdr:row>262</xdr:row>
      <xdr:rowOff>98637</xdr:rowOff>
    </xdr:to>
    <xdr:cxnSp macro="">
      <xdr:nvCxnSpPr>
        <xdr:cNvPr id="432" name="Elbow Connector 431">
          <a:extLst>
            <a:ext uri="{FF2B5EF4-FFF2-40B4-BE49-F238E27FC236}">
              <a16:creationId xmlns:a16="http://schemas.microsoft.com/office/drawing/2014/main" id="{00000000-0008-0000-0200-0000B0010000}"/>
            </a:ext>
          </a:extLst>
        </xdr:cNvPr>
        <xdr:cNvCxnSpPr>
          <a:stCxn id="428" idx="3"/>
          <a:endCxn id="426" idx="1"/>
        </xdr:cNvCxnSpPr>
      </xdr:nvCxnSpPr>
      <xdr:spPr>
        <a:xfrm>
          <a:off x="2080260" y="29129144"/>
          <a:ext cx="822960" cy="390313"/>
        </a:xfrm>
        <a:prstGeom prst="bentConnector3">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91440</xdr:colOff>
      <xdr:row>262</xdr:row>
      <xdr:rowOff>98637</xdr:rowOff>
    </xdr:from>
    <xdr:to>
      <xdr:col>7</xdr:col>
      <xdr:colOff>342900</xdr:colOff>
      <xdr:row>265</xdr:row>
      <xdr:rowOff>20743</xdr:rowOff>
    </xdr:to>
    <xdr:cxnSp macro="">
      <xdr:nvCxnSpPr>
        <xdr:cNvPr id="434" name="Elbow Connector 433">
          <a:extLst>
            <a:ext uri="{FF2B5EF4-FFF2-40B4-BE49-F238E27FC236}">
              <a16:creationId xmlns:a16="http://schemas.microsoft.com/office/drawing/2014/main" id="{00000000-0008-0000-0200-0000B2010000}"/>
            </a:ext>
          </a:extLst>
        </xdr:cNvPr>
        <xdr:cNvCxnSpPr>
          <a:stCxn id="430" idx="3"/>
          <a:endCxn id="426" idx="1"/>
        </xdr:cNvCxnSpPr>
      </xdr:nvCxnSpPr>
      <xdr:spPr>
        <a:xfrm flipV="1">
          <a:off x="2080260" y="29519457"/>
          <a:ext cx="822960" cy="310726"/>
        </a:xfrm>
        <a:prstGeom prst="bentConnector3">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342900</xdr:colOff>
      <xdr:row>266</xdr:row>
      <xdr:rowOff>26247</xdr:rowOff>
    </xdr:from>
    <xdr:to>
      <xdr:col>9</xdr:col>
      <xdr:colOff>441960</xdr:colOff>
      <xdr:row>269</xdr:row>
      <xdr:rowOff>26247</xdr:rowOff>
    </xdr:to>
    <xdr:sp macro="" textlink="">
      <xdr:nvSpPr>
        <xdr:cNvPr id="436" name="Rectangle 435">
          <a:extLst>
            <a:ext uri="{FF2B5EF4-FFF2-40B4-BE49-F238E27FC236}">
              <a16:creationId xmlns:a16="http://schemas.microsoft.com/office/drawing/2014/main" id="{00000000-0008-0000-0200-0000B4010000}"/>
            </a:ext>
          </a:extLst>
        </xdr:cNvPr>
        <xdr:cNvSpPr/>
      </xdr:nvSpPr>
      <xdr:spPr>
        <a:xfrm>
          <a:off x="2903220" y="29965227"/>
          <a:ext cx="1242060" cy="388620"/>
        </a:xfrm>
        <a:prstGeom prst="rect">
          <a:avLst/>
        </a:prstGeom>
        <a:solidFill>
          <a:schemeClr val="accent4">
            <a:lumMod val="20000"/>
            <a:lumOff val="80000"/>
          </a:schemeClr>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tIns="36000" rIns="36000" bIns="36000" rtlCol="0" anchor="ctr"/>
        <a:lstStyle/>
        <a:p>
          <a:pPr algn="ctr"/>
          <a:r>
            <a:rPr lang="en-AU" sz="800">
              <a:solidFill>
                <a:sysClr val="windowText" lastClr="000000"/>
              </a:solidFill>
            </a:rPr>
            <a:t>Fines and penalties ($)</a:t>
          </a:r>
        </a:p>
      </xdr:txBody>
    </xdr:sp>
    <xdr:clientData/>
  </xdr:twoCellAnchor>
  <xdr:twoCellAnchor>
    <xdr:from>
      <xdr:col>7</xdr:col>
      <xdr:colOff>342900</xdr:colOff>
      <xdr:row>271</xdr:row>
      <xdr:rowOff>33867</xdr:rowOff>
    </xdr:from>
    <xdr:to>
      <xdr:col>9</xdr:col>
      <xdr:colOff>441960</xdr:colOff>
      <xdr:row>274</xdr:row>
      <xdr:rowOff>33867</xdr:rowOff>
    </xdr:to>
    <xdr:sp macro="" textlink="">
      <xdr:nvSpPr>
        <xdr:cNvPr id="437" name="Rectangle 436">
          <a:extLst>
            <a:ext uri="{FF2B5EF4-FFF2-40B4-BE49-F238E27FC236}">
              <a16:creationId xmlns:a16="http://schemas.microsoft.com/office/drawing/2014/main" id="{00000000-0008-0000-0200-0000B5010000}"/>
            </a:ext>
          </a:extLst>
        </xdr:cNvPr>
        <xdr:cNvSpPr/>
      </xdr:nvSpPr>
      <xdr:spPr>
        <a:xfrm>
          <a:off x="2903220" y="30620547"/>
          <a:ext cx="1242060" cy="388620"/>
        </a:xfrm>
        <a:prstGeom prst="rect">
          <a:avLst/>
        </a:prstGeom>
        <a:solidFill>
          <a:schemeClr val="accent4">
            <a:lumMod val="20000"/>
            <a:lumOff val="80000"/>
          </a:schemeClr>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tIns="36000" rIns="36000" bIns="36000" rtlCol="0" anchor="ctr"/>
        <a:lstStyle/>
        <a:p>
          <a:pPr algn="ctr"/>
          <a:r>
            <a:rPr lang="en-AU" sz="800">
              <a:solidFill>
                <a:sysClr val="windowText" lastClr="000000"/>
              </a:solidFill>
            </a:rPr>
            <a:t>Damage/theft</a:t>
          </a:r>
          <a:r>
            <a:rPr lang="en-AU" sz="800" baseline="0">
              <a:solidFill>
                <a:sysClr val="windowText" lastClr="000000"/>
              </a:solidFill>
            </a:rPr>
            <a:t> of assets</a:t>
          </a:r>
          <a:r>
            <a:rPr lang="en-AU" sz="800">
              <a:solidFill>
                <a:sysClr val="windowText" lastClr="000000"/>
              </a:solidFill>
            </a:rPr>
            <a:t> ($)</a:t>
          </a:r>
        </a:p>
      </xdr:txBody>
    </xdr:sp>
    <xdr:clientData/>
  </xdr:twoCellAnchor>
  <xdr:twoCellAnchor>
    <xdr:from>
      <xdr:col>7</xdr:col>
      <xdr:colOff>342900</xdr:colOff>
      <xdr:row>276</xdr:row>
      <xdr:rowOff>56727</xdr:rowOff>
    </xdr:from>
    <xdr:to>
      <xdr:col>9</xdr:col>
      <xdr:colOff>441960</xdr:colOff>
      <xdr:row>279</xdr:row>
      <xdr:rowOff>56727</xdr:rowOff>
    </xdr:to>
    <xdr:sp macro="" textlink="">
      <xdr:nvSpPr>
        <xdr:cNvPr id="438" name="Rectangle 437">
          <a:extLst>
            <a:ext uri="{FF2B5EF4-FFF2-40B4-BE49-F238E27FC236}">
              <a16:creationId xmlns:a16="http://schemas.microsoft.com/office/drawing/2014/main" id="{00000000-0008-0000-0200-0000B6010000}"/>
            </a:ext>
          </a:extLst>
        </xdr:cNvPr>
        <xdr:cNvSpPr/>
      </xdr:nvSpPr>
      <xdr:spPr>
        <a:xfrm>
          <a:off x="2903220" y="31291107"/>
          <a:ext cx="1242060" cy="388620"/>
        </a:xfrm>
        <a:prstGeom prst="rect">
          <a:avLst/>
        </a:prstGeom>
        <a:solidFill>
          <a:schemeClr val="accent4">
            <a:lumMod val="20000"/>
            <a:lumOff val="80000"/>
          </a:schemeClr>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tIns="36000" rIns="36000" bIns="36000" rtlCol="0" anchor="ctr"/>
        <a:lstStyle/>
        <a:p>
          <a:pPr algn="ctr"/>
          <a:r>
            <a:rPr lang="en-AU" sz="800" baseline="0">
              <a:solidFill>
                <a:sysClr val="windowText" lastClr="000000"/>
              </a:solidFill>
            </a:rPr>
            <a:t>Loss of data</a:t>
          </a:r>
          <a:r>
            <a:rPr lang="en-AU" sz="800">
              <a:solidFill>
                <a:sysClr val="windowText" lastClr="000000"/>
              </a:solidFill>
            </a:rPr>
            <a:t> ($)</a:t>
          </a:r>
        </a:p>
      </xdr:txBody>
    </xdr:sp>
    <xdr:clientData/>
  </xdr:twoCellAnchor>
  <xdr:twoCellAnchor>
    <xdr:from>
      <xdr:col>9</xdr:col>
      <xdr:colOff>441960</xdr:colOff>
      <xdr:row>267</xdr:row>
      <xdr:rowOff>79167</xdr:rowOff>
    </xdr:from>
    <xdr:to>
      <xdr:col>15</xdr:col>
      <xdr:colOff>265006</xdr:colOff>
      <xdr:row>267</xdr:row>
      <xdr:rowOff>91017</xdr:rowOff>
    </xdr:to>
    <xdr:cxnSp macro="">
      <xdr:nvCxnSpPr>
        <xdr:cNvPr id="440" name="Straight Arrow Connector 439">
          <a:extLst>
            <a:ext uri="{FF2B5EF4-FFF2-40B4-BE49-F238E27FC236}">
              <a16:creationId xmlns:a16="http://schemas.microsoft.com/office/drawing/2014/main" id="{00000000-0008-0000-0200-0000B8010000}"/>
            </a:ext>
          </a:extLst>
        </xdr:cNvPr>
        <xdr:cNvCxnSpPr>
          <a:stCxn id="436" idx="3"/>
          <a:endCxn id="423" idx="1"/>
        </xdr:cNvCxnSpPr>
      </xdr:nvCxnSpPr>
      <xdr:spPr>
        <a:xfrm flipV="1">
          <a:off x="4145280" y="30147687"/>
          <a:ext cx="3252046" cy="1185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441960</xdr:colOff>
      <xdr:row>257</xdr:row>
      <xdr:rowOff>113877</xdr:rowOff>
    </xdr:from>
    <xdr:to>
      <xdr:col>15</xdr:col>
      <xdr:colOff>265006</xdr:colOff>
      <xdr:row>267</xdr:row>
      <xdr:rowOff>79167</xdr:rowOff>
    </xdr:to>
    <xdr:cxnSp macro="">
      <xdr:nvCxnSpPr>
        <xdr:cNvPr id="442" name="Elbow Connector 441">
          <a:extLst>
            <a:ext uri="{FF2B5EF4-FFF2-40B4-BE49-F238E27FC236}">
              <a16:creationId xmlns:a16="http://schemas.microsoft.com/office/drawing/2014/main" id="{00000000-0008-0000-0200-0000BA010000}"/>
            </a:ext>
          </a:extLst>
        </xdr:cNvPr>
        <xdr:cNvCxnSpPr>
          <a:stCxn id="422" idx="3"/>
          <a:endCxn id="423" idx="1"/>
        </xdr:cNvCxnSpPr>
      </xdr:nvCxnSpPr>
      <xdr:spPr>
        <a:xfrm>
          <a:off x="4145280" y="28886997"/>
          <a:ext cx="3252046" cy="1260690"/>
        </a:xfrm>
        <a:prstGeom prst="bentConnector3">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441960</xdr:colOff>
      <xdr:row>262</xdr:row>
      <xdr:rowOff>98637</xdr:rowOff>
    </xdr:from>
    <xdr:to>
      <xdr:col>15</xdr:col>
      <xdr:colOff>265006</xdr:colOff>
      <xdr:row>267</xdr:row>
      <xdr:rowOff>79167</xdr:rowOff>
    </xdr:to>
    <xdr:cxnSp macro="">
      <xdr:nvCxnSpPr>
        <xdr:cNvPr id="445" name="Elbow Connector 444">
          <a:extLst>
            <a:ext uri="{FF2B5EF4-FFF2-40B4-BE49-F238E27FC236}">
              <a16:creationId xmlns:a16="http://schemas.microsoft.com/office/drawing/2014/main" id="{00000000-0008-0000-0200-0000BD010000}"/>
            </a:ext>
          </a:extLst>
        </xdr:cNvPr>
        <xdr:cNvCxnSpPr>
          <a:stCxn id="426" idx="3"/>
          <a:endCxn id="423" idx="1"/>
        </xdr:cNvCxnSpPr>
      </xdr:nvCxnSpPr>
      <xdr:spPr>
        <a:xfrm>
          <a:off x="4145280" y="29519457"/>
          <a:ext cx="3252046" cy="628230"/>
        </a:xfrm>
        <a:prstGeom prst="bentConnector3">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441960</xdr:colOff>
      <xdr:row>267</xdr:row>
      <xdr:rowOff>79167</xdr:rowOff>
    </xdr:from>
    <xdr:to>
      <xdr:col>15</xdr:col>
      <xdr:colOff>265006</xdr:colOff>
      <xdr:row>272</xdr:row>
      <xdr:rowOff>98637</xdr:rowOff>
    </xdr:to>
    <xdr:cxnSp macro="">
      <xdr:nvCxnSpPr>
        <xdr:cNvPr id="447" name="Elbow Connector 446">
          <a:extLst>
            <a:ext uri="{FF2B5EF4-FFF2-40B4-BE49-F238E27FC236}">
              <a16:creationId xmlns:a16="http://schemas.microsoft.com/office/drawing/2014/main" id="{00000000-0008-0000-0200-0000BF010000}"/>
            </a:ext>
          </a:extLst>
        </xdr:cNvPr>
        <xdr:cNvCxnSpPr>
          <a:stCxn id="437" idx="3"/>
          <a:endCxn id="423" idx="1"/>
        </xdr:cNvCxnSpPr>
      </xdr:nvCxnSpPr>
      <xdr:spPr>
        <a:xfrm flipV="1">
          <a:off x="4145280" y="30147687"/>
          <a:ext cx="3252046" cy="667170"/>
        </a:xfrm>
        <a:prstGeom prst="bentConnector3">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441960</xdr:colOff>
      <xdr:row>267</xdr:row>
      <xdr:rowOff>79167</xdr:rowOff>
    </xdr:from>
    <xdr:to>
      <xdr:col>15</xdr:col>
      <xdr:colOff>265006</xdr:colOff>
      <xdr:row>277</xdr:row>
      <xdr:rowOff>121497</xdr:rowOff>
    </xdr:to>
    <xdr:cxnSp macro="">
      <xdr:nvCxnSpPr>
        <xdr:cNvPr id="449" name="Elbow Connector 448">
          <a:extLst>
            <a:ext uri="{FF2B5EF4-FFF2-40B4-BE49-F238E27FC236}">
              <a16:creationId xmlns:a16="http://schemas.microsoft.com/office/drawing/2014/main" id="{00000000-0008-0000-0200-0000C1010000}"/>
            </a:ext>
          </a:extLst>
        </xdr:cNvPr>
        <xdr:cNvCxnSpPr>
          <a:stCxn id="438" idx="3"/>
          <a:endCxn id="423" idx="1"/>
        </xdr:cNvCxnSpPr>
      </xdr:nvCxnSpPr>
      <xdr:spPr>
        <a:xfrm flipV="1">
          <a:off x="4145280" y="30147687"/>
          <a:ext cx="3252046" cy="1337730"/>
        </a:xfrm>
        <a:prstGeom prst="bentConnector3">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12</xdr:col>
      <xdr:colOff>466513</xdr:colOff>
      <xdr:row>265</xdr:row>
      <xdr:rowOff>20320</xdr:rowOff>
    </xdr:from>
    <xdr:to>
      <xdr:col>12</xdr:col>
      <xdr:colOff>561098</xdr:colOff>
      <xdr:row>266</xdr:row>
      <xdr:rowOff>107889</xdr:rowOff>
    </xdr:to>
    <xdr:sp macro="" textlink="">
      <xdr:nvSpPr>
        <xdr:cNvPr id="450" name="Rectangle 449">
          <a:extLst>
            <a:ext uri="{FF2B5EF4-FFF2-40B4-BE49-F238E27FC236}">
              <a16:creationId xmlns:a16="http://schemas.microsoft.com/office/drawing/2014/main" id="{00000000-0008-0000-0200-0000C2010000}"/>
            </a:ext>
          </a:extLst>
        </xdr:cNvPr>
        <xdr:cNvSpPr/>
      </xdr:nvSpPr>
      <xdr:spPr>
        <a:xfrm>
          <a:off x="5884333" y="29829760"/>
          <a:ext cx="94585" cy="217109"/>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AU" sz="1200">
              <a:solidFill>
                <a:sysClr val="windowText" lastClr="000000"/>
              </a:solidFill>
            </a:rPr>
            <a:t>∑</a:t>
          </a:r>
        </a:p>
      </xdr:txBody>
    </xdr:sp>
    <xdr:clientData/>
  </xdr:twoCellAnchor>
  <xdr:twoCellAnchor>
    <xdr:from>
      <xdr:col>6</xdr:col>
      <xdr:colOff>359833</xdr:colOff>
      <xdr:row>288</xdr:row>
      <xdr:rowOff>73660</xdr:rowOff>
    </xdr:from>
    <xdr:to>
      <xdr:col>6</xdr:col>
      <xdr:colOff>454418</xdr:colOff>
      <xdr:row>290</xdr:row>
      <xdr:rowOff>31689</xdr:rowOff>
    </xdr:to>
    <xdr:sp macro="" textlink="">
      <xdr:nvSpPr>
        <xdr:cNvPr id="453" name="Rectangle 452">
          <a:extLst>
            <a:ext uri="{FF2B5EF4-FFF2-40B4-BE49-F238E27FC236}">
              <a16:creationId xmlns:a16="http://schemas.microsoft.com/office/drawing/2014/main" id="{00000000-0008-0000-0200-0000C5010000}"/>
            </a:ext>
          </a:extLst>
        </xdr:cNvPr>
        <xdr:cNvSpPr/>
      </xdr:nvSpPr>
      <xdr:spPr>
        <a:xfrm>
          <a:off x="2348653" y="32862520"/>
          <a:ext cx="94585" cy="217109"/>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AU" sz="1200">
              <a:solidFill>
                <a:sysClr val="windowText" lastClr="000000"/>
              </a:solidFill>
            </a:rPr>
            <a:t>∑</a:t>
          </a:r>
        </a:p>
      </xdr:txBody>
    </xdr:sp>
    <xdr:clientData/>
  </xdr:twoCellAnchor>
  <xdr:twoCellAnchor>
    <xdr:from>
      <xdr:col>7</xdr:col>
      <xdr:colOff>342900</xdr:colOff>
      <xdr:row>283</xdr:row>
      <xdr:rowOff>26247</xdr:rowOff>
    </xdr:from>
    <xdr:to>
      <xdr:col>9</xdr:col>
      <xdr:colOff>441960</xdr:colOff>
      <xdr:row>286</xdr:row>
      <xdr:rowOff>26247</xdr:rowOff>
    </xdr:to>
    <xdr:sp macro="" textlink="">
      <xdr:nvSpPr>
        <xdr:cNvPr id="454" name="Rectangle 453">
          <a:extLst>
            <a:ext uri="{FF2B5EF4-FFF2-40B4-BE49-F238E27FC236}">
              <a16:creationId xmlns:a16="http://schemas.microsoft.com/office/drawing/2014/main" id="{00000000-0008-0000-0200-0000C6010000}"/>
            </a:ext>
          </a:extLst>
        </xdr:cNvPr>
        <xdr:cNvSpPr/>
      </xdr:nvSpPr>
      <xdr:spPr>
        <a:xfrm>
          <a:off x="2903220" y="32167407"/>
          <a:ext cx="1242060" cy="388620"/>
        </a:xfrm>
        <a:prstGeom prst="rect">
          <a:avLst/>
        </a:prstGeom>
        <a:solidFill>
          <a:schemeClr val="accent4">
            <a:lumMod val="20000"/>
            <a:lumOff val="80000"/>
          </a:schemeClr>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tIns="36000" rIns="36000" bIns="36000" rtlCol="0" anchor="ctr"/>
        <a:lstStyle/>
        <a:p>
          <a:pPr algn="ctr"/>
          <a:r>
            <a:rPr lang="en-AU" sz="800">
              <a:solidFill>
                <a:sysClr val="windowText" lastClr="000000"/>
              </a:solidFill>
            </a:rPr>
            <a:t>Cost of manual intervention</a:t>
          </a:r>
          <a:r>
            <a:rPr lang="en-AU" sz="800" baseline="0">
              <a:solidFill>
                <a:sysClr val="windowText" lastClr="000000"/>
              </a:solidFill>
            </a:rPr>
            <a:t> </a:t>
          </a:r>
          <a:r>
            <a:rPr lang="en-AU" sz="800">
              <a:solidFill>
                <a:sysClr val="windowText" lastClr="000000"/>
              </a:solidFill>
            </a:rPr>
            <a:t>($)</a:t>
          </a:r>
        </a:p>
      </xdr:txBody>
    </xdr:sp>
    <xdr:clientData/>
  </xdr:twoCellAnchor>
  <xdr:twoCellAnchor>
    <xdr:from>
      <xdr:col>7</xdr:col>
      <xdr:colOff>342900</xdr:colOff>
      <xdr:row>288</xdr:row>
      <xdr:rowOff>11007</xdr:rowOff>
    </xdr:from>
    <xdr:to>
      <xdr:col>9</xdr:col>
      <xdr:colOff>441960</xdr:colOff>
      <xdr:row>291</xdr:row>
      <xdr:rowOff>11007</xdr:rowOff>
    </xdr:to>
    <xdr:sp macro="" textlink="">
      <xdr:nvSpPr>
        <xdr:cNvPr id="455" name="Rectangle 454">
          <a:extLst>
            <a:ext uri="{FF2B5EF4-FFF2-40B4-BE49-F238E27FC236}">
              <a16:creationId xmlns:a16="http://schemas.microsoft.com/office/drawing/2014/main" id="{00000000-0008-0000-0200-0000C7010000}"/>
            </a:ext>
          </a:extLst>
        </xdr:cNvPr>
        <xdr:cNvSpPr/>
      </xdr:nvSpPr>
      <xdr:spPr>
        <a:xfrm>
          <a:off x="2903220" y="32799867"/>
          <a:ext cx="1242060" cy="388620"/>
        </a:xfrm>
        <a:prstGeom prst="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tIns="36000" rIns="36000" bIns="36000" rtlCol="0" anchor="ctr"/>
        <a:lstStyle/>
        <a:p>
          <a:pPr algn="ctr"/>
          <a:r>
            <a:rPr lang="en-AU" sz="800">
              <a:solidFill>
                <a:sysClr val="windowText" lastClr="000000"/>
              </a:solidFill>
            </a:rPr>
            <a:t>Loss of productive time</a:t>
          </a:r>
          <a:r>
            <a:rPr lang="en-AU" sz="800" baseline="0">
              <a:solidFill>
                <a:sysClr val="windowText" lastClr="000000"/>
              </a:solidFill>
            </a:rPr>
            <a:t> </a:t>
          </a:r>
          <a:r>
            <a:rPr lang="en-AU" sz="800">
              <a:solidFill>
                <a:sysClr val="windowText" lastClr="000000"/>
              </a:solidFill>
            </a:rPr>
            <a:t>($)</a:t>
          </a:r>
        </a:p>
      </xdr:txBody>
    </xdr:sp>
    <xdr:clientData/>
  </xdr:twoCellAnchor>
  <xdr:twoCellAnchor>
    <xdr:from>
      <xdr:col>3</xdr:col>
      <xdr:colOff>563880</xdr:colOff>
      <xdr:row>284</xdr:row>
      <xdr:rowOff>106680</xdr:rowOff>
    </xdr:from>
    <xdr:to>
      <xdr:col>6</xdr:col>
      <xdr:colOff>91440</xdr:colOff>
      <xdr:row>288</xdr:row>
      <xdr:rowOff>41487</xdr:rowOff>
    </xdr:to>
    <xdr:sp macro="" textlink="">
      <xdr:nvSpPr>
        <xdr:cNvPr id="456" name="Rectangle 455">
          <a:extLst>
            <a:ext uri="{FF2B5EF4-FFF2-40B4-BE49-F238E27FC236}">
              <a16:creationId xmlns:a16="http://schemas.microsoft.com/office/drawing/2014/main" id="{00000000-0008-0000-0200-0000C8010000}"/>
            </a:ext>
          </a:extLst>
        </xdr:cNvPr>
        <xdr:cNvSpPr/>
      </xdr:nvSpPr>
      <xdr:spPr>
        <a:xfrm>
          <a:off x="838200" y="32377380"/>
          <a:ext cx="1242060" cy="452967"/>
        </a:xfrm>
        <a:prstGeom prst="rect">
          <a:avLst/>
        </a:prstGeom>
        <a:solidFill>
          <a:schemeClr val="accent4">
            <a:lumMod val="20000"/>
            <a:lumOff val="80000"/>
          </a:schemeClr>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tIns="36000" rIns="36000" bIns="36000" rtlCol="0" anchor="ctr"/>
        <a:lstStyle/>
        <a:p>
          <a:pPr algn="ctr"/>
          <a:r>
            <a:rPr lang="en-AU" sz="800">
              <a:solidFill>
                <a:sysClr val="windowText" lastClr="000000"/>
              </a:solidFill>
            </a:rPr>
            <a:t>Additional capex completed without additional labour cost ($)</a:t>
          </a:r>
        </a:p>
      </xdr:txBody>
    </xdr:sp>
    <xdr:clientData/>
  </xdr:twoCellAnchor>
  <xdr:twoCellAnchor>
    <xdr:from>
      <xdr:col>3</xdr:col>
      <xdr:colOff>563880</xdr:colOff>
      <xdr:row>290</xdr:row>
      <xdr:rowOff>49106</xdr:rowOff>
    </xdr:from>
    <xdr:to>
      <xdr:col>6</xdr:col>
      <xdr:colOff>91440</xdr:colOff>
      <xdr:row>293</xdr:row>
      <xdr:rowOff>76199</xdr:rowOff>
    </xdr:to>
    <xdr:sp macro="" textlink="">
      <xdr:nvSpPr>
        <xdr:cNvPr id="457" name="Rectangle 456">
          <a:extLst>
            <a:ext uri="{FF2B5EF4-FFF2-40B4-BE49-F238E27FC236}">
              <a16:creationId xmlns:a16="http://schemas.microsoft.com/office/drawing/2014/main" id="{00000000-0008-0000-0200-0000C9010000}"/>
            </a:ext>
          </a:extLst>
        </xdr:cNvPr>
        <xdr:cNvSpPr/>
      </xdr:nvSpPr>
      <xdr:spPr>
        <a:xfrm>
          <a:off x="838200" y="33097046"/>
          <a:ext cx="1242060" cy="415713"/>
        </a:xfrm>
        <a:prstGeom prst="rect">
          <a:avLst/>
        </a:prstGeom>
        <a:solidFill>
          <a:schemeClr val="accent4">
            <a:lumMod val="20000"/>
            <a:lumOff val="80000"/>
          </a:schemeClr>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tIns="36000" rIns="36000" bIns="36000" rtlCol="0" anchor="ctr"/>
        <a:lstStyle/>
        <a:p>
          <a:pPr algn="ctr"/>
          <a:r>
            <a:rPr lang="en-AU" sz="800">
              <a:solidFill>
                <a:sysClr val="windowText" lastClr="000000"/>
              </a:solidFill>
            </a:rPr>
            <a:t>Decrease in</a:t>
          </a:r>
          <a:r>
            <a:rPr lang="en-AU" sz="800" baseline="0">
              <a:solidFill>
                <a:sysClr val="windowText" lastClr="000000"/>
              </a:solidFill>
            </a:rPr>
            <a:t> opex costs </a:t>
          </a:r>
          <a:r>
            <a:rPr lang="en-AU" sz="800">
              <a:solidFill>
                <a:sysClr val="windowText" lastClr="000000"/>
              </a:solidFill>
            </a:rPr>
            <a:t>($)</a:t>
          </a:r>
        </a:p>
      </xdr:txBody>
    </xdr:sp>
    <xdr:clientData/>
  </xdr:twoCellAnchor>
  <xdr:twoCellAnchor>
    <xdr:from>
      <xdr:col>6</xdr:col>
      <xdr:colOff>91440</xdr:colOff>
      <xdr:row>286</xdr:row>
      <xdr:rowOff>74084</xdr:rowOff>
    </xdr:from>
    <xdr:to>
      <xdr:col>7</xdr:col>
      <xdr:colOff>342900</xdr:colOff>
      <xdr:row>289</xdr:row>
      <xdr:rowOff>75777</xdr:rowOff>
    </xdr:to>
    <xdr:cxnSp macro="">
      <xdr:nvCxnSpPr>
        <xdr:cNvPr id="458" name="Elbow Connector 457">
          <a:extLst>
            <a:ext uri="{FF2B5EF4-FFF2-40B4-BE49-F238E27FC236}">
              <a16:creationId xmlns:a16="http://schemas.microsoft.com/office/drawing/2014/main" id="{00000000-0008-0000-0200-0000CA010000}"/>
            </a:ext>
          </a:extLst>
        </xdr:cNvPr>
        <xdr:cNvCxnSpPr>
          <a:stCxn id="456" idx="3"/>
          <a:endCxn id="455" idx="1"/>
        </xdr:cNvCxnSpPr>
      </xdr:nvCxnSpPr>
      <xdr:spPr>
        <a:xfrm>
          <a:off x="2080260" y="32603864"/>
          <a:ext cx="822960" cy="390313"/>
        </a:xfrm>
        <a:prstGeom prst="bentConnector3">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91440</xdr:colOff>
      <xdr:row>289</xdr:row>
      <xdr:rowOff>75777</xdr:rowOff>
    </xdr:from>
    <xdr:to>
      <xdr:col>7</xdr:col>
      <xdr:colOff>342900</xdr:colOff>
      <xdr:row>291</xdr:row>
      <xdr:rowOff>127423</xdr:rowOff>
    </xdr:to>
    <xdr:cxnSp macro="">
      <xdr:nvCxnSpPr>
        <xdr:cNvPr id="459" name="Elbow Connector 458">
          <a:extLst>
            <a:ext uri="{FF2B5EF4-FFF2-40B4-BE49-F238E27FC236}">
              <a16:creationId xmlns:a16="http://schemas.microsoft.com/office/drawing/2014/main" id="{00000000-0008-0000-0200-0000CB010000}"/>
            </a:ext>
          </a:extLst>
        </xdr:cNvPr>
        <xdr:cNvCxnSpPr>
          <a:stCxn id="457" idx="3"/>
          <a:endCxn id="455" idx="1"/>
        </xdr:cNvCxnSpPr>
      </xdr:nvCxnSpPr>
      <xdr:spPr>
        <a:xfrm flipV="1">
          <a:off x="2080260" y="32994177"/>
          <a:ext cx="822960" cy="310726"/>
        </a:xfrm>
        <a:prstGeom prst="bentConnector3">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342900</xdr:colOff>
      <xdr:row>292</xdr:row>
      <xdr:rowOff>117687</xdr:rowOff>
    </xdr:from>
    <xdr:to>
      <xdr:col>9</xdr:col>
      <xdr:colOff>441960</xdr:colOff>
      <xdr:row>295</xdr:row>
      <xdr:rowOff>117687</xdr:rowOff>
    </xdr:to>
    <xdr:sp macro="" textlink="">
      <xdr:nvSpPr>
        <xdr:cNvPr id="460" name="Rectangle 459">
          <a:extLst>
            <a:ext uri="{FF2B5EF4-FFF2-40B4-BE49-F238E27FC236}">
              <a16:creationId xmlns:a16="http://schemas.microsoft.com/office/drawing/2014/main" id="{00000000-0008-0000-0200-0000CC010000}"/>
            </a:ext>
          </a:extLst>
        </xdr:cNvPr>
        <xdr:cNvSpPr/>
      </xdr:nvSpPr>
      <xdr:spPr>
        <a:xfrm>
          <a:off x="2903220" y="33424707"/>
          <a:ext cx="1242060" cy="388620"/>
        </a:xfrm>
        <a:prstGeom prst="rect">
          <a:avLst/>
        </a:prstGeom>
        <a:solidFill>
          <a:schemeClr val="accent4">
            <a:lumMod val="20000"/>
            <a:lumOff val="80000"/>
          </a:schemeClr>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tIns="36000" rIns="36000" bIns="36000" rtlCol="0" anchor="ctr"/>
        <a:lstStyle/>
        <a:p>
          <a:pPr algn="ctr"/>
          <a:r>
            <a:rPr lang="en-AU" sz="800">
              <a:solidFill>
                <a:sysClr val="windowText" lastClr="000000"/>
              </a:solidFill>
            </a:rPr>
            <a:t>Safety risk</a:t>
          </a:r>
          <a:r>
            <a:rPr lang="en-AU" sz="800" baseline="0">
              <a:solidFill>
                <a:sysClr val="windowText" lastClr="000000"/>
              </a:solidFill>
            </a:rPr>
            <a:t> </a:t>
          </a:r>
          <a:r>
            <a:rPr lang="en-AU" sz="800">
              <a:solidFill>
                <a:sysClr val="windowText" lastClr="000000"/>
              </a:solidFill>
            </a:rPr>
            <a:t>($)</a:t>
          </a:r>
        </a:p>
      </xdr:txBody>
    </xdr:sp>
    <xdr:clientData/>
  </xdr:twoCellAnchor>
  <xdr:twoCellAnchor>
    <xdr:from>
      <xdr:col>15</xdr:col>
      <xdr:colOff>265006</xdr:colOff>
      <xdr:row>287</xdr:row>
      <xdr:rowOff>128697</xdr:rowOff>
    </xdr:from>
    <xdr:to>
      <xdr:col>17</xdr:col>
      <xdr:colOff>312419</xdr:colOff>
      <xdr:row>290</xdr:row>
      <xdr:rowOff>128696</xdr:rowOff>
    </xdr:to>
    <xdr:sp macro="" textlink="">
      <xdr:nvSpPr>
        <xdr:cNvPr id="466" name="Rectangle 465">
          <a:extLst>
            <a:ext uri="{FF2B5EF4-FFF2-40B4-BE49-F238E27FC236}">
              <a16:creationId xmlns:a16="http://schemas.microsoft.com/office/drawing/2014/main" id="{00000000-0008-0000-0200-0000D2010000}"/>
            </a:ext>
          </a:extLst>
        </xdr:cNvPr>
        <xdr:cNvSpPr/>
      </xdr:nvSpPr>
      <xdr:spPr>
        <a:xfrm>
          <a:off x="7397326" y="32788017"/>
          <a:ext cx="1190413" cy="388619"/>
        </a:xfrm>
        <a:prstGeom prst="rect">
          <a:avLst/>
        </a:prstGeom>
        <a:solidFill>
          <a:schemeClr val="accent6">
            <a:lumMod val="20000"/>
            <a:lumOff val="80000"/>
          </a:schemeClr>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tIns="36000" rIns="36000" bIns="36000" rtlCol="0" anchor="ctr"/>
        <a:lstStyle/>
        <a:p>
          <a:pPr algn="ctr"/>
          <a:r>
            <a:rPr lang="en-AU" sz="800" b="0" baseline="0">
              <a:solidFill>
                <a:sysClr val="windowText" lastClr="000000"/>
              </a:solidFill>
            </a:rPr>
            <a:t>ICT/OT hardware or software failure cost/benefit ($)</a:t>
          </a:r>
          <a:endParaRPr lang="en-AU" sz="800" b="0">
            <a:solidFill>
              <a:sysClr val="windowText" lastClr="000000"/>
            </a:solidFill>
          </a:endParaRPr>
        </a:p>
      </xdr:txBody>
    </xdr:sp>
    <xdr:clientData/>
  </xdr:twoCellAnchor>
  <xdr:twoCellAnchor>
    <xdr:from>
      <xdr:col>9</xdr:col>
      <xdr:colOff>441960</xdr:colOff>
      <xdr:row>289</xdr:row>
      <xdr:rowOff>63927</xdr:rowOff>
    </xdr:from>
    <xdr:to>
      <xdr:col>15</xdr:col>
      <xdr:colOff>265006</xdr:colOff>
      <xdr:row>289</xdr:row>
      <xdr:rowOff>75777</xdr:rowOff>
    </xdr:to>
    <xdr:cxnSp macro="">
      <xdr:nvCxnSpPr>
        <xdr:cNvPr id="468" name="Straight Arrow Connector 467">
          <a:extLst>
            <a:ext uri="{FF2B5EF4-FFF2-40B4-BE49-F238E27FC236}">
              <a16:creationId xmlns:a16="http://schemas.microsoft.com/office/drawing/2014/main" id="{00000000-0008-0000-0200-0000D4010000}"/>
            </a:ext>
          </a:extLst>
        </xdr:cNvPr>
        <xdr:cNvCxnSpPr>
          <a:stCxn id="455" idx="3"/>
          <a:endCxn id="466" idx="1"/>
        </xdr:cNvCxnSpPr>
      </xdr:nvCxnSpPr>
      <xdr:spPr>
        <a:xfrm flipV="1">
          <a:off x="4145280" y="32982327"/>
          <a:ext cx="3252046" cy="1185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441960</xdr:colOff>
      <xdr:row>284</xdr:row>
      <xdr:rowOff>91017</xdr:rowOff>
    </xdr:from>
    <xdr:to>
      <xdr:col>15</xdr:col>
      <xdr:colOff>265006</xdr:colOff>
      <xdr:row>289</xdr:row>
      <xdr:rowOff>63927</xdr:rowOff>
    </xdr:to>
    <xdr:cxnSp macro="">
      <xdr:nvCxnSpPr>
        <xdr:cNvPr id="470" name="Elbow Connector 469">
          <a:extLst>
            <a:ext uri="{FF2B5EF4-FFF2-40B4-BE49-F238E27FC236}">
              <a16:creationId xmlns:a16="http://schemas.microsoft.com/office/drawing/2014/main" id="{00000000-0008-0000-0200-0000D6010000}"/>
            </a:ext>
          </a:extLst>
        </xdr:cNvPr>
        <xdr:cNvCxnSpPr>
          <a:stCxn id="454" idx="3"/>
          <a:endCxn id="466" idx="1"/>
        </xdr:cNvCxnSpPr>
      </xdr:nvCxnSpPr>
      <xdr:spPr>
        <a:xfrm>
          <a:off x="4145280" y="32361717"/>
          <a:ext cx="3252046" cy="620610"/>
        </a:xfrm>
        <a:prstGeom prst="bentConnector3">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441960</xdr:colOff>
      <xdr:row>289</xdr:row>
      <xdr:rowOff>63927</xdr:rowOff>
    </xdr:from>
    <xdr:to>
      <xdr:col>15</xdr:col>
      <xdr:colOff>265006</xdr:colOff>
      <xdr:row>294</xdr:row>
      <xdr:rowOff>52917</xdr:rowOff>
    </xdr:to>
    <xdr:cxnSp macro="">
      <xdr:nvCxnSpPr>
        <xdr:cNvPr id="472" name="Elbow Connector 471">
          <a:extLst>
            <a:ext uri="{FF2B5EF4-FFF2-40B4-BE49-F238E27FC236}">
              <a16:creationId xmlns:a16="http://schemas.microsoft.com/office/drawing/2014/main" id="{00000000-0008-0000-0200-0000D8010000}"/>
            </a:ext>
          </a:extLst>
        </xdr:cNvPr>
        <xdr:cNvCxnSpPr>
          <a:stCxn id="460" idx="3"/>
          <a:endCxn id="466" idx="1"/>
        </xdr:cNvCxnSpPr>
      </xdr:nvCxnSpPr>
      <xdr:spPr>
        <a:xfrm flipV="1">
          <a:off x="4145280" y="32982327"/>
          <a:ext cx="3252046" cy="636690"/>
        </a:xfrm>
        <a:prstGeom prst="bentConnector3">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12</xdr:col>
      <xdr:colOff>466513</xdr:colOff>
      <xdr:row>287</xdr:row>
      <xdr:rowOff>43180</xdr:rowOff>
    </xdr:from>
    <xdr:to>
      <xdr:col>12</xdr:col>
      <xdr:colOff>561098</xdr:colOff>
      <xdr:row>289</xdr:row>
      <xdr:rowOff>1209</xdr:rowOff>
    </xdr:to>
    <xdr:sp macro="" textlink="">
      <xdr:nvSpPr>
        <xdr:cNvPr id="473" name="Rectangle 472">
          <a:extLst>
            <a:ext uri="{FF2B5EF4-FFF2-40B4-BE49-F238E27FC236}">
              <a16:creationId xmlns:a16="http://schemas.microsoft.com/office/drawing/2014/main" id="{00000000-0008-0000-0200-0000D9010000}"/>
            </a:ext>
          </a:extLst>
        </xdr:cNvPr>
        <xdr:cNvSpPr/>
      </xdr:nvSpPr>
      <xdr:spPr>
        <a:xfrm>
          <a:off x="5884333" y="32702500"/>
          <a:ext cx="94585" cy="217109"/>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AU" sz="1200">
              <a:solidFill>
                <a:sysClr val="windowText" lastClr="000000"/>
              </a:solidFill>
            </a:rPr>
            <a:t>∑</a:t>
          </a:r>
        </a:p>
      </xdr:txBody>
    </xdr:sp>
    <xdr:clientData/>
  </xdr:twoCellAnchor>
  <xdr:twoCellAnchor>
    <xdr:from>
      <xdr:col>10</xdr:col>
      <xdr:colOff>253153</xdr:colOff>
      <xdr:row>302</xdr:row>
      <xdr:rowOff>12700</xdr:rowOff>
    </xdr:from>
    <xdr:to>
      <xdr:col>10</xdr:col>
      <xdr:colOff>347738</xdr:colOff>
      <xdr:row>303</xdr:row>
      <xdr:rowOff>100269</xdr:rowOff>
    </xdr:to>
    <xdr:sp macro="" textlink="">
      <xdr:nvSpPr>
        <xdr:cNvPr id="476" name="Rectangle 475">
          <a:extLst>
            <a:ext uri="{FF2B5EF4-FFF2-40B4-BE49-F238E27FC236}">
              <a16:creationId xmlns:a16="http://schemas.microsoft.com/office/drawing/2014/main" id="{00000000-0008-0000-0200-0000DC010000}"/>
            </a:ext>
          </a:extLst>
        </xdr:cNvPr>
        <xdr:cNvSpPr/>
      </xdr:nvSpPr>
      <xdr:spPr>
        <a:xfrm>
          <a:off x="4527973" y="34615120"/>
          <a:ext cx="94585" cy="217109"/>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AU" sz="1200">
              <a:solidFill>
                <a:sysClr val="windowText" lastClr="000000"/>
              </a:solidFill>
            </a:rPr>
            <a:t>∑</a:t>
          </a:r>
        </a:p>
      </xdr:txBody>
    </xdr:sp>
    <xdr:clientData/>
  </xdr:twoCellAnchor>
  <xdr:twoCellAnchor>
    <xdr:from>
      <xdr:col>3</xdr:col>
      <xdr:colOff>563880</xdr:colOff>
      <xdr:row>298</xdr:row>
      <xdr:rowOff>45720</xdr:rowOff>
    </xdr:from>
    <xdr:to>
      <xdr:col>6</xdr:col>
      <xdr:colOff>91440</xdr:colOff>
      <xdr:row>301</xdr:row>
      <xdr:rowOff>110067</xdr:rowOff>
    </xdr:to>
    <xdr:sp macro="" textlink="">
      <xdr:nvSpPr>
        <xdr:cNvPr id="478" name="Rectangle 477">
          <a:extLst>
            <a:ext uri="{FF2B5EF4-FFF2-40B4-BE49-F238E27FC236}">
              <a16:creationId xmlns:a16="http://schemas.microsoft.com/office/drawing/2014/main" id="{00000000-0008-0000-0200-0000DE010000}"/>
            </a:ext>
          </a:extLst>
        </xdr:cNvPr>
        <xdr:cNvSpPr/>
      </xdr:nvSpPr>
      <xdr:spPr>
        <a:xfrm>
          <a:off x="838200" y="34129980"/>
          <a:ext cx="1242060" cy="452967"/>
        </a:xfrm>
        <a:prstGeom prst="rect">
          <a:avLst/>
        </a:prstGeom>
        <a:solidFill>
          <a:schemeClr val="accent4">
            <a:lumMod val="20000"/>
            <a:lumOff val="80000"/>
          </a:schemeClr>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tIns="36000" rIns="36000" bIns="36000" rtlCol="0" anchor="ctr"/>
        <a:lstStyle/>
        <a:p>
          <a:pPr algn="ctr"/>
          <a:r>
            <a:rPr lang="en-AU" sz="800">
              <a:solidFill>
                <a:sysClr val="windowText" lastClr="000000"/>
              </a:solidFill>
            </a:rPr>
            <a:t>Additional capex completed without additional labour cost ($)</a:t>
          </a:r>
        </a:p>
      </xdr:txBody>
    </xdr:sp>
    <xdr:clientData/>
  </xdr:twoCellAnchor>
  <xdr:twoCellAnchor>
    <xdr:from>
      <xdr:col>3</xdr:col>
      <xdr:colOff>563880</xdr:colOff>
      <xdr:row>303</xdr:row>
      <xdr:rowOff>117686</xdr:rowOff>
    </xdr:from>
    <xdr:to>
      <xdr:col>6</xdr:col>
      <xdr:colOff>91440</xdr:colOff>
      <xdr:row>307</xdr:row>
      <xdr:rowOff>15239</xdr:rowOff>
    </xdr:to>
    <xdr:sp macro="" textlink="">
      <xdr:nvSpPr>
        <xdr:cNvPr id="479" name="Rectangle 478">
          <a:extLst>
            <a:ext uri="{FF2B5EF4-FFF2-40B4-BE49-F238E27FC236}">
              <a16:creationId xmlns:a16="http://schemas.microsoft.com/office/drawing/2014/main" id="{00000000-0008-0000-0200-0000DF010000}"/>
            </a:ext>
          </a:extLst>
        </xdr:cNvPr>
        <xdr:cNvSpPr/>
      </xdr:nvSpPr>
      <xdr:spPr>
        <a:xfrm>
          <a:off x="838200" y="34849646"/>
          <a:ext cx="1242060" cy="415713"/>
        </a:xfrm>
        <a:prstGeom prst="rect">
          <a:avLst/>
        </a:prstGeom>
        <a:solidFill>
          <a:schemeClr val="accent4">
            <a:lumMod val="20000"/>
            <a:lumOff val="80000"/>
          </a:schemeClr>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tIns="36000" rIns="36000" bIns="36000" rtlCol="0" anchor="ctr"/>
        <a:lstStyle/>
        <a:p>
          <a:pPr algn="ctr"/>
          <a:r>
            <a:rPr lang="en-AU" sz="800">
              <a:solidFill>
                <a:sysClr val="windowText" lastClr="000000"/>
              </a:solidFill>
            </a:rPr>
            <a:t>Decrease in</a:t>
          </a:r>
          <a:r>
            <a:rPr lang="en-AU" sz="800" baseline="0">
              <a:solidFill>
                <a:sysClr val="windowText" lastClr="000000"/>
              </a:solidFill>
            </a:rPr>
            <a:t> opex costs </a:t>
          </a:r>
          <a:r>
            <a:rPr lang="en-AU" sz="800">
              <a:solidFill>
                <a:sysClr val="windowText" lastClr="000000"/>
              </a:solidFill>
            </a:rPr>
            <a:t>($)</a:t>
          </a:r>
        </a:p>
      </xdr:txBody>
    </xdr:sp>
    <xdr:clientData/>
  </xdr:twoCellAnchor>
  <xdr:twoCellAnchor>
    <xdr:from>
      <xdr:col>6</xdr:col>
      <xdr:colOff>91440</xdr:colOff>
      <xdr:row>300</xdr:row>
      <xdr:rowOff>13124</xdr:rowOff>
    </xdr:from>
    <xdr:to>
      <xdr:col>15</xdr:col>
      <xdr:colOff>265006</xdr:colOff>
      <xdr:row>303</xdr:row>
      <xdr:rowOff>2967</xdr:rowOff>
    </xdr:to>
    <xdr:cxnSp macro="">
      <xdr:nvCxnSpPr>
        <xdr:cNvPr id="480" name="Elbow Connector 479">
          <a:extLst>
            <a:ext uri="{FF2B5EF4-FFF2-40B4-BE49-F238E27FC236}">
              <a16:creationId xmlns:a16="http://schemas.microsoft.com/office/drawing/2014/main" id="{00000000-0008-0000-0200-0000E0010000}"/>
            </a:ext>
          </a:extLst>
        </xdr:cNvPr>
        <xdr:cNvCxnSpPr>
          <a:stCxn id="478" idx="3"/>
          <a:endCxn id="482" idx="1"/>
        </xdr:cNvCxnSpPr>
      </xdr:nvCxnSpPr>
      <xdr:spPr>
        <a:xfrm>
          <a:off x="2080260" y="34356464"/>
          <a:ext cx="5317066" cy="378463"/>
        </a:xfrm>
        <a:prstGeom prst="bentConnector3">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91440</xdr:colOff>
      <xdr:row>303</xdr:row>
      <xdr:rowOff>2967</xdr:rowOff>
    </xdr:from>
    <xdr:to>
      <xdr:col>15</xdr:col>
      <xdr:colOff>265006</xdr:colOff>
      <xdr:row>305</xdr:row>
      <xdr:rowOff>66463</xdr:rowOff>
    </xdr:to>
    <xdr:cxnSp macro="">
      <xdr:nvCxnSpPr>
        <xdr:cNvPr id="481" name="Elbow Connector 480">
          <a:extLst>
            <a:ext uri="{FF2B5EF4-FFF2-40B4-BE49-F238E27FC236}">
              <a16:creationId xmlns:a16="http://schemas.microsoft.com/office/drawing/2014/main" id="{00000000-0008-0000-0200-0000E1010000}"/>
            </a:ext>
          </a:extLst>
        </xdr:cNvPr>
        <xdr:cNvCxnSpPr>
          <a:stCxn id="479" idx="3"/>
          <a:endCxn id="482" idx="1"/>
        </xdr:cNvCxnSpPr>
      </xdr:nvCxnSpPr>
      <xdr:spPr>
        <a:xfrm flipV="1">
          <a:off x="2080260" y="34734927"/>
          <a:ext cx="5317066" cy="322576"/>
        </a:xfrm>
        <a:prstGeom prst="bentConnector3">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15</xdr:col>
      <xdr:colOff>265006</xdr:colOff>
      <xdr:row>301</xdr:row>
      <xdr:rowOff>67737</xdr:rowOff>
    </xdr:from>
    <xdr:to>
      <xdr:col>17</xdr:col>
      <xdr:colOff>312419</xdr:colOff>
      <xdr:row>304</xdr:row>
      <xdr:rowOff>67736</xdr:rowOff>
    </xdr:to>
    <xdr:sp macro="" textlink="">
      <xdr:nvSpPr>
        <xdr:cNvPr id="482" name="Rectangle 481">
          <a:extLst>
            <a:ext uri="{FF2B5EF4-FFF2-40B4-BE49-F238E27FC236}">
              <a16:creationId xmlns:a16="http://schemas.microsoft.com/office/drawing/2014/main" id="{00000000-0008-0000-0200-0000E2010000}"/>
            </a:ext>
          </a:extLst>
        </xdr:cNvPr>
        <xdr:cNvSpPr/>
      </xdr:nvSpPr>
      <xdr:spPr>
        <a:xfrm>
          <a:off x="7397326" y="34540617"/>
          <a:ext cx="1190413" cy="388619"/>
        </a:xfrm>
        <a:prstGeom prst="rect">
          <a:avLst/>
        </a:prstGeom>
        <a:solidFill>
          <a:schemeClr val="accent6">
            <a:lumMod val="20000"/>
            <a:lumOff val="80000"/>
          </a:schemeClr>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tIns="36000" rIns="36000" bIns="36000" rtlCol="0" anchor="ctr"/>
        <a:lstStyle/>
        <a:p>
          <a:pPr algn="ctr"/>
          <a:r>
            <a:rPr lang="en-AU" sz="800" b="0" baseline="0">
              <a:solidFill>
                <a:sysClr val="windowText" lastClr="000000"/>
              </a:solidFill>
            </a:rPr>
            <a:t>Employee engagement cost/benefit ($)</a:t>
          </a:r>
          <a:endParaRPr lang="en-AU" sz="800" b="0">
            <a:solidFill>
              <a:sysClr val="windowText" lastClr="000000"/>
            </a:solidFill>
          </a:endParaRPr>
        </a:p>
      </xdr:txBody>
    </xdr:sp>
    <xdr:clientData/>
  </xdr:twoCellAnchor>
  <xdr:twoCellAnchor>
    <xdr:from>
      <xdr:col>3</xdr:col>
      <xdr:colOff>563880</xdr:colOff>
      <xdr:row>309</xdr:row>
      <xdr:rowOff>117687</xdr:rowOff>
    </xdr:from>
    <xdr:to>
      <xdr:col>6</xdr:col>
      <xdr:colOff>91440</xdr:colOff>
      <xdr:row>312</xdr:row>
      <xdr:rowOff>117687</xdr:rowOff>
    </xdr:to>
    <xdr:sp macro="" textlink="">
      <xdr:nvSpPr>
        <xdr:cNvPr id="486" name="Rectangle 485">
          <a:extLst>
            <a:ext uri="{FF2B5EF4-FFF2-40B4-BE49-F238E27FC236}">
              <a16:creationId xmlns:a16="http://schemas.microsoft.com/office/drawing/2014/main" id="{00000000-0008-0000-0200-0000E6010000}"/>
            </a:ext>
          </a:extLst>
        </xdr:cNvPr>
        <xdr:cNvSpPr/>
      </xdr:nvSpPr>
      <xdr:spPr>
        <a:xfrm>
          <a:off x="838200" y="35626887"/>
          <a:ext cx="1242060" cy="388620"/>
        </a:xfrm>
        <a:prstGeom prst="rect">
          <a:avLst/>
        </a:prstGeom>
        <a:solidFill>
          <a:schemeClr val="accent4">
            <a:lumMod val="20000"/>
            <a:lumOff val="80000"/>
          </a:schemeClr>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tIns="36000" rIns="36000" bIns="36000" rtlCol="0" anchor="ctr"/>
        <a:lstStyle/>
        <a:p>
          <a:pPr algn="ctr"/>
          <a:r>
            <a:rPr lang="en-AU" sz="800">
              <a:solidFill>
                <a:sysClr val="windowText" lastClr="000000"/>
              </a:solidFill>
            </a:rPr>
            <a:t>Customer value cost/benefit</a:t>
          </a:r>
          <a:r>
            <a:rPr lang="en-AU" sz="800" baseline="0">
              <a:solidFill>
                <a:sysClr val="windowText" lastClr="000000"/>
              </a:solidFill>
            </a:rPr>
            <a:t> </a:t>
          </a:r>
          <a:r>
            <a:rPr lang="en-AU" sz="800">
              <a:solidFill>
                <a:sysClr val="windowText" lastClr="000000"/>
              </a:solidFill>
            </a:rPr>
            <a:t>($)</a:t>
          </a:r>
        </a:p>
      </xdr:txBody>
    </xdr:sp>
    <xdr:clientData/>
  </xdr:twoCellAnchor>
  <xdr:twoCellAnchor>
    <xdr:from>
      <xdr:col>15</xdr:col>
      <xdr:colOff>265006</xdr:colOff>
      <xdr:row>309</xdr:row>
      <xdr:rowOff>121077</xdr:rowOff>
    </xdr:from>
    <xdr:to>
      <xdr:col>17</xdr:col>
      <xdr:colOff>312419</xdr:colOff>
      <xdr:row>312</xdr:row>
      <xdr:rowOff>121076</xdr:rowOff>
    </xdr:to>
    <xdr:sp macro="" textlink="">
      <xdr:nvSpPr>
        <xdr:cNvPr id="487" name="Rectangle 486">
          <a:extLst>
            <a:ext uri="{FF2B5EF4-FFF2-40B4-BE49-F238E27FC236}">
              <a16:creationId xmlns:a16="http://schemas.microsoft.com/office/drawing/2014/main" id="{00000000-0008-0000-0200-0000E7010000}"/>
            </a:ext>
          </a:extLst>
        </xdr:cNvPr>
        <xdr:cNvSpPr/>
      </xdr:nvSpPr>
      <xdr:spPr>
        <a:xfrm>
          <a:off x="7397326" y="35630277"/>
          <a:ext cx="1190413" cy="388619"/>
        </a:xfrm>
        <a:prstGeom prst="rect">
          <a:avLst/>
        </a:prstGeom>
        <a:solidFill>
          <a:schemeClr val="accent6">
            <a:lumMod val="20000"/>
            <a:lumOff val="80000"/>
          </a:schemeClr>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tIns="36000" rIns="36000" bIns="36000" rtlCol="0" anchor="ctr"/>
        <a:lstStyle/>
        <a:p>
          <a:pPr algn="ctr"/>
          <a:r>
            <a:rPr lang="en-AU" sz="800" b="0" baseline="0">
              <a:solidFill>
                <a:sysClr val="windowText" lastClr="000000"/>
              </a:solidFill>
            </a:rPr>
            <a:t>Customer value cost/benefit ($)</a:t>
          </a:r>
          <a:endParaRPr lang="en-AU" sz="800" b="0">
            <a:solidFill>
              <a:sysClr val="windowText" lastClr="000000"/>
            </a:solidFill>
          </a:endParaRPr>
        </a:p>
      </xdr:txBody>
    </xdr:sp>
    <xdr:clientData/>
  </xdr:twoCellAnchor>
  <xdr:twoCellAnchor>
    <xdr:from>
      <xdr:col>6</xdr:col>
      <xdr:colOff>91440</xdr:colOff>
      <xdr:row>311</xdr:row>
      <xdr:rowOff>52917</xdr:rowOff>
    </xdr:from>
    <xdr:to>
      <xdr:col>15</xdr:col>
      <xdr:colOff>265006</xdr:colOff>
      <xdr:row>311</xdr:row>
      <xdr:rowOff>56307</xdr:rowOff>
    </xdr:to>
    <xdr:cxnSp macro="">
      <xdr:nvCxnSpPr>
        <xdr:cNvPr id="488" name="Straight Arrow Connector 487">
          <a:extLst>
            <a:ext uri="{FF2B5EF4-FFF2-40B4-BE49-F238E27FC236}">
              <a16:creationId xmlns:a16="http://schemas.microsoft.com/office/drawing/2014/main" id="{00000000-0008-0000-0200-0000E8010000}"/>
            </a:ext>
          </a:extLst>
        </xdr:cNvPr>
        <xdr:cNvCxnSpPr>
          <a:stCxn id="486" idx="3"/>
          <a:endCxn id="487" idx="1"/>
        </xdr:cNvCxnSpPr>
      </xdr:nvCxnSpPr>
      <xdr:spPr>
        <a:xfrm>
          <a:off x="2080260" y="35821197"/>
          <a:ext cx="5317066" cy="339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121920</xdr:colOff>
      <xdr:row>325</xdr:row>
      <xdr:rowOff>52554</xdr:rowOff>
    </xdr:from>
    <xdr:to>
      <xdr:col>8</xdr:col>
      <xdr:colOff>319192</xdr:colOff>
      <xdr:row>325</xdr:row>
      <xdr:rowOff>52555</xdr:rowOff>
    </xdr:to>
    <xdr:cxnSp macro="">
      <xdr:nvCxnSpPr>
        <xdr:cNvPr id="634" name="Elbow Connector 633">
          <a:extLst>
            <a:ext uri="{FF2B5EF4-FFF2-40B4-BE49-F238E27FC236}">
              <a16:creationId xmlns:a16="http://schemas.microsoft.com/office/drawing/2014/main" id="{00000000-0008-0000-0200-00007A020000}"/>
            </a:ext>
          </a:extLst>
        </xdr:cNvPr>
        <xdr:cNvCxnSpPr>
          <a:stCxn id="220" idx="3"/>
          <a:endCxn id="228" idx="1"/>
        </xdr:cNvCxnSpPr>
      </xdr:nvCxnSpPr>
      <xdr:spPr>
        <a:xfrm>
          <a:off x="2110740" y="37763934"/>
          <a:ext cx="1340272" cy="1"/>
        </a:xfrm>
        <a:prstGeom prst="bentConnector3">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562188</xdr:colOff>
      <xdr:row>329</xdr:row>
      <xdr:rowOff>71604</xdr:rowOff>
    </xdr:from>
    <xdr:to>
      <xdr:col>6</xdr:col>
      <xdr:colOff>121920</xdr:colOff>
      <xdr:row>332</xdr:row>
      <xdr:rowOff>71603</xdr:rowOff>
    </xdr:to>
    <xdr:sp macro="" textlink="">
      <xdr:nvSpPr>
        <xdr:cNvPr id="651" name="Rectangle 650">
          <a:extLst>
            <a:ext uri="{FF2B5EF4-FFF2-40B4-BE49-F238E27FC236}">
              <a16:creationId xmlns:a16="http://schemas.microsoft.com/office/drawing/2014/main" id="{00000000-0008-0000-0200-00008B020000}"/>
            </a:ext>
          </a:extLst>
        </xdr:cNvPr>
        <xdr:cNvSpPr/>
      </xdr:nvSpPr>
      <xdr:spPr>
        <a:xfrm>
          <a:off x="836508" y="38301144"/>
          <a:ext cx="1274232" cy="388619"/>
        </a:xfrm>
        <a:prstGeom prst="rect">
          <a:avLst/>
        </a:prstGeom>
        <a:solidFill>
          <a:schemeClr val="accent6">
            <a:lumMod val="20000"/>
            <a:lumOff val="80000"/>
          </a:schemeClr>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tIns="36000" rIns="36000" bIns="36000" rtlCol="0" anchor="ctr"/>
        <a:lstStyle/>
        <a:p>
          <a:pPr algn="ctr"/>
          <a:r>
            <a:rPr lang="en-AU" sz="800" b="0">
              <a:solidFill>
                <a:sysClr val="windowText" lastClr="000000"/>
              </a:solidFill>
            </a:rPr>
            <a:t>Construction EUE costs</a:t>
          </a:r>
          <a:r>
            <a:rPr lang="en-AU" sz="800" b="0" baseline="0">
              <a:solidFill>
                <a:sysClr val="windowText" lastClr="000000"/>
              </a:solidFill>
            </a:rPr>
            <a:t> ($)</a:t>
          </a:r>
          <a:endParaRPr lang="en-AU" sz="800" b="0">
            <a:solidFill>
              <a:sysClr val="windowText" lastClr="000000"/>
            </a:solidFill>
          </a:endParaRPr>
        </a:p>
      </xdr:txBody>
    </xdr:sp>
    <xdr:clientData/>
  </xdr:twoCellAnchor>
  <xdr:twoCellAnchor>
    <xdr:from>
      <xdr:col>6</xdr:col>
      <xdr:colOff>121920</xdr:colOff>
      <xdr:row>325</xdr:row>
      <xdr:rowOff>52555</xdr:rowOff>
    </xdr:from>
    <xdr:to>
      <xdr:col>8</xdr:col>
      <xdr:colOff>319192</xdr:colOff>
      <xdr:row>331</xdr:row>
      <xdr:rowOff>6834</xdr:rowOff>
    </xdr:to>
    <xdr:cxnSp macro="">
      <xdr:nvCxnSpPr>
        <xdr:cNvPr id="654" name="Elbow Connector 653">
          <a:extLst>
            <a:ext uri="{FF2B5EF4-FFF2-40B4-BE49-F238E27FC236}">
              <a16:creationId xmlns:a16="http://schemas.microsoft.com/office/drawing/2014/main" id="{00000000-0008-0000-0200-00008E020000}"/>
            </a:ext>
          </a:extLst>
        </xdr:cNvPr>
        <xdr:cNvCxnSpPr>
          <a:stCxn id="651" idx="3"/>
          <a:endCxn id="228" idx="1"/>
        </xdr:cNvCxnSpPr>
      </xdr:nvCxnSpPr>
      <xdr:spPr>
        <a:xfrm flipV="1">
          <a:off x="2110740" y="37763935"/>
          <a:ext cx="1340272" cy="731519"/>
        </a:xfrm>
        <a:prstGeom prst="bentConnector3">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548640</xdr:colOff>
      <xdr:row>383</xdr:row>
      <xdr:rowOff>38100</xdr:rowOff>
    </xdr:from>
    <xdr:to>
      <xdr:col>8</xdr:col>
      <xdr:colOff>220980</xdr:colOff>
      <xdr:row>395</xdr:row>
      <xdr:rowOff>106680</xdr:rowOff>
    </xdr:to>
    <xdr:sp macro="" textlink="">
      <xdr:nvSpPr>
        <xdr:cNvPr id="655" name="Rectangle 654">
          <a:extLst>
            <a:ext uri="{FF2B5EF4-FFF2-40B4-BE49-F238E27FC236}">
              <a16:creationId xmlns:a16="http://schemas.microsoft.com/office/drawing/2014/main" id="{00000000-0008-0000-0200-00008F020000}"/>
            </a:ext>
          </a:extLst>
        </xdr:cNvPr>
        <xdr:cNvSpPr/>
      </xdr:nvSpPr>
      <xdr:spPr>
        <a:xfrm>
          <a:off x="822960" y="44096940"/>
          <a:ext cx="2529840" cy="162306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lang="en-AU" sz="800" i="1">
              <a:solidFill>
                <a:schemeClr val="bg1">
                  <a:lumMod val="75000"/>
                </a:schemeClr>
              </a:solidFill>
            </a:rPr>
            <a:t>*</a:t>
          </a:r>
          <a:r>
            <a:rPr lang="en-AU" sz="800" i="1" baseline="0">
              <a:solidFill>
                <a:schemeClr val="bg1">
                  <a:lumMod val="75000"/>
                </a:schemeClr>
              </a:solidFill>
            </a:rPr>
            <a:t> Includes 3rd party property damage, cost to respond to crisis (protective security risk reduction), additional capex completed without additional labour cost (protective security risk reduction, ICT/OT hardware or software failure risk reduction, and employee engagement), </a:t>
          </a:r>
          <a:r>
            <a:rPr lang="en-AU" sz="800" i="1" baseline="0">
              <a:solidFill>
                <a:schemeClr val="bg1">
                  <a:lumMod val="75000"/>
                </a:schemeClr>
              </a:solidFill>
              <a:effectLst/>
              <a:latin typeface="+mn-lt"/>
              <a:ea typeface="+mn-ea"/>
              <a:cs typeface="+mn-cs"/>
            </a:rPr>
            <a:t>decrease in opex costs (protective security risk reduction, ICT/OT hardware or software failure risk reduction, and employee engagement), fines and penalties risk reduction (protective security risk), reduced damage/theft of asset risk (protective security risk), cost of manual intervention (ICT/OT hardware or software failure risk reduction</a:t>
          </a:r>
          <a:endParaRPr lang="en-AU" sz="800" i="1">
            <a:solidFill>
              <a:schemeClr val="bg1">
                <a:lumMod val="75000"/>
              </a:schemeClr>
            </a:solidFill>
          </a:endParaRPr>
        </a:p>
      </xdr:txBody>
    </xdr:sp>
    <xdr:clientData/>
  </xdr:twoCellAnchor>
  <xdr:twoCellAnchor>
    <xdr:from>
      <xdr:col>3</xdr:col>
      <xdr:colOff>563880</xdr:colOff>
      <xdr:row>24</xdr:row>
      <xdr:rowOff>83820</xdr:rowOff>
    </xdr:from>
    <xdr:to>
      <xdr:col>6</xdr:col>
      <xdr:colOff>0</xdr:colOff>
      <xdr:row>27</xdr:row>
      <xdr:rowOff>83820</xdr:rowOff>
    </xdr:to>
    <xdr:sp macro="" textlink="">
      <xdr:nvSpPr>
        <xdr:cNvPr id="656" name="Rectangle 655">
          <a:extLst>
            <a:ext uri="{FF2B5EF4-FFF2-40B4-BE49-F238E27FC236}">
              <a16:creationId xmlns:a16="http://schemas.microsoft.com/office/drawing/2014/main" id="{00000000-0008-0000-0200-000090020000}"/>
            </a:ext>
          </a:extLst>
        </xdr:cNvPr>
        <xdr:cNvSpPr/>
      </xdr:nvSpPr>
      <xdr:spPr>
        <a:xfrm>
          <a:off x="838200" y="3451860"/>
          <a:ext cx="1150620" cy="388620"/>
        </a:xfrm>
        <a:prstGeom prst="rect">
          <a:avLst/>
        </a:prstGeom>
        <a:solidFill>
          <a:schemeClr val="accent4">
            <a:lumMod val="20000"/>
            <a:lumOff val="80000"/>
          </a:schemeClr>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AU" sz="800">
              <a:solidFill>
                <a:sysClr val="windowText" lastClr="000000"/>
              </a:solidFill>
            </a:rPr>
            <a:t>Sunk costs ($)</a:t>
          </a:r>
        </a:p>
      </xdr:txBody>
    </xdr:sp>
    <xdr:clientData/>
  </xdr:twoCellAnchor>
  <xdr:twoCellAnchor>
    <xdr:from>
      <xdr:col>6</xdr:col>
      <xdr:colOff>0</xdr:colOff>
      <xdr:row>22</xdr:row>
      <xdr:rowOff>34290</xdr:rowOff>
    </xdr:from>
    <xdr:to>
      <xdr:col>15</xdr:col>
      <xdr:colOff>265006</xdr:colOff>
      <xdr:row>23</xdr:row>
      <xdr:rowOff>73238</xdr:rowOff>
    </xdr:to>
    <xdr:cxnSp macro="">
      <xdr:nvCxnSpPr>
        <xdr:cNvPr id="660" name="Elbow Connector 659">
          <a:extLst>
            <a:ext uri="{FF2B5EF4-FFF2-40B4-BE49-F238E27FC236}">
              <a16:creationId xmlns:a16="http://schemas.microsoft.com/office/drawing/2014/main" id="{00000000-0008-0000-0200-000094020000}"/>
            </a:ext>
          </a:extLst>
        </xdr:cNvPr>
        <xdr:cNvCxnSpPr>
          <a:stCxn id="6" idx="3"/>
          <a:endCxn id="108" idx="1"/>
        </xdr:cNvCxnSpPr>
      </xdr:nvCxnSpPr>
      <xdr:spPr>
        <a:xfrm>
          <a:off x="1988820" y="3143250"/>
          <a:ext cx="5408506" cy="168488"/>
        </a:xfrm>
        <a:prstGeom prst="bentConnector3">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0</xdr:colOff>
      <xdr:row>23</xdr:row>
      <xdr:rowOff>73238</xdr:rowOff>
    </xdr:from>
    <xdr:to>
      <xdr:col>15</xdr:col>
      <xdr:colOff>265006</xdr:colOff>
      <xdr:row>26</xdr:row>
      <xdr:rowOff>19050</xdr:rowOff>
    </xdr:to>
    <xdr:cxnSp macro="">
      <xdr:nvCxnSpPr>
        <xdr:cNvPr id="662" name="Elbow Connector 661">
          <a:extLst>
            <a:ext uri="{FF2B5EF4-FFF2-40B4-BE49-F238E27FC236}">
              <a16:creationId xmlns:a16="http://schemas.microsoft.com/office/drawing/2014/main" id="{00000000-0008-0000-0200-000096020000}"/>
            </a:ext>
          </a:extLst>
        </xdr:cNvPr>
        <xdr:cNvCxnSpPr>
          <a:stCxn id="656" idx="3"/>
          <a:endCxn id="108" idx="1"/>
        </xdr:cNvCxnSpPr>
      </xdr:nvCxnSpPr>
      <xdr:spPr>
        <a:xfrm flipV="1">
          <a:off x="1988820" y="3311738"/>
          <a:ext cx="5408506" cy="334432"/>
        </a:xfrm>
        <a:prstGeom prst="bentConnector3">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464820</xdr:colOff>
      <xdr:row>326</xdr:row>
      <xdr:rowOff>83820</xdr:rowOff>
    </xdr:from>
    <xdr:to>
      <xdr:col>6</xdr:col>
      <xdr:colOff>198120</xdr:colOff>
      <xdr:row>329</xdr:row>
      <xdr:rowOff>60960</xdr:rowOff>
    </xdr:to>
    <xdr:sp macro="" textlink="">
      <xdr:nvSpPr>
        <xdr:cNvPr id="244" name="Rectangle 243">
          <a:extLst>
            <a:ext uri="{FF2B5EF4-FFF2-40B4-BE49-F238E27FC236}">
              <a16:creationId xmlns:a16="http://schemas.microsoft.com/office/drawing/2014/main" id="{00000000-0008-0000-0200-0000F4000000}"/>
            </a:ext>
          </a:extLst>
        </xdr:cNvPr>
        <xdr:cNvSpPr/>
      </xdr:nvSpPr>
      <xdr:spPr>
        <a:xfrm>
          <a:off x="739140" y="37924740"/>
          <a:ext cx="1447800" cy="36576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lang="en-AU" sz="800" i="1">
              <a:solidFill>
                <a:schemeClr val="bg1">
                  <a:lumMod val="75000"/>
                </a:schemeClr>
              </a:solidFill>
            </a:rPr>
            <a:t>*</a:t>
          </a:r>
          <a:r>
            <a:rPr lang="en-AU" sz="800" i="1" baseline="0">
              <a:solidFill>
                <a:schemeClr val="bg1">
                  <a:lumMod val="75000"/>
                </a:schemeClr>
              </a:solidFill>
            </a:rPr>
            <a:t> EBSS benefits are attributed to customers after 6 years</a:t>
          </a:r>
          <a:endParaRPr lang="en-AU" sz="800" i="1">
            <a:solidFill>
              <a:schemeClr val="bg1">
                <a:lumMod val="75000"/>
              </a:schemeClr>
            </a:solidFill>
          </a:endParaRPr>
        </a:p>
      </xdr:txBody>
    </xdr:sp>
    <xdr:clientData/>
  </xdr:twoCellAnchor>
  <xdr:twoCellAnchor>
    <xdr:from>
      <xdr:col>3</xdr:col>
      <xdr:colOff>472440</xdr:colOff>
      <xdr:row>376</xdr:row>
      <xdr:rowOff>114300</xdr:rowOff>
    </xdr:from>
    <xdr:to>
      <xdr:col>6</xdr:col>
      <xdr:colOff>205740</xdr:colOff>
      <xdr:row>379</xdr:row>
      <xdr:rowOff>91440</xdr:rowOff>
    </xdr:to>
    <xdr:sp macro="" textlink="">
      <xdr:nvSpPr>
        <xdr:cNvPr id="249" name="Rectangle 248">
          <a:extLst>
            <a:ext uri="{FF2B5EF4-FFF2-40B4-BE49-F238E27FC236}">
              <a16:creationId xmlns:a16="http://schemas.microsoft.com/office/drawing/2014/main" id="{00000000-0008-0000-0200-0000F9000000}"/>
            </a:ext>
          </a:extLst>
        </xdr:cNvPr>
        <xdr:cNvSpPr/>
      </xdr:nvSpPr>
      <xdr:spPr>
        <a:xfrm>
          <a:off x="746760" y="44432220"/>
          <a:ext cx="1447800" cy="36576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lang="en-AU" sz="800" i="1">
              <a:solidFill>
                <a:schemeClr val="bg1">
                  <a:lumMod val="75000"/>
                </a:schemeClr>
              </a:solidFill>
            </a:rPr>
            <a:t>*</a:t>
          </a:r>
          <a:r>
            <a:rPr lang="en-AU" sz="800" i="1" baseline="0">
              <a:solidFill>
                <a:schemeClr val="bg1">
                  <a:lumMod val="75000"/>
                </a:schemeClr>
              </a:solidFill>
            </a:rPr>
            <a:t> EBSS benefits are attributed to customers after 6 years</a:t>
          </a:r>
          <a:endParaRPr lang="en-AU" sz="800" i="1">
            <a:solidFill>
              <a:schemeClr val="bg1">
                <a:lumMod val="75000"/>
              </a:schemeClr>
            </a:solidFill>
          </a:endParaRPr>
        </a:p>
      </xdr:txBody>
    </xdr:sp>
    <xdr:clientData/>
  </xdr:twoCellAnchor>
  <xdr:twoCellAnchor>
    <xdr:from>
      <xdr:col>3</xdr:col>
      <xdr:colOff>563880</xdr:colOff>
      <xdr:row>48</xdr:row>
      <xdr:rowOff>76200</xdr:rowOff>
    </xdr:from>
    <xdr:to>
      <xdr:col>6</xdr:col>
      <xdr:colOff>22860</xdr:colOff>
      <xdr:row>51</xdr:row>
      <xdr:rowOff>76200</xdr:rowOff>
    </xdr:to>
    <xdr:sp macro="" textlink="">
      <xdr:nvSpPr>
        <xdr:cNvPr id="243" name="Rectangle 242">
          <a:extLst>
            <a:ext uri="{FF2B5EF4-FFF2-40B4-BE49-F238E27FC236}">
              <a16:creationId xmlns:a16="http://schemas.microsoft.com/office/drawing/2014/main" id="{4DCF7ABD-DE85-48C1-A1EB-CB66C417EB7D}"/>
            </a:ext>
          </a:extLst>
        </xdr:cNvPr>
        <xdr:cNvSpPr/>
      </xdr:nvSpPr>
      <xdr:spPr>
        <a:xfrm>
          <a:off x="838200" y="4480560"/>
          <a:ext cx="1173480" cy="388620"/>
        </a:xfrm>
        <a:prstGeom prst="rect">
          <a:avLst/>
        </a:prstGeom>
        <a:solidFill>
          <a:schemeClr val="accent4">
            <a:lumMod val="20000"/>
            <a:lumOff val="80000"/>
          </a:schemeClr>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AU" sz="800">
              <a:solidFill>
                <a:sysClr val="windowText" lastClr="000000"/>
              </a:solidFill>
            </a:rPr>
            <a:t>Capex benefits ($)</a:t>
          </a:r>
        </a:p>
      </xdr:txBody>
    </xdr:sp>
    <xdr:clientData/>
  </xdr:twoCellAnchor>
  <xdr:twoCellAnchor>
    <xdr:from>
      <xdr:col>20</xdr:col>
      <xdr:colOff>524086</xdr:colOff>
      <xdr:row>48</xdr:row>
      <xdr:rowOff>84668</xdr:rowOff>
    </xdr:from>
    <xdr:to>
      <xdr:col>22</xdr:col>
      <xdr:colOff>502919</xdr:colOff>
      <xdr:row>51</xdr:row>
      <xdr:rowOff>84667</xdr:rowOff>
    </xdr:to>
    <xdr:sp macro="" textlink="">
      <xdr:nvSpPr>
        <xdr:cNvPr id="245" name="Rectangle 244">
          <a:extLst>
            <a:ext uri="{FF2B5EF4-FFF2-40B4-BE49-F238E27FC236}">
              <a16:creationId xmlns:a16="http://schemas.microsoft.com/office/drawing/2014/main" id="{41A62879-EA3B-4B48-A95B-BE6B81C47DD3}"/>
            </a:ext>
          </a:extLst>
        </xdr:cNvPr>
        <xdr:cNvSpPr/>
      </xdr:nvSpPr>
      <xdr:spPr>
        <a:xfrm>
          <a:off x="10513906" y="5395808"/>
          <a:ext cx="1121833" cy="388619"/>
        </a:xfrm>
        <a:prstGeom prst="rect">
          <a:avLst/>
        </a:prstGeom>
        <a:solidFill>
          <a:schemeClr val="accent6">
            <a:lumMod val="20000"/>
            <a:lumOff val="80000"/>
          </a:schemeClr>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AU" sz="800" b="0">
              <a:solidFill>
                <a:sysClr val="windowText" lastClr="000000"/>
              </a:solidFill>
            </a:rPr>
            <a:t>Capex benefits </a:t>
          </a:r>
          <a:r>
            <a:rPr lang="en-AU" sz="800" b="0" baseline="0">
              <a:solidFill>
                <a:sysClr val="windowText" lastClr="000000"/>
              </a:solidFill>
            </a:rPr>
            <a:t>($)</a:t>
          </a:r>
          <a:endParaRPr lang="en-AU" sz="800" b="0">
            <a:solidFill>
              <a:sysClr val="windowText" lastClr="000000"/>
            </a:solidFill>
          </a:endParaRPr>
        </a:p>
      </xdr:txBody>
    </xdr:sp>
    <xdr:clientData/>
  </xdr:twoCellAnchor>
  <xdr:twoCellAnchor>
    <xdr:from>
      <xdr:col>6</xdr:col>
      <xdr:colOff>22860</xdr:colOff>
      <xdr:row>50</xdr:row>
      <xdr:rowOff>11430</xdr:rowOff>
    </xdr:from>
    <xdr:to>
      <xdr:col>20</xdr:col>
      <xdr:colOff>524086</xdr:colOff>
      <xdr:row>50</xdr:row>
      <xdr:rowOff>19898</xdr:rowOff>
    </xdr:to>
    <xdr:cxnSp macro="">
      <xdr:nvCxnSpPr>
        <xdr:cNvPr id="246" name="Straight Arrow Connector 245">
          <a:extLst>
            <a:ext uri="{FF2B5EF4-FFF2-40B4-BE49-F238E27FC236}">
              <a16:creationId xmlns:a16="http://schemas.microsoft.com/office/drawing/2014/main" id="{34FA84AD-87FF-43DD-81B5-C43AA735B23E}"/>
            </a:ext>
          </a:extLst>
        </xdr:cNvPr>
        <xdr:cNvCxnSpPr>
          <a:stCxn id="243" idx="3"/>
          <a:endCxn id="245" idx="1"/>
        </xdr:cNvCxnSpPr>
      </xdr:nvCxnSpPr>
      <xdr:spPr>
        <a:xfrm>
          <a:off x="2011680" y="5581650"/>
          <a:ext cx="8502226" cy="8468"/>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281940</xdr:colOff>
      <xdr:row>73</xdr:row>
      <xdr:rowOff>69668</xdr:rowOff>
    </xdr:from>
    <xdr:to>
      <xdr:col>11</xdr:col>
      <xdr:colOff>213360</xdr:colOff>
      <xdr:row>76</xdr:row>
      <xdr:rowOff>69668</xdr:rowOff>
    </xdr:to>
    <xdr:sp macro="" textlink="">
      <xdr:nvSpPr>
        <xdr:cNvPr id="252" name="Rectangle 251">
          <a:extLst>
            <a:ext uri="{FF2B5EF4-FFF2-40B4-BE49-F238E27FC236}">
              <a16:creationId xmlns:a16="http://schemas.microsoft.com/office/drawing/2014/main" id="{5BC37B83-9992-4798-9188-C189E29CF3EF}"/>
            </a:ext>
          </a:extLst>
        </xdr:cNvPr>
        <xdr:cNvSpPr/>
      </xdr:nvSpPr>
      <xdr:spPr>
        <a:xfrm>
          <a:off x="3985260" y="16391708"/>
          <a:ext cx="1074420" cy="388620"/>
        </a:xfrm>
        <a:prstGeom prst="rect">
          <a:avLst/>
        </a:prstGeom>
        <a:solidFill>
          <a:schemeClr val="accent4">
            <a:lumMod val="20000"/>
            <a:lumOff val="80000"/>
          </a:schemeClr>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AU" sz="800">
              <a:solidFill>
                <a:sysClr val="windowText" lastClr="000000"/>
              </a:solidFill>
            </a:rPr>
            <a:t>Capex benefits </a:t>
          </a:r>
          <a:r>
            <a:rPr lang="en-AU" sz="800" baseline="0">
              <a:solidFill>
                <a:sysClr val="windowText" lastClr="000000"/>
              </a:solidFill>
            </a:rPr>
            <a:t>($)</a:t>
          </a:r>
          <a:endParaRPr lang="en-AU" sz="800">
            <a:solidFill>
              <a:sysClr val="windowText" lastClr="000000"/>
            </a:solidFill>
          </a:endParaRPr>
        </a:p>
      </xdr:txBody>
    </xdr:sp>
    <xdr:clientData/>
  </xdr:twoCellAnchor>
  <xdr:twoCellAnchor>
    <xdr:from>
      <xdr:col>13</xdr:col>
      <xdr:colOff>533400</xdr:colOff>
      <xdr:row>68</xdr:row>
      <xdr:rowOff>54429</xdr:rowOff>
    </xdr:from>
    <xdr:to>
      <xdr:col>14</xdr:col>
      <xdr:colOff>548640</xdr:colOff>
      <xdr:row>71</xdr:row>
      <xdr:rowOff>54428</xdr:rowOff>
    </xdr:to>
    <xdr:sp macro="" textlink="">
      <xdr:nvSpPr>
        <xdr:cNvPr id="258" name="Rectangle 257">
          <a:extLst>
            <a:ext uri="{FF2B5EF4-FFF2-40B4-BE49-F238E27FC236}">
              <a16:creationId xmlns:a16="http://schemas.microsoft.com/office/drawing/2014/main" id="{3F43E9E3-763B-464B-BA66-E130E4B1398F}"/>
            </a:ext>
          </a:extLst>
        </xdr:cNvPr>
        <xdr:cNvSpPr/>
      </xdr:nvSpPr>
      <xdr:spPr>
        <a:xfrm>
          <a:off x="6522720" y="15728769"/>
          <a:ext cx="586740" cy="388619"/>
        </a:xfrm>
        <a:prstGeom prst="rect">
          <a:avLst/>
        </a:prstGeom>
        <a:solidFill>
          <a:schemeClr val="bg2"/>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AU" sz="800">
              <a:solidFill>
                <a:sysClr val="windowText" lastClr="000000"/>
              </a:solidFill>
            </a:rPr>
            <a:t>WACC</a:t>
          </a:r>
          <a:r>
            <a:rPr lang="en-AU" sz="800" baseline="0">
              <a:solidFill>
                <a:sysClr val="windowText" lastClr="000000"/>
              </a:solidFill>
            </a:rPr>
            <a:t> (%)</a:t>
          </a:r>
          <a:endParaRPr lang="en-AU" sz="800">
            <a:solidFill>
              <a:sysClr val="windowText" lastClr="000000"/>
            </a:solidFill>
          </a:endParaRPr>
        </a:p>
      </xdr:txBody>
    </xdr:sp>
    <xdr:clientData/>
  </xdr:twoCellAnchor>
  <xdr:twoCellAnchor>
    <xdr:from>
      <xdr:col>15</xdr:col>
      <xdr:colOff>342900</xdr:colOff>
      <xdr:row>73</xdr:row>
      <xdr:rowOff>69668</xdr:rowOff>
    </xdr:from>
    <xdr:to>
      <xdr:col>17</xdr:col>
      <xdr:colOff>228600</xdr:colOff>
      <xdr:row>76</xdr:row>
      <xdr:rowOff>69668</xdr:rowOff>
    </xdr:to>
    <xdr:sp macro="" textlink="">
      <xdr:nvSpPr>
        <xdr:cNvPr id="259" name="Rectangle 258">
          <a:extLst>
            <a:ext uri="{FF2B5EF4-FFF2-40B4-BE49-F238E27FC236}">
              <a16:creationId xmlns:a16="http://schemas.microsoft.com/office/drawing/2014/main" id="{C87B9EA0-272B-4E9F-97E3-5F2CEC522CEA}"/>
            </a:ext>
          </a:extLst>
        </xdr:cNvPr>
        <xdr:cNvSpPr/>
      </xdr:nvSpPr>
      <xdr:spPr>
        <a:xfrm>
          <a:off x="7475220" y="16391708"/>
          <a:ext cx="1028700" cy="388620"/>
        </a:xfrm>
        <a:prstGeom prst="rect">
          <a:avLst/>
        </a:prstGeom>
        <a:solidFill>
          <a:sysClr val="window" lastClr="FFFFFF"/>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lstStyle/>
        <a:p>
          <a:pPr algn="ctr"/>
          <a:r>
            <a:rPr lang="en-AU" sz="800">
              <a:solidFill>
                <a:sysClr val="windowText" lastClr="000000"/>
              </a:solidFill>
            </a:rPr>
            <a:t>Return on </a:t>
          </a:r>
        </a:p>
        <a:p>
          <a:pPr algn="ctr"/>
          <a:r>
            <a:rPr lang="en-AU" sz="800">
              <a:solidFill>
                <a:sysClr val="windowText" lastClr="000000"/>
              </a:solidFill>
            </a:rPr>
            <a:t>capital</a:t>
          </a:r>
          <a:r>
            <a:rPr lang="en-AU" sz="800" baseline="0">
              <a:solidFill>
                <a:sysClr val="windowText" lastClr="000000"/>
              </a:solidFill>
            </a:rPr>
            <a:t> ($)</a:t>
          </a:r>
          <a:endParaRPr lang="en-AU" sz="800">
            <a:solidFill>
              <a:sysClr val="windowText" lastClr="000000"/>
            </a:solidFill>
          </a:endParaRPr>
        </a:p>
      </xdr:txBody>
    </xdr:sp>
    <xdr:clientData/>
  </xdr:twoCellAnchor>
  <xdr:twoCellAnchor>
    <xdr:from>
      <xdr:col>11</xdr:col>
      <xdr:colOff>213360</xdr:colOff>
      <xdr:row>75</xdr:row>
      <xdr:rowOff>4898</xdr:rowOff>
    </xdr:from>
    <xdr:to>
      <xdr:col>15</xdr:col>
      <xdr:colOff>342900</xdr:colOff>
      <xdr:row>75</xdr:row>
      <xdr:rowOff>4898</xdr:rowOff>
    </xdr:to>
    <xdr:cxnSp macro="">
      <xdr:nvCxnSpPr>
        <xdr:cNvPr id="260" name="Straight Arrow Connector 259">
          <a:extLst>
            <a:ext uri="{FF2B5EF4-FFF2-40B4-BE49-F238E27FC236}">
              <a16:creationId xmlns:a16="http://schemas.microsoft.com/office/drawing/2014/main" id="{7D97925F-0C7B-46AD-B48C-5780B4661295}"/>
            </a:ext>
          </a:extLst>
        </xdr:cNvPr>
        <xdr:cNvCxnSpPr>
          <a:stCxn id="252" idx="3"/>
          <a:endCxn id="259" idx="1"/>
        </xdr:cNvCxnSpPr>
      </xdr:nvCxnSpPr>
      <xdr:spPr>
        <a:xfrm>
          <a:off x="5059680" y="16586018"/>
          <a:ext cx="2415540" cy="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14</xdr:col>
      <xdr:colOff>259080</xdr:colOff>
      <xdr:row>71</xdr:row>
      <xdr:rowOff>54428</xdr:rowOff>
    </xdr:from>
    <xdr:to>
      <xdr:col>14</xdr:col>
      <xdr:colOff>259080</xdr:colOff>
      <xdr:row>74</xdr:row>
      <xdr:rowOff>123008</xdr:rowOff>
    </xdr:to>
    <xdr:cxnSp macro="">
      <xdr:nvCxnSpPr>
        <xdr:cNvPr id="261" name="Straight Arrow Connector 260">
          <a:extLst>
            <a:ext uri="{FF2B5EF4-FFF2-40B4-BE49-F238E27FC236}">
              <a16:creationId xmlns:a16="http://schemas.microsoft.com/office/drawing/2014/main" id="{A4564B19-7F04-44A8-BE38-A9FDA5BA0530}"/>
            </a:ext>
          </a:extLst>
        </xdr:cNvPr>
        <xdr:cNvCxnSpPr>
          <a:stCxn id="258" idx="2"/>
        </xdr:cNvCxnSpPr>
      </xdr:nvCxnSpPr>
      <xdr:spPr>
        <a:xfrm>
          <a:off x="6819900" y="16117388"/>
          <a:ext cx="0" cy="45720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15</xdr:col>
      <xdr:colOff>342900</xdr:colOff>
      <xdr:row>82</xdr:row>
      <xdr:rowOff>62049</xdr:rowOff>
    </xdr:from>
    <xdr:to>
      <xdr:col>17</xdr:col>
      <xdr:colOff>236220</xdr:colOff>
      <xdr:row>85</xdr:row>
      <xdr:rowOff>62048</xdr:rowOff>
    </xdr:to>
    <xdr:sp macro="" textlink="">
      <xdr:nvSpPr>
        <xdr:cNvPr id="262" name="Rectangle 261">
          <a:extLst>
            <a:ext uri="{FF2B5EF4-FFF2-40B4-BE49-F238E27FC236}">
              <a16:creationId xmlns:a16="http://schemas.microsoft.com/office/drawing/2014/main" id="{0D07579A-8C32-4145-A122-40752E93D369}"/>
            </a:ext>
          </a:extLst>
        </xdr:cNvPr>
        <xdr:cNvSpPr/>
      </xdr:nvSpPr>
      <xdr:spPr>
        <a:xfrm>
          <a:off x="7475220" y="17549949"/>
          <a:ext cx="1036320" cy="388619"/>
        </a:xfrm>
        <a:prstGeom prst="rect">
          <a:avLst/>
        </a:prstGeom>
        <a:solidFill>
          <a:sysClr val="window" lastClr="FFFFFF"/>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AU" sz="800">
              <a:solidFill>
                <a:sysClr val="windowText" lastClr="000000"/>
              </a:solidFill>
            </a:rPr>
            <a:t>Capex benefit depreciation </a:t>
          </a:r>
          <a:r>
            <a:rPr lang="en-AU" sz="800" baseline="0">
              <a:solidFill>
                <a:sysClr val="windowText" lastClr="000000"/>
              </a:solidFill>
            </a:rPr>
            <a:t>($)</a:t>
          </a:r>
          <a:endParaRPr lang="en-AU" sz="800">
            <a:solidFill>
              <a:sysClr val="windowText" lastClr="000000"/>
            </a:solidFill>
          </a:endParaRPr>
        </a:p>
      </xdr:txBody>
    </xdr:sp>
    <xdr:clientData/>
  </xdr:twoCellAnchor>
  <xdr:twoCellAnchor>
    <xdr:from>
      <xdr:col>13</xdr:col>
      <xdr:colOff>541020</xdr:colOff>
      <xdr:row>77</xdr:row>
      <xdr:rowOff>15240</xdr:rowOff>
    </xdr:from>
    <xdr:to>
      <xdr:col>14</xdr:col>
      <xdr:colOff>556260</xdr:colOff>
      <xdr:row>80</xdr:row>
      <xdr:rowOff>15240</xdr:rowOff>
    </xdr:to>
    <xdr:sp macro="" textlink="">
      <xdr:nvSpPr>
        <xdr:cNvPr id="263" name="Rectangle 262">
          <a:extLst>
            <a:ext uri="{FF2B5EF4-FFF2-40B4-BE49-F238E27FC236}">
              <a16:creationId xmlns:a16="http://schemas.microsoft.com/office/drawing/2014/main" id="{CEB62CE8-64C8-412F-B668-40DB6B9FA56D}"/>
            </a:ext>
          </a:extLst>
        </xdr:cNvPr>
        <xdr:cNvSpPr/>
      </xdr:nvSpPr>
      <xdr:spPr>
        <a:xfrm>
          <a:off x="6530340" y="16855440"/>
          <a:ext cx="586740" cy="388620"/>
        </a:xfrm>
        <a:prstGeom prst="rect">
          <a:avLst/>
        </a:prstGeom>
        <a:solidFill>
          <a:schemeClr val="bg2"/>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AU" sz="800">
              <a:solidFill>
                <a:sysClr val="windowText" lastClr="000000"/>
              </a:solidFill>
            </a:rPr>
            <a:t>Average</a:t>
          </a:r>
          <a:r>
            <a:rPr lang="en-AU" sz="800" baseline="0">
              <a:solidFill>
                <a:sysClr val="windowText" lastClr="000000"/>
              </a:solidFill>
            </a:rPr>
            <a:t> a</a:t>
          </a:r>
          <a:r>
            <a:rPr lang="en-AU" sz="800">
              <a:solidFill>
                <a:sysClr val="windowText" lastClr="000000"/>
              </a:solidFill>
            </a:rPr>
            <a:t>sset life (years)</a:t>
          </a:r>
        </a:p>
      </xdr:txBody>
    </xdr:sp>
    <xdr:clientData/>
  </xdr:twoCellAnchor>
  <xdr:twoCellAnchor>
    <xdr:from>
      <xdr:col>15</xdr:col>
      <xdr:colOff>342900</xdr:colOff>
      <xdr:row>64</xdr:row>
      <xdr:rowOff>30480</xdr:rowOff>
    </xdr:from>
    <xdr:to>
      <xdr:col>17</xdr:col>
      <xdr:colOff>228600</xdr:colOff>
      <xdr:row>67</xdr:row>
      <xdr:rowOff>30479</xdr:rowOff>
    </xdr:to>
    <xdr:sp macro="" textlink="">
      <xdr:nvSpPr>
        <xdr:cNvPr id="264" name="Rectangle 263">
          <a:extLst>
            <a:ext uri="{FF2B5EF4-FFF2-40B4-BE49-F238E27FC236}">
              <a16:creationId xmlns:a16="http://schemas.microsoft.com/office/drawing/2014/main" id="{5C206364-5161-4199-9D67-0341D1B8037F}"/>
            </a:ext>
          </a:extLst>
        </xdr:cNvPr>
        <xdr:cNvSpPr/>
      </xdr:nvSpPr>
      <xdr:spPr>
        <a:xfrm>
          <a:off x="7475220" y="15186660"/>
          <a:ext cx="1028700" cy="388619"/>
        </a:xfrm>
        <a:prstGeom prst="rect">
          <a:avLst/>
        </a:prstGeom>
        <a:solidFill>
          <a:sysClr val="window" lastClr="FFFFFF"/>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AU" sz="800">
              <a:solidFill>
                <a:sysClr val="windowText" lastClr="000000"/>
              </a:solidFill>
            </a:rPr>
            <a:t>Capital</a:t>
          </a:r>
          <a:r>
            <a:rPr lang="en-AU" sz="800" baseline="0">
              <a:solidFill>
                <a:sysClr val="windowText" lastClr="000000"/>
              </a:solidFill>
            </a:rPr>
            <a:t> terminal value</a:t>
          </a:r>
          <a:r>
            <a:rPr lang="en-AU" sz="800">
              <a:solidFill>
                <a:sysClr val="windowText" lastClr="000000"/>
              </a:solidFill>
            </a:rPr>
            <a:t> </a:t>
          </a:r>
          <a:r>
            <a:rPr lang="en-AU" sz="800" baseline="0">
              <a:solidFill>
                <a:sysClr val="windowText" lastClr="000000"/>
              </a:solidFill>
            </a:rPr>
            <a:t>($)</a:t>
          </a:r>
          <a:endParaRPr lang="en-AU" sz="800">
            <a:solidFill>
              <a:sysClr val="windowText" lastClr="000000"/>
            </a:solidFill>
          </a:endParaRPr>
        </a:p>
      </xdr:txBody>
    </xdr:sp>
    <xdr:clientData/>
  </xdr:twoCellAnchor>
  <xdr:twoCellAnchor>
    <xdr:from>
      <xdr:col>15</xdr:col>
      <xdr:colOff>7620</xdr:colOff>
      <xdr:row>61</xdr:row>
      <xdr:rowOff>46808</xdr:rowOff>
    </xdr:from>
    <xdr:to>
      <xdr:col>18</xdr:col>
      <xdr:colOff>22860</xdr:colOff>
      <xdr:row>64</xdr:row>
      <xdr:rowOff>53340</xdr:rowOff>
    </xdr:to>
    <xdr:sp macro="" textlink="">
      <xdr:nvSpPr>
        <xdr:cNvPr id="265" name="Rectangle 264">
          <a:extLst>
            <a:ext uri="{FF2B5EF4-FFF2-40B4-BE49-F238E27FC236}">
              <a16:creationId xmlns:a16="http://schemas.microsoft.com/office/drawing/2014/main" id="{2A0C1134-848B-4734-8C0E-DA24F56BA4C5}"/>
            </a:ext>
          </a:extLst>
        </xdr:cNvPr>
        <xdr:cNvSpPr/>
      </xdr:nvSpPr>
      <xdr:spPr>
        <a:xfrm>
          <a:off x="7139940" y="14814368"/>
          <a:ext cx="1729740" cy="395152"/>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AU" sz="800" i="1">
              <a:solidFill>
                <a:schemeClr val="bg1">
                  <a:lumMod val="75000"/>
                </a:schemeClr>
              </a:solidFill>
            </a:rPr>
            <a:t>If</a:t>
          </a:r>
          <a:r>
            <a:rPr lang="en-AU" sz="800" i="1" baseline="0">
              <a:solidFill>
                <a:schemeClr val="bg1">
                  <a:lumMod val="75000"/>
                </a:schemeClr>
              </a:solidFill>
            </a:rPr>
            <a:t> applicable (when asset life extends beyond model timeline) </a:t>
          </a:r>
          <a:endParaRPr lang="en-AU" sz="800" i="1">
            <a:solidFill>
              <a:schemeClr val="bg1">
                <a:lumMod val="75000"/>
              </a:schemeClr>
            </a:solidFill>
          </a:endParaRPr>
        </a:p>
      </xdr:txBody>
    </xdr:sp>
    <xdr:clientData/>
  </xdr:twoCellAnchor>
  <xdr:twoCellAnchor>
    <xdr:from>
      <xdr:col>11</xdr:col>
      <xdr:colOff>228600</xdr:colOff>
      <xdr:row>76</xdr:row>
      <xdr:rowOff>7620</xdr:rowOff>
    </xdr:from>
    <xdr:to>
      <xdr:col>15</xdr:col>
      <xdr:colOff>342900</xdr:colOff>
      <xdr:row>83</xdr:row>
      <xdr:rowOff>126819</xdr:rowOff>
    </xdr:to>
    <xdr:cxnSp macro="">
      <xdr:nvCxnSpPr>
        <xdr:cNvPr id="267" name="Elbow Connector 116">
          <a:extLst>
            <a:ext uri="{FF2B5EF4-FFF2-40B4-BE49-F238E27FC236}">
              <a16:creationId xmlns:a16="http://schemas.microsoft.com/office/drawing/2014/main" id="{DB5B3198-A7C8-4D75-8099-DC9AC93B109C}"/>
            </a:ext>
          </a:extLst>
        </xdr:cNvPr>
        <xdr:cNvCxnSpPr>
          <a:endCxn id="262" idx="1"/>
        </xdr:cNvCxnSpPr>
      </xdr:nvCxnSpPr>
      <xdr:spPr>
        <a:xfrm>
          <a:off x="5074920" y="16718280"/>
          <a:ext cx="2400300" cy="1025979"/>
        </a:xfrm>
        <a:prstGeom prst="bentConnector3">
          <a:avLst>
            <a:gd name="adj1" fmla="val 50000"/>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14</xdr:col>
      <xdr:colOff>266700</xdr:colOff>
      <xdr:row>80</xdr:row>
      <xdr:rowOff>30480</xdr:rowOff>
    </xdr:from>
    <xdr:to>
      <xdr:col>14</xdr:col>
      <xdr:colOff>266700</xdr:colOff>
      <xdr:row>83</xdr:row>
      <xdr:rowOff>100148</xdr:rowOff>
    </xdr:to>
    <xdr:cxnSp macro="">
      <xdr:nvCxnSpPr>
        <xdr:cNvPr id="268" name="Straight Arrow Connector 267">
          <a:extLst>
            <a:ext uri="{FF2B5EF4-FFF2-40B4-BE49-F238E27FC236}">
              <a16:creationId xmlns:a16="http://schemas.microsoft.com/office/drawing/2014/main" id="{FDE1A00B-85AE-408F-B5A6-0643FC630CF3}"/>
            </a:ext>
          </a:extLst>
        </xdr:cNvPr>
        <xdr:cNvCxnSpPr/>
      </xdr:nvCxnSpPr>
      <xdr:spPr>
        <a:xfrm>
          <a:off x="6827520" y="17259300"/>
          <a:ext cx="0" cy="458288"/>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279762</xdr:colOff>
      <xdr:row>68</xdr:row>
      <xdr:rowOff>53438</xdr:rowOff>
    </xdr:from>
    <xdr:to>
      <xdr:col>11</xdr:col>
      <xdr:colOff>205740</xdr:colOff>
      <xdr:row>71</xdr:row>
      <xdr:rowOff>53438</xdr:rowOff>
    </xdr:to>
    <xdr:sp macro="" textlink="">
      <xdr:nvSpPr>
        <xdr:cNvPr id="269" name="Rectangle 268">
          <a:extLst>
            <a:ext uri="{FF2B5EF4-FFF2-40B4-BE49-F238E27FC236}">
              <a16:creationId xmlns:a16="http://schemas.microsoft.com/office/drawing/2014/main" id="{D5BA3B70-5005-4933-AD3F-4C91A6221783}"/>
            </a:ext>
          </a:extLst>
        </xdr:cNvPr>
        <xdr:cNvSpPr/>
      </xdr:nvSpPr>
      <xdr:spPr>
        <a:xfrm>
          <a:off x="3983082" y="15727778"/>
          <a:ext cx="1068978" cy="388620"/>
        </a:xfrm>
        <a:prstGeom prst="rect">
          <a:avLst/>
        </a:prstGeom>
        <a:solidFill>
          <a:schemeClr val="bg2"/>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AU" sz="800">
              <a:solidFill>
                <a:sysClr val="windowText" lastClr="000000"/>
              </a:solidFill>
            </a:rPr>
            <a:t>RAB multiple</a:t>
          </a:r>
        </a:p>
      </xdr:txBody>
    </xdr:sp>
    <xdr:clientData/>
  </xdr:twoCellAnchor>
  <xdr:twoCellAnchor>
    <xdr:from>
      <xdr:col>6</xdr:col>
      <xdr:colOff>444039</xdr:colOff>
      <xdr:row>62</xdr:row>
      <xdr:rowOff>4352</xdr:rowOff>
    </xdr:from>
    <xdr:to>
      <xdr:col>8</xdr:col>
      <xdr:colOff>304801</xdr:colOff>
      <xdr:row>65</xdr:row>
      <xdr:rowOff>4352</xdr:rowOff>
    </xdr:to>
    <xdr:sp macro="" textlink="">
      <xdr:nvSpPr>
        <xdr:cNvPr id="270" name="Rectangle 269">
          <a:extLst>
            <a:ext uri="{FF2B5EF4-FFF2-40B4-BE49-F238E27FC236}">
              <a16:creationId xmlns:a16="http://schemas.microsoft.com/office/drawing/2014/main" id="{3E8A663D-92E5-46E2-85C4-9A2B47A3E703}"/>
            </a:ext>
          </a:extLst>
        </xdr:cNvPr>
        <xdr:cNvSpPr/>
      </xdr:nvSpPr>
      <xdr:spPr>
        <a:xfrm>
          <a:off x="2432859" y="14901452"/>
          <a:ext cx="1003762" cy="388620"/>
        </a:xfrm>
        <a:prstGeom prst="rect">
          <a:avLst/>
        </a:prstGeom>
        <a:solidFill>
          <a:schemeClr val="bg2"/>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AU" sz="800">
              <a:solidFill>
                <a:sysClr val="windowText" lastClr="000000"/>
              </a:solidFill>
            </a:rPr>
            <a:t>Average</a:t>
          </a:r>
          <a:r>
            <a:rPr lang="en-AU" sz="800" baseline="0">
              <a:solidFill>
                <a:sysClr val="windowText" lastClr="000000"/>
              </a:solidFill>
            </a:rPr>
            <a:t> a</a:t>
          </a:r>
          <a:r>
            <a:rPr lang="en-AU" sz="800">
              <a:solidFill>
                <a:sysClr val="windowText" lastClr="000000"/>
              </a:solidFill>
            </a:rPr>
            <a:t>sset life (years)</a:t>
          </a:r>
        </a:p>
      </xdr:txBody>
    </xdr:sp>
    <xdr:clientData/>
  </xdr:twoCellAnchor>
  <xdr:twoCellAnchor>
    <xdr:from>
      <xdr:col>6</xdr:col>
      <xdr:colOff>444038</xdr:colOff>
      <xdr:row>57</xdr:row>
      <xdr:rowOff>105291</xdr:rowOff>
    </xdr:from>
    <xdr:to>
      <xdr:col>8</xdr:col>
      <xdr:colOff>304800</xdr:colOff>
      <xdr:row>60</xdr:row>
      <xdr:rowOff>105293</xdr:rowOff>
    </xdr:to>
    <xdr:sp macro="" textlink="">
      <xdr:nvSpPr>
        <xdr:cNvPr id="271" name="Rectangle 270">
          <a:extLst>
            <a:ext uri="{FF2B5EF4-FFF2-40B4-BE49-F238E27FC236}">
              <a16:creationId xmlns:a16="http://schemas.microsoft.com/office/drawing/2014/main" id="{A6AD081D-39AC-4761-9277-DA3859A5DC29}"/>
            </a:ext>
          </a:extLst>
        </xdr:cNvPr>
        <xdr:cNvSpPr/>
      </xdr:nvSpPr>
      <xdr:spPr>
        <a:xfrm>
          <a:off x="2432858" y="14354691"/>
          <a:ext cx="1003762" cy="388622"/>
        </a:xfrm>
        <a:prstGeom prst="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AU" sz="800">
              <a:solidFill>
                <a:sysClr val="windowText" lastClr="000000"/>
              </a:solidFill>
            </a:rPr>
            <a:t>Remaining asset life (years)</a:t>
          </a:r>
        </a:p>
      </xdr:txBody>
    </xdr:sp>
    <xdr:clientData/>
  </xdr:twoCellAnchor>
  <xdr:twoCellAnchor>
    <xdr:from>
      <xdr:col>3</xdr:col>
      <xdr:colOff>564868</xdr:colOff>
      <xdr:row>56</xdr:row>
      <xdr:rowOff>8311</xdr:rowOff>
    </xdr:from>
    <xdr:to>
      <xdr:col>5</xdr:col>
      <xdr:colOff>487680</xdr:colOff>
      <xdr:row>59</xdr:row>
      <xdr:rowOff>8311</xdr:rowOff>
    </xdr:to>
    <xdr:sp macro="" textlink="">
      <xdr:nvSpPr>
        <xdr:cNvPr id="272" name="Rectangle 271">
          <a:extLst>
            <a:ext uri="{FF2B5EF4-FFF2-40B4-BE49-F238E27FC236}">
              <a16:creationId xmlns:a16="http://schemas.microsoft.com/office/drawing/2014/main" id="{CB4F8E6F-0EDB-455D-990D-F136598EF3ED}"/>
            </a:ext>
          </a:extLst>
        </xdr:cNvPr>
        <xdr:cNvSpPr/>
      </xdr:nvSpPr>
      <xdr:spPr>
        <a:xfrm>
          <a:off x="839188" y="14128171"/>
          <a:ext cx="1065812" cy="388620"/>
        </a:xfrm>
        <a:prstGeom prst="rect">
          <a:avLst/>
        </a:prstGeom>
        <a:solidFill>
          <a:schemeClr val="bg2"/>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AU" sz="800">
              <a:solidFill>
                <a:sysClr val="windowText" lastClr="000000"/>
              </a:solidFill>
            </a:rPr>
            <a:t>Average</a:t>
          </a:r>
          <a:r>
            <a:rPr lang="en-AU" sz="800" baseline="0">
              <a:solidFill>
                <a:sysClr val="windowText" lastClr="000000"/>
              </a:solidFill>
            </a:rPr>
            <a:t> a</a:t>
          </a:r>
          <a:r>
            <a:rPr lang="en-AU" sz="800">
              <a:solidFill>
                <a:sysClr val="windowText" lastClr="000000"/>
              </a:solidFill>
            </a:rPr>
            <a:t>sset life (years)</a:t>
          </a:r>
        </a:p>
      </xdr:txBody>
    </xdr:sp>
    <xdr:clientData/>
  </xdr:twoCellAnchor>
  <xdr:twoCellAnchor>
    <xdr:from>
      <xdr:col>9</xdr:col>
      <xdr:colOff>259080</xdr:colOff>
      <xdr:row>59</xdr:row>
      <xdr:rowOff>127066</xdr:rowOff>
    </xdr:from>
    <xdr:to>
      <xdr:col>11</xdr:col>
      <xdr:colOff>199112</xdr:colOff>
      <xdr:row>62</xdr:row>
      <xdr:rowOff>127066</xdr:rowOff>
    </xdr:to>
    <xdr:sp macro="" textlink="">
      <xdr:nvSpPr>
        <xdr:cNvPr id="273" name="Rectangle 272">
          <a:extLst>
            <a:ext uri="{FF2B5EF4-FFF2-40B4-BE49-F238E27FC236}">
              <a16:creationId xmlns:a16="http://schemas.microsoft.com/office/drawing/2014/main" id="{56BEEBF8-8270-4684-B6AB-0412BA4C8341}"/>
            </a:ext>
          </a:extLst>
        </xdr:cNvPr>
        <xdr:cNvSpPr/>
      </xdr:nvSpPr>
      <xdr:spPr>
        <a:xfrm>
          <a:off x="3962400" y="14635546"/>
          <a:ext cx="1083032" cy="388620"/>
        </a:xfrm>
        <a:prstGeom prst="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tIns="36000" rIns="36000" bIns="36000" rtlCol="0" anchor="ctr"/>
        <a:lstStyle/>
        <a:p>
          <a:pPr algn="ctr"/>
          <a:r>
            <a:rPr lang="en-AU" sz="800">
              <a:solidFill>
                <a:sysClr val="windowText" lastClr="000000"/>
              </a:solidFill>
            </a:rPr>
            <a:t>Remaining asset life (portion</a:t>
          </a:r>
          <a:r>
            <a:rPr lang="en-AU" sz="800" baseline="0">
              <a:solidFill>
                <a:sysClr val="windowText" lastClr="000000"/>
              </a:solidFill>
            </a:rPr>
            <a:t> of total)</a:t>
          </a:r>
          <a:endParaRPr lang="en-AU" sz="800">
            <a:solidFill>
              <a:sysClr val="windowText" lastClr="000000"/>
            </a:solidFill>
          </a:endParaRPr>
        </a:p>
      </xdr:txBody>
    </xdr:sp>
    <xdr:clientData/>
  </xdr:twoCellAnchor>
  <xdr:twoCellAnchor>
    <xdr:from>
      <xdr:col>11</xdr:col>
      <xdr:colOff>213360</xdr:colOff>
      <xdr:row>65</xdr:row>
      <xdr:rowOff>95250</xdr:rowOff>
    </xdr:from>
    <xdr:to>
      <xdr:col>15</xdr:col>
      <xdr:colOff>342900</xdr:colOff>
      <xdr:row>74</xdr:row>
      <xdr:rowOff>0</xdr:rowOff>
    </xdr:to>
    <xdr:cxnSp macro="">
      <xdr:nvCxnSpPr>
        <xdr:cNvPr id="275" name="Elbow Connector 134">
          <a:extLst>
            <a:ext uri="{FF2B5EF4-FFF2-40B4-BE49-F238E27FC236}">
              <a16:creationId xmlns:a16="http://schemas.microsoft.com/office/drawing/2014/main" id="{F9A9DA2A-9B6D-403F-8184-20B428F1B56D}"/>
            </a:ext>
          </a:extLst>
        </xdr:cNvPr>
        <xdr:cNvCxnSpPr>
          <a:endCxn id="264" idx="1"/>
        </xdr:cNvCxnSpPr>
      </xdr:nvCxnSpPr>
      <xdr:spPr>
        <a:xfrm flipV="1">
          <a:off x="5059680" y="15380970"/>
          <a:ext cx="2415540" cy="1070610"/>
        </a:xfrm>
        <a:prstGeom prst="bentConnector3">
          <a:avLst>
            <a:gd name="adj1" fmla="val 50000"/>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199112</xdr:colOff>
      <xdr:row>61</xdr:row>
      <xdr:rowOff>62296</xdr:rowOff>
    </xdr:from>
    <xdr:to>
      <xdr:col>15</xdr:col>
      <xdr:colOff>342900</xdr:colOff>
      <xdr:row>65</xdr:row>
      <xdr:rowOff>95250</xdr:rowOff>
    </xdr:to>
    <xdr:cxnSp macro="">
      <xdr:nvCxnSpPr>
        <xdr:cNvPr id="276" name="Elbow Connector 146">
          <a:extLst>
            <a:ext uri="{FF2B5EF4-FFF2-40B4-BE49-F238E27FC236}">
              <a16:creationId xmlns:a16="http://schemas.microsoft.com/office/drawing/2014/main" id="{659BC885-94C4-4A79-A578-BFFE9AA823FF}"/>
            </a:ext>
          </a:extLst>
        </xdr:cNvPr>
        <xdr:cNvCxnSpPr>
          <a:stCxn id="273" idx="3"/>
          <a:endCxn id="264" idx="1"/>
        </xdr:cNvCxnSpPr>
      </xdr:nvCxnSpPr>
      <xdr:spPr>
        <a:xfrm>
          <a:off x="5045432" y="14829856"/>
          <a:ext cx="2429788" cy="551114"/>
        </a:xfrm>
        <a:prstGeom prst="bentConnector3">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304801</xdr:colOff>
      <xdr:row>61</xdr:row>
      <xdr:rowOff>62296</xdr:rowOff>
    </xdr:from>
    <xdr:to>
      <xdr:col>9</xdr:col>
      <xdr:colOff>259080</xdr:colOff>
      <xdr:row>63</xdr:row>
      <xdr:rowOff>69122</xdr:rowOff>
    </xdr:to>
    <xdr:cxnSp macro="">
      <xdr:nvCxnSpPr>
        <xdr:cNvPr id="278" name="Elbow Connector 156">
          <a:extLst>
            <a:ext uri="{FF2B5EF4-FFF2-40B4-BE49-F238E27FC236}">
              <a16:creationId xmlns:a16="http://schemas.microsoft.com/office/drawing/2014/main" id="{5D5651AE-B7E9-4FA1-857C-B5921B3FF2C9}"/>
            </a:ext>
          </a:extLst>
        </xdr:cNvPr>
        <xdr:cNvCxnSpPr>
          <a:stCxn id="270" idx="3"/>
          <a:endCxn id="273" idx="1"/>
        </xdr:cNvCxnSpPr>
      </xdr:nvCxnSpPr>
      <xdr:spPr>
        <a:xfrm flipV="1">
          <a:off x="3436621" y="14829856"/>
          <a:ext cx="525779" cy="265906"/>
        </a:xfrm>
        <a:prstGeom prst="bentConnector3">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304800</xdr:colOff>
      <xdr:row>59</xdr:row>
      <xdr:rowOff>40522</xdr:rowOff>
    </xdr:from>
    <xdr:to>
      <xdr:col>9</xdr:col>
      <xdr:colOff>259080</xdr:colOff>
      <xdr:row>61</xdr:row>
      <xdr:rowOff>62296</xdr:rowOff>
    </xdr:to>
    <xdr:cxnSp macro="">
      <xdr:nvCxnSpPr>
        <xdr:cNvPr id="279" name="Elbow Connector 160">
          <a:extLst>
            <a:ext uri="{FF2B5EF4-FFF2-40B4-BE49-F238E27FC236}">
              <a16:creationId xmlns:a16="http://schemas.microsoft.com/office/drawing/2014/main" id="{3F790EA4-438B-4FD9-9BAA-055CDEFC6299}"/>
            </a:ext>
          </a:extLst>
        </xdr:cNvPr>
        <xdr:cNvCxnSpPr>
          <a:stCxn id="271" idx="3"/>
          <a:endCxn id="273" idx="1"/>
        </xdr:cNvCxnSpPr>
      </xdr:nvCxnSpPr>
      <xdr:spPr>
        <a:xfrm>
          <a:off x="3436620" y="14549002"/>
          <a:ext cx="525780" cy="280854"/>
        </a:xfrm>
        <a:prstGeom prst="bentConnector3">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564868</xdr:colOff>
      <xdr:row>59</xdr:row>
      <xdr:rowOff>105292</xdr:rowOff>
    </xdr:from>
    <xdr:to>
      <xdr:col>5</xdr:col>
      <xdr:colOff>487680</xdr:colOff>
      <xdr:row>62</xdr:row>
      <xdr:rowOff>105293</xdr:rowOff>
    </xdr:to>
    <xdr:sp macro="" textlink="">
      <xdr:nvSpPr>
        <xdr:cNvPr id="281" name="Rectangle 280">
          <a:extLst>
            <a:ext uri="{FF2B5EF4-FFF2-40B4-BE49-F238E27FC236}">
              <a16:creationId xmlns:a16="http://schemas.microsoft.com/office/drawing/2014/main" id="{90579080-896F-4C1A-854F-2CB7DB7DC02A}"/>
            </a:ext>
          </a:extLst>
        </xdr:cNvPr>
        <xdr:cNvSpPr/>
      </xdr:nvSpPr>
      <xdr:spPr>
        <a:xfrm>
          <a:off x="839188" y="14613772"/>
          <a:ext cx="1065812" cy="388621"/>
        </a:xfrm>
        <a:prstGeom prst="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ctr"/>
        <a:lstStyle/>
        <a:p>
          <a:pPr algn="ctr"/>
          <a:r>
            <a:rPr lang="en-AU" sz="800">
              <a:solidFill>
                <a:sysClr val="windowText" lastClr="000000"/>
              </a:solidFill>
            </a:rPr>
            <a:t>Asset Life (years) modelled</a:t>
          </a:r>
        </a:p>
      </xdr:txBody>
    </xdr:sp>
    <xdr:clientData/>
  </xdr:twoCellAnchor>
  <xdr:twoCellAnchor>
    <xdr:from>
      <xdr:col>5</xdr:col>
      <xdr:colOff>487680</xdr:colOff>
      <xdr:row>57</xdr:row>
      <xdr:rowOff>73081</xdr:rowOff>
    </xdr:from>
    <xdr:to>
      <xdr:col>6</xdr:col>
      <xdr:colOff>444038</xdr:colOff>
      <xdr:row>59</xdr:row>
      <xdr:rowOff>40522</xdr:rowOff>
    </xdr:to>
    <xdr:cxnSp macro="">
      <xdr:nvCxnSpPr>
        <xdr:cNvPr id="283" name="Elbow Connector 179">
          <a:extLst>
            <a:ext uri="{FF2B5EF4-FFF2-40B4-BE49-F238E27FC236}">
              <a16:creationId xmlns:a16="http://schemas.microsoft.com/office/drawing/2014/main" id="{C4A27F1A-A41C-4C09-913C-A7018269B8B2}"/>
            </a:ext>
          </a:extLst>
        </xdr:cNvPr>
        <xdr:cNvCxnSpPr>
          <a:stCxn id="272" idx="3"/>
          <a:endCxn id="271" idx="1"/>
        </xdr:cNvCxnSpPr>
      </xdr:nvCxnSpPr>
      <xdr:spPr>
        <a:xfrm>
          <a:off x="1905000" y="14322481"/>
          <a:ext cx="527858" cy="226521"/>
        </a:xfrm>
        <a:prstGeom prst="bentConnector3">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487680</xdr:colOff>
      <xdr:row>59</xdr:row>
      <xdr:rowOff>40522</xdr:rowOff>
    </xdr:from>
    <xdr:to>
      <xdr:col>6</xdr:col>
      <xdr:colOff>444038</xdr:colOff>
      <xdr:row>61</xdr:row>
      <xdr:rowOff>40523</xdr:rowOff>
    </xdr:to>
    <xdr:cxnSp macro="">
      <xdr:nvCxnSpPr>
        <xdr:cNvPr id="287" name="Elbow Connector 181">
          <a:extLst>
            <a:ext uri="{FF2B5EF4-FFF2-40B4-BE49-F238E27FC236}">
              <a16:creationId xmlns:a16="http://schemas.microsoft.com/office/drawing/2014/main" id="{1432CEB0-5D0E-4E78-982F-CEAC5D202CCB}"/>
            </a:ext>
          </a:extLst>
        </xdr:cNvPr>
        <xdr:cNvCxnSpPr>
          <a:stCxn id="281" idx="3"/>
          <a:endCxn id="271" idx="1"/>
        </xdr:cNvCxnSpPr>
      </xdr:nvCxnSpPr>
      <xdr:spPr>
        <a:xfrm flipV="1">
          <a:off x="1905000" y="14549002"/>
          <a:ext cx="527858" cy="259081"/>
        </a:xfrm>
        <a:prstGeom prst="bentConnector3">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359229</xdr:colOff>
      <xdr:row>60</xdr:row>
      <xdr:rowOff>84667</xdr:rowOff>
    </xdr:from>
    <xdr:to>
      <xdr:col>9</xdr:col>
      <xdr:colOff>27094</xdr:colOff>
      <xdr:row>62</xdr:row>
      <xdr:rowOff>42696</xdr:rowOff>
    </xdr:to>
    <xdr:sp macro="" textlink="">
      <xdr:nvSpPr>
        <xdr:cNvPr id="293" name="Rectangle 292">
          <a:extLst>
            <a:ext uri="{FF2B5EF4-FFF2-40B4-BE49-F238E27FC236}">
              <a16:creationId xmlns:a16="http://schemas.microsoft.com/office/drawing/2014/main" id="{C6EE8F52-D729-44C8-8619-887AF90018E1}"/>
            </a:ext>
          </a:extLst>
        </xdr:cNvPr>
        <xdr:cNvSpPr/>
      </xdr:nvSpPr>
      <xdr:spPr>
        <a:xfrm>
          <a:off x="3491049" y="14722687"/>
          <a:ext cx="239365" cy="217109"/>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AU" sz="1200">
              <a:solidFill>
                <a:sysClr val="windowText" lastClr="000000"/>
              </a:solidFill>
            </a:rPr>
            <a:t>÷</a:t>
          </a:r>
        </a:p>
      </xdr:txBody>
    </xdr:sp>
    <xdr:clientData/>
  </xdr:twoCellAnchor>
  <xdr:twoCellAnchor>
    <xdr:from>
      <xdr:col>14</xdr:col>
      <xdr:colOff>246622</xdr:colOff>
      <xdr:row>80</xdr:row>
      <xdr:rowOff>110067</xdr:rowOff>
    </xdr:from>
    <xdr:to>
      <xdr:col>14</xdr:col>
      <xdr:colOff>485987</xdr:colOff>
      <xdr:row>82</xdr:row>
      <xdr:rowOff>68096</xdr:rowOff>
    </xdr:to>
    <xdr:sp macro="" textlink="">
      <xdr:nvSpPr>
        <xdr:cNvPr id="294" name="Rectangle 293">
          <a:extLst>
            <a:ext uri="{FF2B5EF4-FFF2-40B4-BE49-F238E27FC236}">
              <a16:creationId xmlns:a16="http://schemas.microsoft.com/office/drawing/2014/main" id="{C2D7E121-41DA-4282-ABCB-3BCB3328668C}"/>
            </a:ext>
          </a:extLst>
        </xdr:cNvPr>
        <xdr:cNvSpPr/>
      </xdr:nvSpPr>
      <xdr:spPr>
        <a:xfrm>
          <a:off x="6807442" y="17338887"/>
          <a:ext cx="239365" cy="217109"/>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AU" sz="1200">
              <a:solidFill>
                <a:sysClr val="windowText" lastClr="000000"/>
              </a:solidFill>
            </a:rPr>
            <a:t>÷</a:t>
          </a:r>
        </a:p>
      </xdr:txBody>
    </xdr:sp>
    <xdr:clientData/>
  </xdr:twoCellAnchor>
  <xdr:twoCellAnchor>
    <xdr:from>
      <xdr:col>14</xdr:col>
      <xdr:colOff>230535</xdr:colOff>
      <xdr:row>71</xdr:row>
      <xdr:rowOff>59268</xdr:rowOff>
    </xdr:from>
    <xdr:to>
      <xdr:col>14</xdr:col>
      <xdr:colOff>469900</xdr:colOff>
      <xdr:row>73</xdr:row>
      <xdr:rowOff>17297</xdr:rowOff>
    </xdr:to>
    <xdr:sp macro="" textlink="">
      <xdr:nvSpPr>
        <xdr:cNvPr id="295" name="Rectangle 294">
          <a:extLst>
            <a:ext uri="{FF2B5EF4-FFF2-40B4-BE49-F238E27FC236}">
              <a16:creationId xmlns:a16="http://schemas.microsoft.com/office/drawing/2014/main" id="{75409283-407C-4BC4-A4B9-AD4EC7E13347}"/>
            </a:ext>
          </a:extLst>
        </xdr:cNvPr>
        <xdr:cNvSpPr/>
      </xdr:nvSpPr>
      <xdr:spPr>
        <a:xfrm>
          <a:off x="6791355" y="16122228"/>
          <a:ext cx="239365" cy="217109"/>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AU" sz="1200">
              <a:solidFill>
                <a:sysClr val="windowText" lastClr="000000"/>
              </a:solidFill>
            </a:rPr>
            <a:t>×</a:t>
          </a:r>
        </a:p>
      </xdr:txBody>
    </xdr:sp>
    <xdr:clientData/>
  </xdr:twoCellAnchor>
  <xdr:twoCellAnchor>
    <xdr:from>
      <xdr:col>12</xdr:col>
      <xdr:colOff>542955</xdr:colOff>
      <xdr:row>64</xdr:row>
      <xdr:rowOff>115995</xdr:rowOff>
    </xdr:from>
    <xdr:to>
      <xdr:col>13</xdr:col>
      <xdr:colOff>198120</xdr:colOff>
      <xdr:row>66</xdr:row>
      <xdr:rowOff>71484</xdr:rowOff>
    </xdr:to>
    <xdr:sp macro="" textlink="">
      <xdr:nvSpPr>
        <xdr:cNvPr id="296" name="Rectangle 295">
          <a:extLst>
            <a:ext uri="{FF2B5EF4-FFF2-40B4-BE49-F238E27FC236}">
              <a16:creationId xmlns:a16="http://schemas.microsoft.com/office/drawing/2014/main" id="{57F20B1E-9ECE-4066-921D-9D0F9B6A9615}"/>
            </a:ext>
          </a:extLst>
        </xdr:cNvPr>
        <xdr:cNvSpPr/>
      </xdr:nvSpPr>
      <xdr:spPr>
        <a:xfrm>
          <a:off x="5960775" y="15272175"/>
          <a:ext cx="226665" cy="214569"/>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AU" sz="1200">
              <a:solidFill>
                <a:sysClr val="windowText" lastClr="000000"/>
              </a:solidFill>
            </a:rPr>
            <a:t>×</a:t>
          </a:r>
        </a:p>
      </xdr:txBody>
    </xdr:sp>
    <xdr:clientData/>
  </xdr:twoCellAnchor>
  <xdr:twoCellAnchor>
    <xdr:from>
      <xdr:col>5</xdr:col>
      <xdr:colOff>528562</xdr:colOff>
      <xdr:row>58</xdr:row>
      <xdr:rowOff>50801</xdr:rowOff>
    </xdr:from>
    <xdr:to>
      <xdr:col>6</xdr:col>
      <xdr:colOff>196427</xdr:colOff>
      <xdr:row>60</xdr:row>
      <xdr:rowOff>8830</xdr:rowOff>
    </xdr:to>
    <xdr:sp macro="" textlink="">
      <xdr:nvSpPr>
        <xdr:cNvPr id="299" name="Rectangle 298">
          <a:extLst>
            <a:ext uri="{FF2B5EF4-FFF2-40B4-BE49-F238E27FC236}">
              <a16:creationId xmlns:a16="http://schemas.microsoft.com/office/drawing/2014/main" id="{4A9ED429-0D8A-4D02-9867-E7B56C97A5A3}"/>
            </a:ext>
          </a:extLst>
        </xdr:cNvPr>
        <xdr:cNvSpPr/>
      </xdr:nvSpPr>
      <xdr:spPr>
        <a:xfrm>
          <a:off x="1945882" y="14429741"/>
          <a:ext cx="239365" cy="217109"/>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AU" sz="1200">
              <a:solidFill>
                <a:sysClr val="windowText" lastClr="000000"/>
              </a:solidFill>
            </a:rPr>
            <a:t>-</a:t>
          </a:r>
        </a:p>
      </xdr:txBody>
    </xdr:sp>
    <xdr:clientData/>
  </xdr:twoCellAnchor>
  <xdr:twoCellAnchor>
    <xdr:from>
      <xdr:col>17</xdr:col>
      <xdr:colOff>236220</xdr:colOff>
      <xdr:row>50</xdr:row>
      <xdr:rowOff>19898</xdr:rowOff>
    </xdr:from>
    <xdr:to>
      <xdr:col>20</xdr:col>
      <xdr:colOff>524086</xdr:colOff>
      <xdr:row>83</xdr:row>
      <xdr:rowOff>126819</xdr:rowOff>
    </xdr:to>
    <xdr:cxnSp macro="">
      <xdr:nvCxnSpPr>
        <xdr:cNvPr id="303" name="Elbow Connector 8">
          <a:extLst>
            <a:ext uri="{FF2B5EF4-FFF2-40B4-BE49-F238E27FC236}">
              <a16:creationId xmlns:a16="http://schemas.microsoft.com/office/drawing/2014/main" id="{3E20FC81-F9CA-4E97-A191-975BFA3F70AE}"/>
            </a:ext>
          </a:extLst>
        </xdr:cNvPr>
        <xdr:cNvCxnSpPr>
          <a:stCxn id="262" idx="3"/>
          <a:endCxn id="245" idx="1"/>
        </xdr:cNvCxnSpPr>
      </xdr:nvCxnSpPr>
      <xdr:spPr>
        <a:xfrm flipV="1">
          <a:off x="8511540" y="5590118"/>
          <a:ext cx="2002366" cy="4381741"/>
        </a:xfrm>
        <a:prstGeom prst="bentConnector3">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17</xdr:col>
      <xdr:colOff>228600</xdr:colOff>
      <xdr:row>50</xdr:row>
      <xdr:rowOff>19898</xdr:rowOff>
    </xdr:from>
    <xdr:to>
      <xdr:col>20</xdr:col>
      <xdr:colOff>524086</xdr:colOff>
      <xdr:row>75</xdr:row>
      <xdr:rowOff>4898</xdr:rowOff>
    </xdr:to>
    <xdr:cxnSp macro="">
      <xdr:nvCxnSpPr>
        <xdr:cNvPr id="304" name="Elbow Connector 12">
          <a:extLst>
            <a:ext uri="{FF2B5EF4-FFF2-40B4-BE49-F238E27FC236}">
              <a16:creationId xmlns:a16="http://schemas.microsoft.com/office/drawing/2014/main" id="{5CA54B8E-5552-4996-9BA6-2AD6F7F91E5C}"/>
            </a:ext>
          </a:extLst>
        </xdr:cNvPr>
        <xdr:cNvCxnSpPr>
          <a:stCxn id="259" idx="3"/>
          <a:endCxn id="245" idx="1"/>
        </xdr:cNvCxnSpPr>
      </xdr:nvCxnSpPr>
      <xdr:spPr>
        <a:xfrm flipV="1">
          <a:off x="8503920" y="5590118"/>
          <a:ext cx="2009986" cy="3223500"/>
        </a:xfrm>
        <a:prstGeom prst="bentConnector3">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17</xdr:col>
      <xdr:colOff>228600</xdr:colOff>
      <xdr:row>50</xdr:row>
      <xdr:rowOff>19898</xdr:rowOff>
    </xdr:from>
    <xdr:to>
      <xdr:col>20</xdr:col>
      <xdr:colOff>524086</xdr:colOff>
      <xdr:row>65</xdr:row>
      <xdr:rowOff>95250</xdr:rowOff>
    </xdr:to>
    <xdr:cxnSp macro="">
      <xdr:nvCxnSpPr>
        <xdr:cNvPr id="305" name="Elbow Connector 16">
          <a:extLst>
            <a:ext uri="{FF2B5EF4-FFF2-40B4-BE49-F238E27FC236}">
              <a16:creationId xmlns:a16="http://schemas.microsoft.com/office/drawing/2014/main" id="{5354B842-0203-4172-B2C0-EAE287A6932A}"/>
            </a:ext>
          </a:extLst>
        </xdr:cNvPr>
        <xdr:cNvCxnSpPr>
          <a:stCxn id="264" idx="3"/>
          <a:endCxn id="245" idx="1"/>
        </xdr:cNvCxnSpPr>
      </xdr:nvCxnSpPr>
      <xdr:spPr>
        <a:xfrm flipV="1">
          <a:off x="8503920" y="5590118"/>
          <a:ext cx="2009986" cy="2018452"/>
        </a:xfrm>
        <a:prstGeom prst="bentConnector3">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205740</xdr:colOff>
      <xdr:row>65</xdr:row>
      <xdr:rowOff>95250</xdr:rowOff>
    </xdr:from>
    <xdr:to>
      <xdr:col>15</xdr:col>
      <xdr:colOff>342900</xdr:colOff>
      <xdr:row>69</xdr:row>
      <xdr:rowOff>118208</xdr:rowOff>
    </xdr:to>
    <xdr:cxnSp macro="">
      <xdr:nvCxnSpPr>
        <xdr:cNvPr id="308" name="Elbow Connector 297">
          <a:extLst>
            <a:ext uri="{FF2B5EF4-FFF2-40B4-BE49-F238E27FC236}">
              <a16:creationId xmlns:a16="http://schemas.microsoft.com/office/drawing/2014/main" id="{96B5BFEA-F04B-4E1B-896B-65D3673D0ED4}"/>
            </a:ext>
          </a:extLst>
        </xdr:cNvPr>
        <xdr:cNvCxnSpPr>
          <a:stCxn id="269" idx="3"/>
          <a:endCxn id="264" idx="1"/>
        </xdr:cNvCxnSpPr>
      </xdr:nvCxnSpPr>
      <xdr:spPr>
        <a:xfrm flipV="1">
          <a:off x="5052060" y="15380970"/>
          <a:ext cx="2423160" cy="541118"/>
        </a:xfrm>
        <a:prstGeom prst="bentConnector3">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563880</xdr:colOff>
      <xdr:row>41</xdr:row>
      <xdr:rowOff>76200</xdr:rowOff>
    </xdr:from>
    <xdr:to>
      <xdr:col>6</xdr:col>
      <xdr:colOff>22860</xdr:colOff>
      <xdr:row>44</xdr:row>
      <xdr:rowOff>76200</xdr:rowOff>
    </xdr:to>
    <xdr:sp macro="" textlink="">
      <xdr:nvSpPr>
        <xdr:cNvPr id="322" name="Rectangle 321">
          <a:extLst>
            <a:ext uri="{FF2B5EF4-FFF2-40B4-BE49-F238E27FC236}">
              <a16:creationId xmlns:a16="http://schemas.microsoft.com/office/drawing/2014/main" id="{E8005BE8-70F9-4F05-930D-7700FBA8A1B4}"/>
            </a:ext>
          </a:extLst>
        </xdr:cNvPr>
        <xdr:cNvSpPr/>
      </xdr:nvSpPr>
      <xdr:spPr>
        <a:xfrm>
          <a:off x="838200" y="4480560"/>
          <a:ext cx="1173480" cy="388620"/>
        </a:xfrm>
        <a:prstGeom prst="rect">
          <a:avLst/>
        </a:prstGeom>
        <a:solidFill>
          <a:schemeClr val="accent4">
            <a:lumMod val="20000"/>
            <a:lumOff val="80000"/>
          </a:schemeClr>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AU" sz="800">
              <a:solidFill>
                <a:sysClr val="windowText" lastClr="000000"/>
              </a:solidFill>
            </a:rPr>
            <a:t>Investment opex ($)</a:t>
          </a:r>
        </a:p>
      </xdr:txBody>
    </xdr:sp>
    <xdr:clientData/>
  </xdr:twoCellAnchor>
  <xdr:twoCellAnchor>
    <xdr:from>
      <xdr:col>15</xdr:col>
      <xdr:colOff>265006</xdr:colOff>
      <xdr:row>41</xdr:row>
      <xdr:rowOff>84668</xdr:rowOff>
    </xdr:from>
    <xdr:to>
      <xdr:col>17</xdr:col>
      <xdr:colOff>243839</xdr:colOff>
      <xdr:row>44</xdr:row>
      <xdr:rowOff>84667</xdr:rowOff>
    </xdr:to>
    <xdr:sp macro="" textlink="">
      <xdr:nvSpPr>
        <xdr:cNvPr id="324" name="Rectangle 323">
          <a:extLst>
            <a:ext uri="{FF2B5EF4-FFF2-40B4-BE49-F238E27FC236}">
              <a16:creationId xmlns:a16="http://schemas.microsoft.com/office/drawing/2014/main" id="{FB4AB2E1-D2CC-4000-9987-FE4379415850}"/>
            </a:ext>
          </a:extLst>
        </xdr:cNvPr>
        <xdr:cNvSpPr/>
      </xdr:nvSpPr>
      <xdr:spPr>
        <a:xfrm>
          <a:off x="7397326" y="4489028"/>
          <a:ext cx="1121833" cy="388619"/>
        </a:xfrm>
        <a:prstGeom prst="rect">
          <a:avLst/>
        </a:prstGeom>
        <a:solidFill>
          <a:schemeClr val="accent6">
            <a:lumMod val="20000"/>
            <a:lumOff val="80000"/>
          </a:schemeClr>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AU" sz="800" b="0">
              <a:solidFill>
                <a:sysClr val="windowText" lastClr="000000"/>
              </a:solidFill>
            </a:rPr>
            <a:t>Investment opex </a:t>
          </a:r>
          <a:r>
            <a:rPr lang="en-AU" sz="800" b="0" baseline="0">
              <a:solidFill>
                <a:sysClr val="windowText" lastClr="000000"/>
              </a:solidFill>
            </a:rPr>
            <a:t>($)</a:t>
          </a:r>
          <a:endParaRPr lang="en-AU" sz="800" b="0">
            <a:solidFill>
              <a:sysClr val="windowText" lastClr="000000"/>
            </a:solidFill>
          </a:endParaRPr>
        </a:p>
      </xdr:txBody>
    </xdr:sp>
    <xdr:clientData/>
  </xdr:twoCellAnchor>
  <xdr:twoCellAnchor>
    <xdr:from>
      <xdr:col>6</xdr:col>
      <xdr:colOff>22860</xdr:colOff>
      <xdr:row>43</xdr:row>
      <xdr:rowOff>11430</xdr:rowOff>
    </xdr:from>
    <xdr:to>
      <xdr:col>15</xdr:col>
      <xdr:colOff>265006</xdr:colOff>
      <xdr:row>43</xdr:row>
      <xdr:rowOff>19898</xdr:rowOff>
    </xdr:to>
    <xdr:cxnSp macro="">
      <xdr:nvCxnSpPr>
        <xdr:cNvPr id="326" name="Straight Arrow Connector 325">
          <a:extLst>
            <a:ext uri="{FF2B5EF4-FFF2-40B4-BE49-F238E27FC236}">
              <a16:creationId xmlns:a16="http://schemas.microsoft.com/office/drawing/2014/main" id="{38D476FE-CDDA-4381-A482-6EFC08FE1BB1}"/>
            </a:ext>
          </a:extLst>
        </xdr:cNvPr>
        <xdr:cNvCxnSpPr>
          <a:stCxn id="322" idx="3"/>
          <a:endCxn id="324" idx="1"/>
        </xdr:cNvCxnSpPr>
      </xdr:nvCxnSpPr>
      <xdr:spPr>
        <a:xfrm>
          <a:off x="2011680" y="4674870"/>
          <a:ext cx="5385646" cy="8468"/>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550332</xdr:colOff>
      <xdr:row>336</xdr:row>
      <xdr:rowOff>79585</xdr:rowOff>
    </xdr:from>
    <xdr:to>
      <xdr:col>6</xdr:col>
      <xdr:colOff>99060</xdr:colOff>
      <xdr:row>339</xdr:row>
      <xdr:rowOff>79584</xdr:rowOff>
    </xdr:to>
    <xdr:sp macro="" textlink="">
      <xdr:nvSpPr>
        <xdr:cNvPr id="327" name="Rectangle 326">
          <a:extLst>
            <a:ext uri="{FF2B5EF4-FFF2-40B4-BE49-F238E27FC236}">
              <a16:creationId xmlns:a16="http://schemas.microsoft.com/office/drawing/2014/main" id="{86C9106F-6B58-4DD6-BC6E-452E474930C1}"/>
            </a:ext>
          </a:extLst>
        </xdr:cNvPr>
        <xdr:cNvSpPr/>
      </xdr:nvSpPr>
      <xdr:spPr>
        <a:xfrm>
          <a:off x="824652" y="43620265"/>
          <a:ext cx="1263228" cy="388619"/>
        </a:xfrm>
        <a:prstGeom prst="rect">
          <a:avLst/>
        </a:prstGeom>
        <a:solidFill>
          <a:schemeClr val="accent6">
            <a:lumMod val="20000"/>
            <a:lumOff val="80000"/>
          </a:schemeClr>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AU" sz="800" b="0">
              <a:solidFill>
                <a:sysClr val="windowText" lastClr="000000"/>
              </a:solidFill>
            </a:rPr>
            <a:t>Capex benefits </a:t>
          </a:r>
          <a:r>
            <a:rPr lang="en-AU" sz="800" b="0" baseline="0">
              <a:solidFill>
                <a:sysClr val="windowText" lastClr="000000"/>
              </a:solidFill>
            </a:rPr>
            <a:t>($)</a:t>
          </a:r>
          <a:endParaRPr lang="en-AU" sz="800" b="0">
            <a:solidFill>
              <a:sysClr val="windowText" lastClr="000000"/>
            </a:solidFill>
          </a:endParaRPr>
        </a:p>
      </xdr:txBody>
    </xdr:sp>
    <xdr:clientData/>
  </xdr:twoCellAnchor>
  <xdr:twoCellAnchor>
    <xdr:from>
      <xdr:col>3</xdr:col>
      <xdr:colOff>554568</xdr:colOff>
      <xdr:row>317</xdr:row>
      <xdr:rowOff>1090</xdr:rowOff>
    </xdr:from>
    <xdr:to>
      <xdr:col>6</xdr:col>
      <xdr:colOff>129540</xdr:colOff>
      <xdr:row>320</xdr:row>
      <xdr:rowOff>1089</xdr:rowOff>
    </xdr:to>
    <xdr:sp macro="" textlink="">
      <xdr:nvSpPr>
        <xdr:cNvPr id="330" name="Rectangle 329">
          <a:extLst>
            <a:ext uri="{FF2B5EF4-FFF2-40B4-BE49-F238E27FC236}">
              <a16:creationId xmlns:a16="http://schemas.microsoft.com/office/drawing/2014/main" id="{FF54BDF7-F000-424F-A267-A708F2C109DE}"/>
            </a:ext>
          </a:extLst>
        </xdr:cNvPr>
        <xdr:cNvSpPr/>
      </xdr:nvSpPr>
      <xdr:spPr>
        <a:xfrm>
          <a:off x="828888" y="41080510"/>
          <a:ext cx="1289472" cy="388619"/>
        </a:xfrm>
        <a:prstGeom prst="rect">
          <a:avLst/>
        </a:prstGeom>
        <a:solidFill>
          <a:schemeClr val="accent6">
            <a:lumMod val="20000"/>
            <a:lumOff val="80000"/>
          </a:schemeClr>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AU" sz="800" b="0">
              <a:solidFill>
                <a:sysClr val="windowText" lastClr="000000"/>
              </a:solidFill>
            </a:rPr>
            <a:t>Investment opex* ( </a:t>
          </a:r>
          <a:r>
            <a:rPr lang="en-AU" sz="800" b="0" baseline="0">
              <a:solidFill>
                <a:sysClr val="windowText" lastClr="000000"/>
              </a:solidFill>
            </a:rPr>
            <a:t>$)</a:t>
          </a:r>
          <a:endParaRPr lang="en-AU" sz="800" b="0">
            <a:solidFill>
              <a:sysClr val="windowText" lastClr="000000"/>
            </a:solidFill>
          </a:endParaRPr>
        </a:p>
      </xdr:txBody>
    </xdr:sp>
    <xdr:clientData/>
  </xdr:twoCellAnchor>
  <xdr:twoCellAnchor>
    <xdr:from>
      <xdr:col>6</xdr:col>
      <xdr:colOff>129540</xdr:colOff>
      <xdr:row>318</xdr:row>
      <xdr:rowOff>65860</xdr:rowOff>
    </xdr:from>
    <xdr:to>
      <xdr:col>8</xdr:col>
      <xdr:colOff>319192</xdr:colOff>
      <xdr:row>325</xdr:row>
      <xdr:rowOff>52555</xdr:rowOff>
    </xdr:to>
    <xdr:cxnSp macro="">
      <xdr:nvCxnSpPr>
        <xdr:cNvPr id="332" name="Elbow Connector 230">
          <a:extLst>
            <a:ext uri="{FF2B5EF4-FFF2-40B4-BE49-F238E27FC236}">
              <a16:creationId xmlns:a16="http://schemas.microsoft.com/office/drawing/2014/main" id="{757E88F6-9E13-4C7B-896A-7DD4FFAC101A}"/>
            </a:ext>
          </a:extLst>
        </xdr:cNvPr>
        <xdr:cNvCxnSpPr>
          <a:stCxn id="330" idx="3"/>
          <a:endCxn id="228" idx="1"/>
        </xdr:cNvCxnSpPr>
      </xdr:nvCxnSpPr>
      <xdr:spPr>
        <a:xfrm>
          <a:off x="2118360" y="41274820"/>
          <a:ext cx="1332652" cy="893475"/>
        </a:xfrm>
        <a:prstGeom prst="bentConnector3">
          <a:avLst>
            <a:gd name="adj1" fmla="val 50000"/>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545495</xdr:colOff>
      <xdr:row>353</xdr:row>
      <xdr:rowOff>7742</xdr:rowOff>
    </xdr:from>
    <xdr:to>
      <xdr:col>6</xdr:col>
      <xdr:colOff>137160</xdr:colOff>
      <xdr:row>356</xdr:row>
      <xdr:rowOff>7741</xdr:rowOff>
    </xdr:to>
    <xdr:sp macro="" textlink="">
      <xdr:nvSpPr>
        <xdr:cNvPr id="336" name="Rectangle 335">
          <a:extLst>
            <a:ext uri="{FF2B5EF4-FFF2-40B4-BE49-F238E27FC236}">
              <a16:creationId xmlns:a16="http://schemas.microsoft.com/office/drawing/2014/main" id="{11F4A848-C910-4C36-A5E2-EE55DA69FF50}"/>
            </a:ext>
          </a:extLst>
        </xdr:cNvPr>
        <xdr:cNvSpPr/>
      </xdr:nvSpPr>
      <xdr:spPr>
        <a:xfrm>
          <a:off x="819815" y="45750602"/>
          <a:ext cx="1306165" cy="388619"/>
        </a:xfrm>
        <a:prstGeom prst="rect">
          <a:avLst/>
        </a:prstGeom>
        <a:solidFill>
          <a:schemeClr val="accent6">
            <a:lumMod val="20000"/>
            <a:lumOff val="80000"/>
          </a:schemeClr>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AU" sz="800" b="0">
              <a:solidFill>
                <a:sysClr val="windowText" lastClr="000000"/>
              </a:solidFill>
            </a:rPr>
            <a:t>Investment opex* </a:t>
          </a:r>
          <a:r>
            <a:rPr lang="en-AU" sz="800" b="0" baseline="0">
              <a:solidFill>
                <a:sysClr val="windowText" lastClr="000000"/>
              </a:solidFill>
            </a:rPr>
            <a:t>($)</a:t>
          </a:r>
          <a:endParaRPr lang="en-AU" sz="800" b="0">
            <a:solidFill>
              <a:sysClr val="windowText" lastClr="000000"/>
            </a:solidFill>
          </a:endParaRPr>
        </a:p>
      </xdr:txBody>
    </xdr:sp>
    <xdr:clientData/>
  </xdr:twoCellAnchor>
  <xdr:twoCellAnchor>
    <xdr:from>
      <xdr:col>6</xdr:col>
      <xdr:colOff>137160</xdr:colOff>
      <xdr:row>354</xdr:row>
      <xdr:rowOff>72512</xdr:rowOff>
    </xdr:from>
    <xdr:to>
      <xdr:col>8</xdr:col>
      <xdr:colOff>321613</xdr:colOff>
      <xdr:row>361</xdr:row>
      <xdr:rowOff>61022</xdr:rowOff>
    </xdr:to>
    <xdr:cxnSp macro="">
      <xdr:nvCxnSpPr>
        <xdr:cNvPr id="338" name="Elbow Connector 308">
          <a:extLst>
            <a:ext uri="{FF2B5EF4-FFF2-40B4-BE49-F238E27FC236}">
              <a16:creationId xmlns:a16="http://schemas.microsoft.com/office/drawing/2014/main" id="{E727350B-69D1-4FA2-A4BA-C6038417D093}"/>
            </a:ext>
          </a:extLst>
        </xdr:cNvPr>
        <xdr:cNvCxnSpPr>
          <a:stCxn id="336" idx="3"/>
          <a:endCxn id="266" idx="1"/>
        </xdr:cNvCxnSpPr>
      </xdr:nvCxnSpPr>
      <xdr:spPr>
        <a:xfrm>
          <a:off x="2125980" y="45944912"/>
          <a:ext cx="1327453" cy="895290"/>
        </a:xfrm>
        <a:prstGeom prst="bentConnector3">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99060</xdr:colOff>
      <xdr:row>338</xdr:row>
      <xdr:rowOff>4658</xdr:rowOff>
    </xdr:from>
    <xdr:to>
      <xdr:col>8</xdr:col>
      <xdr:colOff>319192</xdr:colOff>
      <xdr:row>338</xdr:row>
      <xdr:rowOff>14815</xdr:rowOff>
    </xdr:to>
    <xdr:cxnSp macro="">
      <xdr:nvCxnSpPr>
        <xdr:cNvPr id="339" name="Elbow Connector 308">
          <a:extLst>
            <a:ext uri="{FF2B5EF4-FFF2-40B4-BE49-F238E27FC236}">
              <a16:creationId xmlns:a16="http://schemas.microsoft.com/office/drawing/2014/main" id="{C5AF4BF3-CB70-42FE-830D-D5947014A5F0}"/>
            </a:ext>
          </a:extLst>
        </xdr:cNvPr>
        <xdr:cNvCxnSpPr>
          <a:stCxn id="327" idx="3"/>
          <a:endCxn id="227" idx="1"/>
        </xdr:cNvCxnSpPr>
      </xdr:nvCxnSpPr>
      <xdr:spPr>
        <a:xfrm flipV="1">
          <a:off x="2087880" y="43804418"/>
          <a:ext cx="1363132" cy="10157"/>
        </a:xfrm>
        <a:prstGeom prst="bentConnector3">
          <a:avLst>
            <a:gd name="adj1" fmla="val 50000"/>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129540</xdr:colOff>
      <xdr:row>317</xdr:row>
      <xdr:rowOff>0</xdr:rowOff>
    </xdr:from>
    <xdr:to>
      <xdr:col>14</xdr:col>
      <xdr:colOff>403860</xdr:colOff>
      <xdr:row>318</xdr:row>
      <xdr:rowOff>68580</xdr:rowOff>
    </xdr:to>
    <xdr:sp macro="" textlink="">
      <xdr:nvSpPr>
        <xdr:cNvPr id="341" name="Rectangle 340">
          <a:extLst>
            <a:ext uri="{FF2B5EF4-FFF2-40B4-BE49-F238E27FC236}">
              <a16:creationId xmlns:a16="http://schemas.microsoft.com/office/drawing/2014/main" id="{ADC7AA3B-04E0-46CB-B628-8468B15AE151}"/>
            </a:ext>
          </a:extLst>
        </xdr:cNvPr>
        <xdr:cNvSpPr/>
      </xdr:nvSpPr>
      <xdr:spPr>
        <a:xfrm>
          <a:off x="2118360" y="41079420"/>
          <a:ext cx="4846320" cy="19812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lang="en-AU" sz="800" i="1">
              <a:solidFill>
                <a:schemeClr val="bg1">
                  <a:lumMod val="75000"/>
                </a:schemeClr>
              </a:solidFill>
            </a:rPr>
            <a:t>*</a:t>
          </a:r>
          <a:r>
            <a:rPr lang="en-AU" sz="800" i="1" baseline="0">
              <a:solidFill>
                <a:schemeClr val="bg1">
                  <a:lumMod val="75000"/>
                </a:schemeClr>
              </a:solidFill>
            </a:rPr>
            <a:t> Model user to define customer/shareholder allocation of investment opex with toggle provided in input sheet</a:t>
          </a:r>
          <a:endParaRPr lang="en-AU" sz="800" i="1">
            <a:solidFill>
              <a:schemeClr val="bg1">
                <a:lumMod val="75000"/>
              </a:schemeClr>
            </a:solidFill>
          </a:endParaRPr>
        </a:p>
      </xdr:txBody>
    </xdr:sp>
    <xdr:clientData/>
  </xdr:twoCellAnchor>
  <xdr:twoCellAnchor>
    <xdr:from>
      <xdr:col>6</xdr:col>
      <xdr:colOff>137160</xdr:colOff>
      <xdr:row>353</xdr:row>
      <xdr:rowOff>15240</xdr:rowOff>
    </xdr:from>
    <xdr:to>
      <xdr:col>14</xdr:col>
      <xdr:colOff>411480</xdr:colOff>
      <xdr:row>354</xdr:row>
      <xdr:rowOff>76200</xdr:rowOff>
    </xdr:to>
    <xdr:sp macro="" textlink="">
      <xdr:nvSpPr>
        <xdr:cNvPr id="343" name="Rectangle 342">
          <a:extLst>
            <a:ext uri="{FF2B5EF4-FFF2-40B4-BE49-F238E27FC236}">
              <a16:creationId xmlns:a16="http://schemas.microsoft.com/office/drawing/2014/main" id="{8FD02041-96C3-4F56-8B77-61B307EC3771}"/>
            </a:ext>
          </a:extLst>
        </xdr:cNvPr>
        <xdr:cNvSpPr/>
      </xdr:nvSpPr>
      <xdr:spPr>
        <a:xfrm>
          <a:off x="2125980" y="45758100"/>
          <a:ext cx="4846320" cy="1905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lang="en-AU" sz="800" i="1">
              <a:solidFill>
                <a:schemeClr val="bg1">
                  <a:lumMod val="75000"/>
                </a:schemeClr>
              </a:solidFill>
            </a:rPr>
            <a:t>*</a:t>
          </a:r>
          <a:r>
            <a:rPr lang="en-AU" sz="800" i="1" baseline="0">
              <a:solidFill>
                <a:schemeClr val="bg1">
                  <a:lumMod val="75000"/>
                </a:schemeClr>
              </a:solidFill>
            </a:rPr>
            <a:t> Model user to define customer/shareholder allocation of investment opex with toggle provided in input sheet</a:t>
          </a:r>
          <a:endParaRPr lang="en-AU" sz="800" i="1">
            <a:solidFill>
              <a:schemeClr val="bg1">
                <a:lumMod val="75000"/>
              </a:schemeClr>
            </a:solidFill>
          </a:endParaRP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1</xdr:col>
      <xdr:colOff>1</xdr:colOff>
      <xdr:row>5</xdr:row>
      <xdr:rowOff>85725</xdr:rowOff>
    </xdr:from>
    <xdr:to>
      <xdr:col>12</xdr:col>
      <xdr:colOff>1</xdr:colOff>
      <xdr:row>12</xdr:row>
      <xdr:rowOff>17145</xdr:rowOff>
    </xdr:to>
    <xdr:sp macro="" textlink="">
      <xdr:nvSpPr>
        <xdr:cNvPr id="3" name="Rectangle 2">
          <a:extLst>
            <a:ext uri="{FF2B5EF4-FFF2-40B4-BE49-F238E27FC236}">
              <a16:creationId xmlns:a16="http://schemas.microsoft.com/office/drawing/2014/main" id="{00000000-0008-0000-0600-000003000000}"/>
            </a:ext>
          </a:extLst>
        </xdr:cNvPr>
        <xdr:cNvSpPr/>
      </xdr:nvSpPr>
      <xdr:spPr>
        <a:xfrm>
          <a:off x="91441" y="733425"/>
          <a:ext cx="6560820" cy="838200"/>
        </a:xfrm>
        <a:prstGeom prst="rect">
          <a:avLst/>
        </a:prstGeom>
        <a:solidFill>
          <a:schemeClr val="bg2"/>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lang="en-AU" sz="800">
              <a:solidFill>
                <a:sysClr val="windowText" lastClr="000000"/>
              </a:solidFill>
            </a:rPr>
            <a:t>This</a:t>
          </a:r>
          <a:r>
            <a:rPr lang="en-AU" sz="800" baseline="0">
              <a:solidFill>
                <a:sysClr val="windowText" lastClr="000000"/>
              </a:solidFill>
            </a:rPr>
            <a:t> </a:t>
          </a:r>
          <a:r>
            <a:rPr lang="en-AU" sz="800" b="1" baseline="0">
              <a:solidFill>
                <a:sysClr val="windowText" lastClr="000000"/>
              </a:solidFill>
            </a:rPr>
            <a:t>Calcs </a:t>
          </a:r>
          <a:r>
            <a:rPr lang="en-AU" sz="800" baseline="0">
              <a:solidFill>
                <a:sysClr val="windowText" lastClr="000000"/>
              </a:solidFill>
            </a:rPr>
            <a:t>sheet calculates </a:t>
          </a:r>
          <a:r>
            <a:rPr lang="en-AU" sz="800" b="1" baseline="0">
              <a:solidFill>
                <a:sysClr val="windowText" lastClr="000000"/>
              </a:solidFill>
            </a:rPr>
            <a:t>investment NPV </a:t>
          </a:r>
          <a:r>
            <a:rPr lang="en-AU" sz="800" baseline="0">
              <a:solidFill>
                <a:sysClr val="windowText" lastClr="000000"/>
              </a:solidFill>
            </a:rPr>
            <a:t>from the perspectives of a shareholder, customer, as well as the market as a whole (shareholder + customer). </a:t>
          </a:r>
        </a:p>
        <a:p>
          <a:pPr marL="0" marR="0" lvl="0" indent="0" algn="l" defTabSz="914400" eaLnBrk="1" fontAlgn="auto" latinLnBrk="0" hangingPunct="1">
            <a:lnSpc>
              <a:spcPct val="100000"/>
            </a:lnSpc>
            <a:spcBef>
              <a:spcPts val="0"/>
            </a:spcBef>
            <a:spcAft>
              <a:spcPts val="0"/>
            </a:spcAft>
            <a:buClrTx/>
            <a:buSzTx/>
            <a:buFontTx/>
            <a:buNone/>
            <a:tabLst/>
            <a:defRPr/>
          </a:pPr>
          <a:r>
            <a:rPr lang="en-AU" sz="800" baseline="0">
              <a:solidFill>
                <a:sysClr val="windowText" lastClr="000000"/>
              </a:solidFill>
            </a:rPr>
            <a:t>Note that the IRR calculation below will return a #NUM! error when there is no input data, this is not a model calculation error.</a:t>
          </a:r>
          <a:endParaRPr lang="en-AU" sz="800">
            <a:solidFill>
              <a:sysClr val="windowText" lastClr="000000"/>
            </a:solidFill>
          </a:endParaRPr>
        </a:p>
      </xdr:txBody>
    </xdr:sp>
    <xdr:clientData/>
  </xdr:twoCellAnchor>
  <xdr:twoCellAnchor>
    <xdr:from>
      <xdr:col>1</xdr:col>
      <xdr:colOff>0</xdr:colOff>
      <xdr:row>529</xdr:row>
      <xdr:rowOff>106680</xdr:rowOff>
    </xdr:from>
    <xdr:to>
      <xdr:col>12</xdr:col>
      <xdr:colOff>0</xdr:colOff>
      <xdr:row>533</xdr:row>
      <xdr:rowOff>0</xdr:rowOff>
    </xdr:to>
    <xdr:sp macro="" textlink="">
      <xdr:nvSpPr>
        <xdr:cNvPr id="4" name="Rectangle 3">
          <a:extLst>
            <a:ext uri="{FF2B5EF4-FFF2-40B4-BE49-F238E27FC236}">
              <a16:creationId xmlns:a16="http://schemas.microsoft.com/office/drawing/2014/main" id="{00000000-0008-0000-0600-000004000000}"/>
            </a:ext>
          </a:extLst>
        </xdr:cNvPr>
        <xdr:cNvSpPr/>
      </xdr:nvSpPr>
      <xdr:spPr>
        <a:xfrm>
          <a:off x="91440" y="42892980"/>
          <a:ext cx="6560820" cy="411480"/>
        </a:xfrm>
        <a:prstGeom prst="rect">
          <a:avLst/>
        </a:prstGeom>
        <a:solidFill>
          <a:schemeClr val="bg2"/>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lang="en-AU" sz="800">
              <a:solidFill>
                <a:sysClr val="windowText" lastClr="000000"/>
              </a:solidFill>
            </a:rPr>
            <a:t>The annual defferal benefit calculations shown below are for</a:t>
          </a:r>
          <a:r>
            <a:rPr lang="en-AU" sz="800" baseline="0">
              <a:solidFill>
                <a:sysClr val="windowText" lastClr="000000"/>
              </a:solidFill>
            </a:rPr>
            <a:t> assessing investment timing. That is, whether the benefit of deffering the investment is greater than the costs of not making the investment. This relationship is shown in the cost vs defferal relationship graph on the </a:t>
          </a:r>
          <a:r>
            <a:rPr lang="en-AU" sz="800" b="1" baseline="0">
              <a:solidFill>
                <a:sysClr val="windowText" lastClr="000000"/>
              </a:solidFill>
            </a:rPr>
            <a:t>Output </a:t>
          </a:r>
          <a:r>
            <a:rPr lang="en-AU" sz="800" baseline="0">
              <a:solidFill>
                <a:sysClr val="windowText" lastClr="000000"/>
              </a:solidFill>
            </a:rPr>
            <a:t>sheet.</a:t>
          </a:r>
          <a:endParaRPr lang="en-AU" sz="800" baseline="0">
            <a:solidFill>
              <a:sysClr val="windowText" lastClr="000000"/>
            </a:solidFill>
            <a:latin typeface="+mn-lt"/>
            <a:ea typeface="+mn-ea"/>
            <a:cs typeface="+mn-cs"/>
          </a:endParaRPr>
        </a:p>
        <a:p>
          <a:pPr algn="l"/>
          <a:r>
            <a:rPr lang="en-AU" sz="800" baseline="0">
              <a:solidFill>
                <a:sysClr val="windowText" lastClr="000000"/>
              </a:solidFill>
            </a:rPr>
            <a:t> </a:t>
          </a:r>
          <a:endParaRPr lang="en-AU" sz="800">
            <a:solidFill>
              <a:sysClr val="windowText" lastClr="000000"/>
            </a:solidFill>
          </a:endParaRP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1</xdr:col>
      <xdr:colOff>0</xdr:colOff>
      <xdr:row>10</xdr:row>
      <xdr:rowOff>83820</xdr:rowOff>
    </xdr:from>
    <xdr:to>
      <xdr:col>21</xdr:col>
      <xdr:colOff>297180</xdr:colOff>
      <xdr:row>15</xdr:row>
      <xdr:rowOff>76200</xdr:rowOff>
    </xdr:to>
    <xdr:sp macro="" textlink="">
      <xdr:nvSpPr>
        <xdr:cNvPr id="2" name="Rectangle 1">
          <a:extLst>
            <a:ext uri="{FF2B5EF4-FFF2-40B4-BE49-F238E27FC236}">
              <a16:creationId xmlns:a16="http://schemas.microsoft.com/office/drawing/2014/main" id="{00000000-0008-0000-0300-000002000000}"/>
            </a:ext>
          </a:extLst>
        </xdr:cNvPr>
        <xdr:cNvSpPr/>
      </xdr:nvSpPr>
      <xdr:spPr>
        <a:xfrm>
          <a:off x="91440" y="1379220"/>
          <a:ext cx="11300460" cy="640080"/>
        </a:xfrm>
        <a:prstGeom prst="rect">
          <a:avLst/>
        </a:prstGeom>
        <a:solidFill>
          <a:schemeClr val="bg2"/>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en-AU" sz="800">
              <a:solidFill>
                <a:sysClr val="windowText" lastClr="000000"/>
              </a:solidFill>
            </a:rPr>
            <a:t>Listed</a:t>
          </a:r>
          <a:r>
            <a:rPr lang="en-AU" sz="800" baseline="0">
              <a:solidFill>
                <a:sysClr val="windowText" lastClr="000000"/>
              </a:solidFill>
            </a:rPr>
            <a:t> below are various inputs that are </a:t>
          </a:r>
          <a:r>
            <a:rPr lang="en-AU" sz="800" b="1" baseline="0">
              <a:solidFill>
                <a:sysClr val="windowText" lastClr="000000"/>
              </a:solidFill>
            </a:rPr>
            <a:t>common across investments. </a:t>
          </a:r>
          <a:r>
            <a:rPr lang="en-AU" sz="800" b="0" baseline="0">
              <a:solidFill>
                <a:sysClr val="windowText" lastClr="000000"/>
              </a:solidFill>
            </a:rPr>
            <a:t>The model owner should update these as required, and at least annually on 1st July. </a:t>
          </a:r>
        </a:p>
        <a:p>
          <a:pPr algn="l"/>
          <a:r>
            <a:rPr lang="en-AU" sz="800" b="0" baseline="0">
              <a:solidFill>
                <a:sysClr val="windowText" lastClr="000000"/>
              </a:solidFill>
            </a:rPr>
            <a:t>"</a:t>
          </a:r>
          <a:r>
            <a:rPr lang="en-AU" sz="800" b="1" baseline="0">
              <a:solidFill>
                <a:sysClr val="windowText" lastClr="000000"/>
              </a:solidFill>
            </a:rPr>
            <a:t>Low</a:t>
          </a:r>
          <a:r>
            <a:rPr lang="en-AU" sz="800" b="0" baseline="0">
              <a:solidFill>
                <a:sysClr val="windowText" lastClr="000000"/>
              </a:solidFill>
            </a:rPr>
            <a:t>", "</a:t>
          </a:r>
          <a:r>
            <a:rPr lang="en-AU" sz="800" b="1" baseline="0">
              <a:solidFill>
                <a:sysClr val="windowText" lastClr="000000"/>
              </a:solidFill>
            </a:rPr>
            <a:t>High</a:t>
          </a:r>
          <a:r>
            <a:rPr lang="en-AU" sz="800" b="0" baseline="0">
              <a:solidFill>
                <a:sysClr val="windowText" lastClr="000000"/>
              </a:solidFill>
            </a:rPr>
            <a:t>", and "</a:t>
          </a:r>
          <a:r>
            <a:rPr lang="en-AU" sz="800" b="1" baseline="0">
              <a:solidFill>
                <a:sysClr val="windowText" lastClr="000000"/>
              </a:solidFill>
            </a:rPr>
            <a:t>Average</a:t>
          </a:r>
          <a:r>
            <a:rPr lang="en-AU" sz="800" b="0" baseline="0">
              <a:solidFill>
                <a:sysClr val="windowText" lastClr="000000"/>
              </a:solidFill>
            </a:rPr>
            <a:t>" estimates for the </a:t>
          </a:r>
          <a:r>
            <a:rPr lang="en-AU" sz="800" b="1" baseline="0">
              <a:solidFill>
                <a:sysClr val="windowText" lastClr="000000"/>
              </a:solidFill>
            </a:rPr>
            <a:t>WACC </a:t>
          </a:r>
          <a:r>
            <a:rPr lang="en-AU" sz="800" b="0" baseline="0">
              <a:solidFill>
                <a:sysClr val="windowText" lastClr="000000"/>
              </a:solidFill>
            </a:rPr>
            <a:t>are to be specified for investments to allow sensitivity to be explored in the </a:t>
          </a:r>
          <a:r>
            <a:rPr lang="en-AU" sz="800" b="1" baseline="0">
              <a:solidFill>
                <a:sysClr val="windowText" lastClr="000000"/>
              </a:solidFill>
            </a:rPr>
            <a:t>Output </a:t>
          </a:r>
          <a:r>
            <a:rPr lang="en-AU" sz="800" b="0" baseline="0">
              <a:solidFill>
                <a:sysClr val="windowText" lastClr="000000"/>
              </a:solidFill>
            </a:rPr>
            <a:t>sheet (through case selection in the form of a drop down list of options). </a:t>
          </a:r>
        </a:p>
        <a:p>
          <a:pPr algn="l"/>
          <a:r>
            <a:rPr lang="en-AU" sz="800" b="1" baseline="0">
              <a:solidFill>
                <a:sysClr val="windowText" lastClr="000000"/>
              </a:solidFill>
              <a:latin typeface="+mn-lt"/>
              <a:ea typeface="+mn-ea"/>
              <a:cs typeface="+mn-cs"/>
            </a:rPr>
            <a:t>WACC rates are to be taken from the corporate model. Low WACC represents the regulated business (PTRM - contact reg team for details). High WACC represents the unregulated business (PLUS ES discount rate)</a:t>
          </a:r>
          <a:endParaRPr lang="en-AU" sz="800" b="1" baseline="0">
            <a:solidFill>
              <a:srgbClr val="FF0000"/>
            </a:solidFill>
            <a:latin typeface="+mn-lt"/>
            <a:ea typeface="+mn-ea"/>
            <a:cs typeface="+mn-cs"/>
          </a:endParaRPr>
        </a:p>
        <a:p>
          <a:pPr algn="l"/>
          <a:r>
            <a:rPr lang="en-AU" sz="800" b="0" baseline="0">
              <a:solidFill>
                <a:sysClr val="windowText" lastClr="000000"/>
              </a:solidFill>
            </a:rPr>
            <a:t>The </a:t>
          </a:r>
          <a:r>
            <a:rPr lang="en-AU" sz="800" b="1" baseline="0">
              <a:solidFill>
                <a:sysClr val="windowText" lastClr="000000"/>
              </a:solidFill>
            </a:rPr>
            <a:t>RAB multiple </a:t>
          </a:r>
          <a:r>
            <a:rPr lang="en-AU" sz="800" b="0" baseline="0">
              <a:solidFill>
                <a:sysClr val="windowText" lastClr="000000"/>
              </a:solidFill>
            </a:rPr>
            <a:t>is an estimate of the contribution of an asset's terminal value to the Regulatory Asset Base outside of the modelled time horizon.</a:t>
          </a:r>
        </a:p>
      </xdr:txBody>
    </xdr:sp>
    <xdr:clientData/>
  </xdr:twoCellAnchor>
  <xdr:twoCellAnchor>
    <xdr:from>
      <xdr:col>1</xdr:col>
      <xdr:colOff>0</xdr:colOff>
      <xdr:row>6</xdr:row>
      <xdr:rowOff>0</xdr:rowOff>
    </xdr:from>
    <xdr:to>
      <xdr:col>21</xdr:col>
      <xdr:colOff>297180</xdr:colOff>
      <xdr:row>8</xdr:row>
      <xdr:rowOff>83820</xdr:rowOff>
    </xdr:to>
    <xdr:sp macro="" textlink="">
      <xdr:nvSpPr>
        <xdr:cNvPr id="3" name="Rectangle 2">
          <a:extLst>
            <a:ext uri="{FF2B5EF4-FFF2-40B4-BE49-F238E27FC236}">
              <a16:creationId xmlns:a16="http://schemas.microsoft.com/office/drawing/2014/main" id="{00000000-0008-0000-0300-000003000000}"/>
            </a:ext>
          </a:extLst>
        </xdr:cNvPr>
        <xdr:cNvSpPr/>
      </xdr:nvSpPr>
      <xdr:spPr>
        <a:xfrm>
          <a:off x="121920" y="777240"/>
          <a:ext cx="10835640" cy="342900"/>
        </a:xfrm>
        <a:prstGeom prst="rect">
          <a:avLst/>
        </a:prstGeom>
        <a:solidFill>
          <a:schemeClr val="bg2"/>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en-AU" sz="800">
              <a:solidFill>
                <a:sysClr val="windowText" lastClr="000000"/>
              </a:solidFill>
            </a:rPr>
            <a:t>This</a:t>
          </a:r>
          <a:r>
            <a:rPr lang="en-AU" sz="800" baseline="0">
              <a:solidFill>
                <a:sysClr val="windowText" lastClr="000000"/>
              </a:solidFill>
            </a:rPr>
            <a:t> </a:t>
          </a:r>
          <a:r>
            <a:rPr lang="en-AU" sz="800" b="1" baseline="0">
              <a:solidFill>
                <a:sysClr val="windowText" lastClr="000000"/>
              </a:solidFill>
            </a:rPr>
            <a:t>Assumptions </a:t>
          </a:r>
          <a:r>
            <a:rPr lang="en-AU" sz="800" baseline="0">
              <a:solidFill>
                <a:sysClr val="windowText" lastClr="000000"/>
              </a:solidFill>
            </a:rPr>
            <a:t>sheet is to be edited by the </a:t>
          </a:r>
          <a:r>
            <a:rPr lang="en-AU" sz="800" b="1" baseline="0">
              <a:solidFill>
                <a:sysClr val="windowText" lastClr="000000"/>
              </a:solidFill>
            </a:rPr>
            <a:t>model owner only</a:t>
          </a:r>
          <a:r>
            <a:rPr lang="en-AU" sz="800" b="0" baseline="0">
              <a:solidFill>
                <a:sysClr val="windowText" lastClr="000000"/>
              </a:solidFill>
            </a:rPr>
            <a:t>, and should be updated as regularly as required. The assumptions outlined below are </a:t>
          </a:r>
          <a:r>
            <a:rPr lang="en-AU" sz="800" b="1" baseline="0">
              <a:solidFill>
                <a:sysClr val="windowText" lastClr="000000"/>
              </a:solidFill>
            </a:rPr>
            <a:t>applicable to all investments</a:t>
          </a:r>
          <a:r>
            <a:rPr lang="en-AU" sz="800" b="0" baseline="0">
              <a:solidFill>
                <a:sysClr val="windowText" lastClr="000000"/>
              </a:solidFill>
            </a:rPr>
            <a:t>, and as such b</a:t>
          </a:r>
          <a:r>
            <a:rPr lang="en-AU" sz="800" baseline="0">
              <a:solidFill>
                <a:sysClr val="windowText" lastClr="000000"/>
              </a:solidFill>
            </a:rPr>
            <a:t>usiness case owners are only required to provide data listed in the </a:t>
          </a:r>
          <a:r>
            <a:rPr lang="en-AU" sz="800" b="1" baseline="0">
              <a:solidFill>
                <a:sysClr val="windowText" lastClr="000000"/>
              </a:solidFill>
            </a:rPr>
            <a:t>Input </a:t>
          </a:r>
          <a:r>
            <a:rPr lang="en-AU" sz="800" b="0" baseline="0">
              <a:solidFill>
                <a:sysClr val="windowText" lastClr="000000"/>
              </a:solidFill>
            </a:rPr>
            <a:t>sheet </a:t>
          </a:r>
          <a:r>
            <a:rPr lang="en-AU" sz="800" baseline="0">
              <a:solidFill>
                <a:sysClr val="windowText" lastClr="000000"/>
              </a:solidFill>
            </a:rPr>
            <a:t>that follows</a:t>
          </a:r>
          <a:r>
            <a:rPr lang="en-AU" sz="800" baseline="0">
              <a:solidFill>
                <a:sysClr val="windowText" lastClr="000000"/>
              </a:solidFill>
              <a:latin typeface="+mn-lt"/>
              <a:ea typeface="+mn-ea"/>
              <a:cs typeface="+mn-cs"/>
            </a:rPr>
            <a:t>. See model legend above (row 4) for guidance on types of inputs.</a:t>
          </a:r>
        </a:p>
      </xdr:txBody>
    </xdr:sp>
    <xdr:clientData/>
  </xdr:twoCellAnchor>
  <xdr:twoCellAnchor>
    <xdr:from>
      <xdr:col>1</xdr:col>
      <xdr:colOff>1</xdr:colOff>
      <xdr:row>42</xdr:row>
      <xdr:rowOff>0</xdr:rowOff>
    </xdr:from>
    <xdr:to>
      <xdr:col>17</xdr:col>
      <xdr:colOff>1</xdr:colOff>
      <xdr:row>44</xdr:row>
      <xdr:rowOff>83820</xdr:rowOff>
    </xdr:to>
    <xdr:sp macro="" textlink="">
      <xdr:nvSpPr>
        <xdr:cNvPr id="4" name="Rectangle 3">
          <a:extLst>
            <a:ext uri="{FF2B5EF4-FFF2-40B4-BE49-F238E27FC236}">
              <a16:creationId xmlns:a16="http://schemas.microsoft.com/office/drawing/2014/main" id="{00000000-0008-0000-0300-000004000000}"/>
            </a:ext>
          </a:extLst>
        </xdr:cNvPr>
        <xdr:cNvSpPr/>
      </xdr:nvSpPr>
      <xdr:spPr>
        <a:xfrm>
          <a:off x="91441" y="5570220"/>
          <a:ext cx="8717280" cy="342900"/>
        </a:xfrm>
        <a:prstGeom prst="rect">
          <a:avLst/>
        </a:prstGeom>
        <a:solidFill>
          <a:schemeClr val="bg2"/>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en-AU" sz="800">
              <a:solidFill>
                <a:sysClr val="windowText" lastClr="000000"/>
              </a:solidFill>
            </a:rPr>
            <a:t>Listed</a:t>
          </a:r>
          <a:r>
            <a:rPr lang="en-AU" sz="800" baseline="0">
              <a:solidFill>
                <a:sysClr val="windowText" lastClr="000000"/>
              </a:solidFill>
            </a:rPr>
            <a:t> below are assumptions relating to useful asset lives for depreciation calculations. The model owner should update these as required, and should consider their alignment to regulatory requirements and standards. Note that asset/project types are grouped into named ranges which may require range adjustments should additional asset/project types be added in the future.</a:t>
          </a:r>
        </a:p>
        <a:p>
          <a:pPr algn="l"/>
          <a:endParaRPr lang="en-AU" sz="800" b="1" baseline="0">
            <a:solidFill>
              <a:sysClr val="windowText" lastClr="000000"/>
            </a:solidFill>
          </a:endParaRPr>
        </a:p>
      </xdr:txBody>
    </xdr:sp>
    <xdr:clientData/>
  </xdr:twoCellAnchor>
  <xdr:twoCellAnchor>
    <xdr:from>
      <xdr:col>1</xdr:col>
      <xdr:colOff>31750</xdr:colOff>
      <xdr:row>145</xdr:row>
      <xdr:rowOff>49530</xdr:rowOff>
    </xdr:from>
    <xdr:to>
      <xdr:col>17</xdr:col>
      <xdr:colOff>31750</xdr:colOff>
      <xdr:row>158</xdr:row>
      <xdr:rowOff>87630</xdr:rowOff>
    </xdr:to>
    <xdr:sp macro="" textlink="">
      <xdr:nvSpPr>
        <xdr:cNvPr id="5" name="Rectangle 4">
          <a:extLst>
            <a:ext uri="{FF2B5EF4-FFF2-40B4-BE49-F238E27FC236}">
              <a16:creationId xmlns:a16="http://schemas.microsoft.com/office/drawing/2014/main" id="{00000000-0008-0000-0300-000005000000}"/>
            </a:ext>
          </a:extLst>
        </xdr:cNvPr>
        <xdr:cNvSpPr/>
      </xdr:nvSpPr>
      <xdr:spPr>
        <a:xfrm>
          <a:off x="120650" y="1706880"/>
          <a:ext cx="8331200" cy="1771650"/>
        </a:xfrm>
        <a:prstGeom prst="rect">
          <a:avLst/>
        </a:prstGeom>
        <a:solidFill>
          <a:schemeClr val="bg2"/>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en-AU" sz="800">
              <a:solidFill>
                <a:sysClr val="windowText" lastClr="000000"/>
              </a:solidFill>
            </a:rPr>
            <a:t>NPV components</a:t>
          </a:r>
          <a:r>
            <a:rPr lang="en-AU" sz="800" baseline="0">
              <a:solidFill>
                <a:sysClr val="windowText" lastClr="000000"/>
              </a:solidFill>
            </a:rPr>
            <a:t> can be split between Shareholder and Customer using the assumptions below. See notes below for further guidance by key input types.</a:t>
          </a:r>
        </a:p>
        <a:p>
          <a:pPr algn="l"/>
          <a:endParaRPr lang="en-AU" sz="800" baseline="0">
            <a:solidFill>
              <a:sysClr val="windowText" lastClr="000000"/>
            </a:solidFill>
          </a:endParaRPr>
        </a:p>
        <a:p>
          <a:pPr algn="l"/>
          <a:r>
            <a:rPr lang="en-AU" sz="800" b="1" baseline="0">
              <a:solidFill>
                <a:sysClr val="windowText" lastClr="000000"/>
              </a:solidFill>
            </a:rPr>
            <a:t>Capex costs: </a:t>
          </a:r>
          <a:r>
            <a:rPr lang="en-AU" sz="800" b="0" baseline="0">
              <a:solidFill>
                <a:sysClr val="windowText" lastClr="000000"/>
              </a:solidFill>
            </a:rPr>
            <a:t>Capex costs are entered from the perspective of Ausgrid (cash outflows) and should therefore always be a positive split %.</a:t>
          </a:r>
        </a:p>
        <a:p>
          <a:pPr algn="l"/>
          <a:r>
            <a:rPr lang="en-AU" sz="800" b="1" baseline="0">
              <a:solidFill>
                <a:sysClr val="windowText" lastClr="000000"/>
              </a:solidFill>
            </a:rPr>
            <a:t>Regulatory revenue:</a:t>
          </a:r>
          <a:r>
            <a:rPr lang="en-AU" sz="800" b="0" baseline="0">
              <a:solidFill>
                <a:sysClr val="windowText" lastClr="000000"/>
              </a:solidFill>
            </a:rPr>
            <a:t> Regulated revenues are entered from the perspective of Ausgrid (cash inflows). Use positive and negative split in line with this assumption (i.e. Shareholder receives a positive share of revenue).</a:t>
          </a:r>
        </a:p>
        <a:p>
          <a:pPr algn="l"/>
          <a:r>
            <a:rPr lang="en-AU" sz="800" b="1" baseline="0">
              <a:solidFill>
                <a:sysClr val="windowText" lastClr="000000"/>
              </a:solidFill>
            </a:rPr>
            <a:t>Unregulated revenue: </a:t>
          </a:r>
          <a:r>
            <a:rPr lang="en-AU" sz="800" b="0" baseline="0">
              <a:solidFill>
                <a:sysClr val="windowText" lastClr="000000"/>
              </a:solidFill>
            </a:rPr>
            <a:t>Unregulated revenues are entered from the perspective of Ausgrid (cash inflows). Use positive and negative split in line with this assumption (Shareholder and Customer split should both be positive, as unregulated revenues are simply split between by SAG %).</a:t>
          </a:r>
        </a:p>
        <a:p>
          <a:pPr algn="l"/>
          <a:r>
            <a:rPr lang="en-AU" sz="800" b="1" baseline="0">
              <a:solidFill>
                <a:sysClr val="windowText" lastClr="000000"/>
              </a:solidFill>
            </a:rPr>
            <a:t>Incentive schemes: </a:t>
          </a:r>
          <a:r>
            <a:rPr lang="en-AU" sz="800" b="0" baseline="0">
              <a:solidFill>
                <a:sysClr val="windowText" lastClr="000000"/>
              </a:solidFill>
            </a:rPr>
            <a:t>Ongoing new opex is entered from the perspective of Ausgrid (savings to Ausgrid are cash inflows). EBSS is calculated at a net level and should therefore be allocated a positive split. The benefit switch year assumption (column O) is calculated based on the EBSS_CESS input sheet, and controls the timing of the change in benefit from Shareholder to Customer. Other incentive schemes are calculated based on an Ausgrid cash flow perspective, and as such Shareholder benefits are a positive portion of this.</a:t>
          </a:r>
        </a:p>
        <a:p>
          <a:pPr algn="l"/>
          <a:r>
            <a:rPr lang="en-AU" sz="800" b="1" baseline="0">
              <a:solidFill>
                <a:sysClr val="windowText" lastClr="000000"/>
              </a:solidFill>
            </a:rPr>
            <a:t>Probabilistic cost &amp; benefits</a:t>
          </a:r>
          <a:r>
            <a:rPr lang="en-AU" sz="800" b="0" baseline="0">
              <a:solidFill>
                <a:sysClr val="windowText" lastClr="000000"/>
              </a:solidFill>
              <a:latin typeface="+mn-lt"/>
              <a:ea typeface="+mn-ea"/>
              <a:cs typeface="+mn-cs"/>
            </a:rPr>
            <a:t>: Probabilistic cost &amp; benefits are input as the expected change due to the proposed investment. As such, a positive or negative percentage split can be used to allocate the risk benefits/dis-benefits between Shareholder and Customer, with 0 implying no impact. Note that the benefit switch is used as outlined above to change Shareholder benefits to Customer benefits.</a:t>
          </a:r>
        </a:p>
      </xdr:txBody>
    </xdr:sp>
    <xdr:clientData/>
  </xdr:twoCellAnchor>
</xdr:wsDr>
</file>

<file path=xl/persons/person.xml><?xml version="1.0" encoding="utf-8"?>
<personList xmlns="http://schemas.microsoft.com/office/spreadsheetml/2018/threadedcomments" xmlns:x="http://schemas.openxmlformats.org/spreadsheetml/2006/main">
  <person displayName="Richard McIntosh" id="{04889756-2CEB-4C12-B857-B797CA054B2D}" userId="S::richard.mcintosh@ausgrid.com.au::3723c165-abdd-4279-b217-718f47260a54" providerId="AD"/>
</personList>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F197" dT="2021-11-01T04:52:48.66" personId="{04889756-2CEB-4C12-B857-B797CA054B2D}" id="{CCE7EFDF-211D-4153-B6AF-544091ABF7CD}">
    <text>Functionality superceded by the application of the EBSS split. Do not alter</text>
  </threadedComment>
</ThreadedComments>
</file>

<file path=xl/threadedComments/threadedComment2.xml><?xml version="1.0" encoding="utf-8"?>
<ThreadedComments xmlns="http://schemas.microsoft.com/office/spreadsheetml/2018/threadedcomments" xmlns:x="http://schemas.openxmlformats.org/spreadsheetml/2006/main">
  <threadedComment ref="I13" dT="2021-11-01T03:42:28.85" personId="{04889756-2CEB-4C12-B857-B797CA054B2D}" id="{EF438B68-C0F3-49C1-91B5-CA4CD68C99A6}">
    <text>Leave as "FALSE" CESS functionality not required for investment capex.</text>
  </threadedComment>
</ThreadedComments>
</file>

<file path=xl/threadedComments/threadedComment3.xml><?xml version="1.0" encoding="utf-8"?>
<ThreadedComments xmlns="http://schemas.microsoft.com/office/spreadsheetml/2018/threadedcomments" xmlns:x="http://schemas.openxmlformats.org/spreadsheetml/2006/main">
  <threadedComment ref="D103" dT="2021-10-08T06:59:29.03" personId="{04889756-2CEB-4C12-B857-B797CA054B2D}" id="{BACD3CDC-33E1-4494-9934-7547DB06D2A7}">
    <text>Functionality removed. Capex benefits based on dollars saved and impact of CESS mechanism</text>
  </threadedComment>
  <threadedComment ref="D114" dT="2021-10-08T06:57:02.38" personId="{04889756-2CEB-4C12-B857-B797CA054B2D}" id="{1C380829-FD7B-4178-8D93-6AC3918067CB}">
    <text>Functionality removed. Capex benefits based on dollars saved and impact of CESS mechanism</text>
  </threadedComment>
  <threadedComment ref="D132" dT="2021-10-08T06:58:03.60" personId="{04889756-2CEB-4C12-B857-B797CA054B2D}" id="{83F0A14D-B2BE-4252-A832-8784825752B2}">
    <text>Functionality removed. Capex benefits based on dollars saved and impact of CESS mechanism</text>
  </threadedComment>
  <threadedComment ref="D232" dT="2021-10-08T07:01:48.35" personId="{04889756-2CEB-4C12-B857-B797CA054B2D}" id="{4B9AB03F-79CA-4DD2-85F7-BA80EB366609}">
    <text>Customer benefit only</text>
  </threadedComment>
</ThreadedComments>
</file>

<file path=xl/threadedComments/threadedComment4.xml><?xml version="1.0" encoding="utf-8"?>
<ThreadedComments xmlns="http://schemas.microsoft.com/office/spreadsheetml/2018/threadedcomments" xmlns:x="http://schemas.openxmlformats.org/spreadsheetml/2006/main">
  <threadedComment ref="H169" dT="2021-11-01T04:09:52.36" personId="{04889756-2CEB-4C12-B857-B797CA054B2D}" id="{CA175366-3204-4CCD-9A74-264507D49818}">
    <text>https://houstonkemp.com/wp-content/uploads/2020/10/Incentives-for-DNSP-service-quality-17-June-2020.pdf</text>
  </threadedComment>
  <threadedComment ref="H188" dT="2021-11-01T03:56:07.68" personId="{04889756-2CEB-4C12-B857-B797CA054B2D}" id="{4BEB8EA9-66AB-4C8A-977A-FE4FD78E438B}">
    <text>Based on the split realised for a 6 year shareholder benefit and perpetuity customer benefit at a WACC of 3%</text>
  </threadedComment>
</ThreadedComments>
</file>

<file path=xl/worksheets/_rels/sheet1.xml.rels><?xml version="1.0" encoding="UTF-8" standalone="yes"?>
<Relationships xmlns="http://schemas.openxmlformats.org/package/2006/relationships"><Relationship Id="rId2" Type="http://schemas.openxmlformats.org/officeDocument/2006/relationships/customProperty" Target="../customProperty1.bin"/><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customProperty" Target="../customProperty10.bin"/><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drawing" Target="../drawings/drawing7.xml"/><Relationship Id="rId2" Type="http://schemas.openxmlformats.org/officeDocument/2006/relationships/customProperty" Target="../customProperty11.bin"/><Relationship Id="rId1" Type="http://schemas.openxmlformats.org/officeDocument/2006/relationships/printerSettings" Target="../printerSettings/printerSettings11.bin"/><Relationship Id="rId6" Type="http://schemas.microsoft.com/office/2017/10/relationships/threadedComment" Target="../threadedComments/threadedComment3.xml"/><Relationship Id="rId5" Type="http://schemas.openxmlformats.org/officeDocument/2006/relationships/comments" Target="../comments4.xml"/><Relationship Id="rId4" Type="http://schemas.openxmlformats.org/officeDocument/2006/relationships/vmlDrawing" Target="../drawings/vmlDrawing4.vml"/></Relationships>
</file>

<file path=xl/worksheets/_rels/sheet12.xml.rels><?xml version="1.0" encoding="UTF-8" standalone="yes"?>
<Relationships xmlns="http://schemas.openxmlformats.org/package/2006/relationships"><Relationship Id="rId3" Type="http://schemas.openxmlformats.org/officeDocument/2006/relationships/drawing" Target="../drawings/drawing8.xml"/><Relationship Id="rId2" Type="http://schemas.openxmlformats.org/officeDocument/2006/relationships/customProperty" Target="../customProperty12.bin"/><Relationship Id="rId1" Type="http://schemas.openxmlformats.org/officeDocument/2006/relationships/printerSettings" Target="../printerSettings/printerSettings12.bin"/><Relationship Id="rId6" Type="http://schemas.microsoft.com/office/2017/10/relationships/threadedComment" Target="../threadedComments/threadedComment4.xml"/><Relationship Id="rId5" Type="http://schemas.openxmlformats.org/officeDocument/2006/relationships/comments" Target="../comments5.xml"/><Relationship Id="rId4" Type="http://schemas.openxmlformats.org/officeDocument/2006/relationships/vmlDrawing" Target="../drawings/vmlDrawing5.vml"/></Relationships>
</file>

<file path=xl/worksheets/_rels/sheet13.xml.rels><?xml version="1.0" encoding="UTF-8" standalone="yes"?>
<Relationships xmlns="http://schemas.openxmlformats.org/package/2006/relationships"><Relationship Id="rId2" Type="http://schemas.openxmlformats.org/officeDocument/2006/relationships/customProperty" Target="../customProperty13.bin"/><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customProperty" Target="../customProperty2.bin"/><Relationship Id="rId1" Type="http://schemas.openxmlformats.org/officeDocument/2006/relationships/printerSettings" Target="../printerSettings/printerSettings2.bin"/><Relationship Id="rId5" Type="http://schemas.openxmlformats.org/officeDocument/2006/relationships/comments" Target="../comments1.xml"/><Relationship Id="rId4" Type="http://schemas.openxmlformats.org/officeDocument/2006/relationships/vmlDrawing" Target="../drawings/vmlDrawing1.vm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customProperty" Target="../customProperty3.bin"/><Relationship Id="rId1" Type="http://schemas.openxmlformats.org/officeDocument/2006/relationships/printerSettings" Target="../printerSettings/printerSettings3.bin"/><Relationship Id="rId6" Type="http://schemas.microsoft.com/office/2017/10/relationships/threadedComment" Target="../threadedComments/threadedComment1.xml"/><Relationship Id="rId5" Type="http://schemas.openxmlformats.org/officeDocument/2006/relationships/comments" Target="../comments2.xml"/><Relationship Id="rId4" Type="http://schemas.openxmlformats.org/officeDocument/2006/relationships/vmlDrawing" Target="../drawings/vmlDrawing2.vml"/></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customProperty" Target="../customProperty4.bin"/><Relationship Id="rId1" Type="http://schemas.openxmlformats.org/officeDocument/2006/relationships/printerSettings" Target="../printerSettings/printerSettings4.bin"/><Relationship Id="rId6" Type="http://schemas.microsoft.com/office/2017/10/relationships/threadedComment" Target="../threadedComments/threadedComment2.xml"/><Relationship Id="rId5" Type="http://schemas.openxmlformats.org/officeDocument/2006/relationships/comments" Target="../comments3.xml"/><Relationship Id="rId4" Type="http://schemas.openxmlformats.org/officeDocument/2006/relationships/vmlDrawing" Target="../drawings/vmlDrawing3.vml"/></Relationships>
</file>

<file path=xl/worksheets/_rels/sheet5.xml.rels><?xml version="1.0" encoding="UTF-8" standalone="yes"?>
<Relationships xmlns="http://schemas.openxmlformats.org/package/2006/relationships"><Relationship Id="rId3" Type="http://schemas.openxmlformats.org/officeDocument/2006/relationships/drawing" Target="../drawings/drawing4.xml"/><Relationship Id="rId2" Type="http://schemas.openxmlformats.org/officeDocument/2006/relationships/customProperty" Target="../customProperty5.bin"/><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customProperty" Target="../customProperty6.bin"/><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customProperty" Target="../customProperty7.bin"/><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drawing" Target="../drawings/drawing5.xml"/><Relationship Id="rId2" Type="http://schemas.openxmlformats.org/officeDocument/2006/relationships/customProperty" Target="../customProperty8.bin"/><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drawing" Target="../drawings/drawing6.xml"/><Relationship Id="rId2" Type="http://schemas.openxmlformats.org/officeDocument/2006/relationships/customProperty" Target="../customProperty9.bin"/><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5D891F-FF2E-4756-A4F6-F1AB885551D6}">
  <sheetPr>
    <tabColor rgb="FFFF0000"/>
  </sheetPr>
  <dimension ref="B4:C16"/>
  <sheetViews>
    <sheetView workbookViewId="0">
      <selection activeCell="C7" sqref="C7"/>
    </sheetView>
  </sheetViews>
  <sheetFormatPr defaultColWidth="9.28515625" defaultRowHeight="15.6" x14ac:dyDescent="0.3"/>
  <cols>
    <col min="1" max="16384" width="9.28515625" style="369"/>
  </cols>
  <sheetData>
    <row r="4" spans="2:3" x14ac:dyDescent="0.3">
      <c r="C4" s="369" t="s">
        <v>0</v>
      </c>
    </row>
    <row r="6" spans="2:3" x14ac:dyDescent="0.3">
      <c r="B6" s="369">
        <v>1</v>
      </c>
      <c r="C6" s="369" t="s">
        <v>1</v>
      </c>
    </row>
    <row r="7" spans="2:3" x14ac:dyDescent="0.3">
      <c r="B7" s="369">
        <f>B6+1</f>
        <v>2</v>
      </c>
      <c r="C7" s="369" t="s">
        <v>2</v>
      </c>
    </row>
    <row r="8" spans="2:3" x14ac:dyDescent="0.3">
      <c r="B8" s="369">
        <f t="shared" ref="B8:B16" si="0">B7+1</f>
        <v>3</v>
      </c>
      <c r="C8" s="369" t="s">
        <v>3</v>
      </c>
    </row>
    <row r="9" spans="2:3" x14ac:dyDescent="0.3">
      <c r="B9" s="369">
        <f t="shared" si="0"/>
        <v>4</v>
      </c>
      <c r="C9" s="369" t="s">
        <v>4</v>
      </c>
    </row>
    <row r="10" spans="2:3" x14ac:dyDescent="0.3">
      <c r="B10" s="369">
        <f t="shared" si="0"/>
        <v>5</v>
      </c>
      <c r="C10" s="369" t="s">
        <v>5</v>
      </c>
    </row>
    <row r="11" spans="2:3" x14ac:dyDescent="0.3">
      <c r="B11" s="369">
        <f t="shared" si="0"/>
        <v>6</v>
      </c>
      <c r="C11" s="369" t="s">
        <v>6</v>
      </c>
    </row>
    <row r="12" spans="2:3" x14ac:dyDescent="0.3">
      <c r="B12" s="369">
        <f t="shared" si="0"/>
        <v>7</v>
      </c>
      <c r="C12" s="369" t="s">
        <v>7</v>
      </c>
    </row>
    <row r="13" spans="2:3" x14ac:dyDescent="0.3">
      <c r="B13" s="369">
        <f t="shared" si="0"/>
        <v>8</v>
      </c>
      <c r="C13" s="369" t="s">
        <v>8</v>
      </c>
    </row>
    <row r="14" spans="2:3" x14ac:dyDescent="0.3">
      <c r="B14" s="369">
        <f t="shared" si="0"/>
        <v>9</v>
      </c>
      <c r="C14" s="369" t="s">
        <v>9</v>
      </c>
    </row>
    <row r="15" spans="2:3" x14ac:dyDescent="0.3">
      <c r="B15" s="369">
        <f t="shared" si="0"/>
        <v>10</v>
      </c>
      <c r="C15" s="369" t="s">
        <v>10</v>
      </c>
    </row>
    <row r="16" spans="2:3" x14ac:dyDescent="0.3">
      <c r="B16" s="369">
        <f t="shared" si="0"/>
        <v>11</v>
      </c>
      <c r="C16" s="369" t="s">
        <v>11</v>
      </c>
    </row>
  </sheetData>
  <pageMargins left="0.7" right="0.7" top="0.75" bottom="0.75" header="0.3" footer="0.3"/>
  <pageSetup paperSize="9" orientation="portrait" r:id="rId1"/>
  <headerFooter>
    <oddFooter>&amp;L&amp;1#&amp;"Calibri"&amp;8&amp;K000000For Official use only</oddFooter>
  </headerFooter>
  <customProperties>
    <customPr name="EpmWorksheetKeyString_GUID" r:id="rId2"/>
  </customPropertie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E65E8B-936D-4E50-953E-A12ED163A9CF}">
  <sheetPr>
    <tabColor theme="0" tint="-0.249977111117893"/>
  </sheetPr>
  <dimension ref="A1"/>
  <sheetViews>
    <sheetView workbookViewId="0">
      <selection activeCell="O40" sqref="O40"/>
    </sheetView>
  </sheetViews>
  <sheetFormatPr defaultRowHeight="10.199999999999999" x14ac:dyDescent="0.2"/>
  <sheetData/>
  <pageMargins left="0.7" right="0.7" top="0.75" bottom="0.75" header="0.3" footer="0.3"/>
  <pageSetup paperSize="9" orientation="portrait" r:id="rId1"/>
  <headerFooter>
    <oddFooter>&amp;L&amp;1#&amp;"Calibri"&amp;8&amp;K000000For Official use only</oddFooter>
  </headerFooter>
  <customProperties>
    <customPr name="EpmWorksheetKeyString_GUID" r:id="rId2"/>
  </customProperties>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tabColor theme="0" tint="-0.249977111117893"/>
    <outlinePr summaryBelow="0"/>
  </sheetPr>
  <dimension ref="A1:BP537"/>
  <sheetViews>
    <sheetView showGridLines="0" zoomScaleNormal="100" workbookViewId="0">
      <pane xSplit="12" ySplit="5" topLeftCell="M441" activePane="bottomRight" state="frozen"/>
      <selection pane="topRight" activeCell="O40" sqref="O40"/>
      <selection pane="bottomLeft" activeCell="O40" sqref="O40"/>
      <selection pane="bottomRight" activeCell="R448" sqref="R448:BP448"/>
    </sheetView>
  </sheetViews>
  <sheetFormatPr defaultColWidth="13.140625" defaultRowHeight="10.199999999999999" outlineLevelRow="1" outlineLevelCol="1" x14ac:dyDescent="0.2"/>
  <cols>
    <col min="1" max="3" width="1.7109375" style="8" customWidth="1"/>
    <col min="4" max="9" width="13.140625" style="8"/>
    <col min="10" max="10" width="34.28515625" style="8" bestFit="1" customWidth="1"/>
    <col min="11" max="11" width="13.140625" style="8"/>
    <col min="12" max="12" width="13.140625" style="102"/>
    <col min="13" max="13" width="13.140625" style="103" customWidth="1" outlineLevel="1"/>
    <col min="14" max="17" width="13.140625" style="8" customWidth="1" outlineLevel="1"/>
    <col min="18" max="19" width="13.140625" style="8"/>
    <col min="20" max="20" width="13.140625" style="9"/>
    <col min="21" max="16384" width="13.140625" style="8"/>
  </cols>
  <sheetData>
    <row r="1" spans="1:68" s="2" customFormat="1" ht="10.35" customHeight="1" x14ac:dyDescent="0.2">
      <c r="A1" s="1" t="s">
        <v>12</v>
      </c>
      <c r="B1" s="392"/>
      <c r="C1" s="392"/>
      <c r="D1" s="392"/>
      <c r="E1" s="392"/>
      <c r="F1" s="392"/>
      <c r="G1" s="392"/>
      <c r="H1" s="392"/>
      <c r="I1" s="392"/>
      <c r="J1" s="392"/>
      <c r="K1" s="392"/>
      <c r="L1" s="410"/>
      <c r="M1" s="411"/>
      <c r="N1" s="392"/>
      <c r="O1" s="392"/>
      <c r="P1" s="392"/>
      <c r="Q1" s="392"/>
      <c r="R1" s="392"/>
      <c r="S1" s="392"/>
      <c r="T1" s="392"/>
      <c r="U1" s="3"/>
      <c r="V1" s="4"/>
      <c r="W1" s="392"/>
      <c r="X1" s="5"/>
      <c r="Y1" s="392"/>
      <c r="Z1" s="392"/>
      <c r="AA1" s="392"/>
      <c r="AB1" s="392"/>
      <c r="AC1" s="392"/>
      <c r="AD1" s="392"/>
      <c r="AE1" s="392"/>
      <c r="AF1" s="392"/>
      <c r="AG1" s="392"/>
      <c r="AH1" s="392"/>
      <c r="AI1" s="392"/>
      <c r="AJ1" s="392"/>
      <c r="AK1" s="392"/>
      <c r="AL1" s="392"/>
      <c r="AM1" s="392"/>
      <c r="AN1" s="392"/>
      <c r="AO1" s="392"/>
      <c r="AP1" s="392"/>
      <c r="AQ1" s="392"/>
      <c r="AR1" s="392"/>
      <c r="AS1" s="392"/>
      <c r="AT1" s="392"/>
      <c r="AU1" s="1"/>
      <c r="AV1" s="392"/>
      <c r="AW1" s="6"/>
      <c r="AX1" s="392"/>
      <c r="AY1" s="392"/>
      <c r="AZ1" s="392"/>
      <c r="BA1" s="392"/>
      <c r="BB1" s="392"/>
      <c r="BC1" s="392"/>
      <c r="BD1" s="1"/>
      <c r="BE1" s="392"/>
      <c r="BF1" s="6"/>
      <c r="BG1" s="392"/>
      <c r="BH1" s="392"/>
      <c r="BI1" s="392"/>
      <c r="BJ1" s="392"/>
      <c r="BK1" s="392"/>
      <c r="BL1" s="392"/>
      <c r="BM1" s="392"/>
      <c r="BN1" s="392"/>
      <c r="BO1" s="392"/>
      <c r="BP1" s="392"/>
    </row>
    <row r="2" spans="1:68" s="2" customFormat="1" ht="10.35" customHeight="1" x14ac:dyDescent="0.2">
      <c r="A2" s="392"/>
      <c r="B2" s="160" t="str">
        <f ca="1">RIGHT(CELL("filename",A1),LEN(CELL("filename",A1))-FIND("]",CELL("filename",A1)))</f>
        <v>Calcs</v>
      </c>
      <c r="C2" s="392"/>
      <c r="D2" s="392"/>
      <c r="E2" s="392"/>
      <c r="F2" s="392"/>
      <c r="G2" s="392"/>
      <c r="H2" s="392"/>
      <c r="I2" s="392"/>
      <c r="J2" s="392"/>
      <c r="K2" s="392"/>
      <c r="L2" s="410"/>
      <c r="M2" s="411"/>
      <c r="N2" s="392"/>
      <c r="O2" s="392"/>
      <c r="P2" s="392"/>
      <c r="Q2" s="392"/>
      <c r="R2" s="392"/>
      <c r="S2" s="392"/>
      <c r="T2" s="392"/>
      <c r="U2" s="392"/>
      <c r="V2" s="4"/>
      <c r="W2" s="392"/>
      <c r="X2" s="5"/>
      <c r="Y2" s="392"/>
      <c r="Z2" s="392"/>
      <c r="AA2" s="392"/>
      <c r="AB2" s="392"/>
      <c r="AC2" s="392"/>
      <c r="AD2" s="392"/>
      <c r="AE2" s="392"/>
      <c r="AF2" s="392"/>
      <c r="AG2" s="392"/>
      <c r="AH2" s="392"/>
      <c r="AI2" s="392"/>
      <c r="AJ2" s="392"/>
      <c r="AK2" s="392"/>
      <c r="AL2" s="392"/>
      <c r="AM2" s="392"/>
      <c r="AN2" s="392"/>
      <c r="AO2" s="392"/>
      <c r="AP2" s="392"/>
      <c r="AQ2" s="392"/>
      <c r="AR2" s="392"/>
      <c r="AS2" s="392"/>
      <c r="AT2" s="392"/>
      <c r="AU2" s="1"/>
      <c r="AV2" s="392"/>
      <c r="AW2" s="6"/>
      <c r="AX2" s="392"/>
      <c r="AY2" s="392"/>
      <c r="AZ2" s="392"/>
      <c r="BA2" s="392"/>
      <c r="BB2" s="392"/>
      <c r="BC2" s="392"/>
      <c r="BD2" s="392"/>
      <c r="BE2" s="392"/>
      <c r="BF2" s="392"/>
      <c r="BG2" s="392"/>
      <c r="BH2" s="392"/>
      <c r="BI2" s="392"/>
      <c r="BJ2" s="392"/>
      <c r="BK2" s="392"/>
      <c r="BL2" s="392"/>
      <c r="BM2" s="392"/>
      <c r="BN2" s="392"/>
      <c r="BO2" s="392"/>
      <c r="BP2" s="392"/>
    </row>
    <row r="3" spans="1:68" s="2" customFormat="1" ht="10.35" customHeight="1" x14ac:dyDescent="0.2">
      <c r="A3" s="1"/>
      <c r="B3" s="392"/>
      <c r="C3" s="392"/>
      <c r="D3" s="392"/>
      <c r="E3" s="392"/>
      <c r="F3" s="392"/>
      <c r="G3" s="6"/>
      <c r="H3" s="392"/>
      <c r="I3" s="392"/>
      <c r="J3" s="392"/>
      <c r="K3" s="392"/>
      <c r="L3" s="410"/>
      <c r="M3" s="411"/>
      <c r="N3" s="392"/>
      <c r="O3" s="392"/>
      <c r="P3" s="392"/>
      <c r="Q3" s="392"/>
      <c r="R3" s="392"/>
      <c r="S3" s="392"/>
      <c r="T3" s="392"/>
      <c r="U3" s="392"/>
      <c r="V3" s="4"/>
      <c r="W3" s="392"/>
      <c r="X3" s="5"/>
      <c r="Y3" s="392"/>
      <c r="Z3" s="392"/>
      <c r="AA3" s="392"/>
      <c r="AB3" s="392"/>
      <c r="AC3" s="392"/>
      <c r="AD3" s="392"/>
      <c r="AE3" s="392"/>
      <c r="AF3" s="392"/>
      <c r="AG3" s="392"/>
      <c r="AH3" s="392"/>
      <c r="AI3" s="392"/>
      <c r="AJ3" s="392"/>
      <c r="AK3" s="392"/>
      <c r="AL3" s="392"/>
      <c r="AM3" s="392"/>
      <c r="AN3" s="392"/>
      <c r="AO3" s="392"/>
      <c r="AP3" s="392"/>
      <c r="AQ3" s="392"/>
      <c r="AR3" s="392"/>
      <c r="AS3" s="392"/>
      <c r="AT3" s="392"/>
      <c r="AU3" s="1"/>
      <c r="AV3" s="6"/>
      <c r="AW3" s="6"/>
      <c r="AX3" s="392"/>
      <c r="AY3" s="392"/>
      <c r="AZ3" s="392"/>
      <c r="BA3" s="392"/>
      <c r="BB3" s="392"/>
      <c r="BC3" s="392"/>
      <c r="BD3" s="392"/>
      <c r="BE3" s="392"/>
      <c r="BF3" s="392"/>
      <c r="BG3" s="392"/>
      <c r="BH3" s="392"/>
      <c r="BI3" s="392"/>
      <c r="BJ3" s="392"/>
      <c r="BK3" s="392"/>
      <c r="BL3" s="392"/>
      <c r="BM3" s="392"/>
      <c r="BN3" s="392"/>
      <c r="BO3" s="392"/>
      <c r="BP3" s="392"/>
    </row>
    <row r="4" spans="1:68" s="2" customFormat="1" ht="10.35" customHeight="1" x14ac:dyDescent="0.2">
      <c r="A4" s="7"/>
      <c r="B4" s="392"/>
      <c r="C4" s="392"/>
      <c r="D4" s="11" t="s">
        <v>13</v>
      </c>
      <c r="E4" s="393" t="s">
        <v>14</v>
      </c>
      <c r="F4" s="394" t="s">
        <v>15</v>
      </c>
      <c r="G4" s="133" t="s">
        <v>16</v>
      </c>
      <c r="H4" s="395" t="s">
        <v>17</v>
      </c>
      <c r="I4" s="396" t="s">
        <v>18</v>
      </c>
      <c r="J4" s="397" t="s">
        <v>19</v>
      </c>
      <c r="K4" s="510" t="s">
        <v>20</v>
      </c>
      <c r="L4" s="510"/>
      <c r="M4" s="361" t="str">
        <f>"FY"&amp;RIGHT(M14,2)</f>
        <v>FY17</v>
      </c>
      <c r="N4" s="348" t="str">
        <f t="shared" ref="N4:BP4" si="0">"FY"&amp;RIGHT(N14,2)</f>
        <v>FY18</v>
      </c>
      <c r="O4" s="348" t="str">
        <f t="shared" si="0"/>
        <v>FY19</v>
      </c>
      <c r="P4" s="348" t="str">
        <f t="shared" si="0"/>
        <v>FY20</v>
      </c>
      <c r="Q4" s="348" t="str">
        <f t="shared" si="0"/>
        <v>FY21</v>
      </c>
      <c r="R4" s="348" t="str">
        <f t="shared" si="0"/>
        <v>FY22</v>
      </c>
      <c r="S4" s="348" t="str">
        <f t="shared" si="0"/>
        <v>FY23</v>
      </c>
      <c r="T4" s="348" t="str">
        <f t="shared" si="0"/>
        <v>FY24</v>
      </c>
      <c r="U4" s="348" t="str">
        <f t="shared" si="0"/>
        <v>FY25</v>
      </c>
      <c r="V4" s="348" t="str">
        <f t="shared" si="0"/>
        <v>FY26</v>
      </c>
      <c r="W4" s="348" t="str">
        <f t="shared" si="0"/>
        <v>FY27</v>
      </c>
      <c r="X4" s="348" t="str">
        <f t="shared" si="0"/>
        <v>FY28</v>
      </c>
      <c r="Y4" s="348" t="str">
        <f t="shared" si="0"/>
        <v>FY29</v>
      </c>
      <c r="Z4" s="348" t="str">
        <f t="shared" si="0"/>
        <v>FY30</v>
      </c>
      <c r="AA4" s="348" t="str">
        <f t="shared" si="0"/>
        <v>FY31</v>
      </c>
      <c r="AB4" s="348" t="str">
        <f t="shared" si="0"/>
        <v>FY32</v>
      </c>
      <c r="AC4" s="348" t="str">
        <f t="shared" si="0"/>
        <v>FY33</v>
      </c>
      <c r="AD4" s="348" t="str">
        <f t="shared" si="0"/>
        <v>FY34</v>
      </c>
      <c r="AE4" s="348" t="str">
        <f t="shared" si="0"/>
        <v>FY35</v>
      </c>
      <c r="AF4" s="348" t="str">
        <f t="shared" si="0"/>
        <v>FY36</v>
      </c>
      <c r="AG4" s="348" t="str">
        <f t="shared" si="0"/>
        <v>FY37</v>
      </c>
      <c r="AH4" s="348" t="str">
        <f t="shared" si="0"/>
        <v>FY38</v>
      </c>
      <c r="AI4" s="348" t="str">
        <f t="shared" si="0"/>
        <v>FY39</v>
      </c>
      <c r="AJ4" s="348" t="str">
        <f t="shared" si="0"/>
        <v>FY40</v>
      </c>
      <c r="AK4" s="348" t="str">
        <f t="shared" si="0"/>
        <v>FY41</v>
      </c>
      <c r="AL4" s="348" t="str">
        <f t="shared" si="0"/>
        <v>FY42</v>
      </c>
      <c r="AM4" s="348" t="str">
        <f t="shared" si="0"/>
        <v>FY43</v>
      </c>
      <c r="AN4" s="348" t="str">
        <f t="shared" si="0"/>
        <v>FY44</v>
      </c>
      <c r="AO4" s="348" t="str">
        <f t="shared" si="0"/>
        <v>FY45</v>
      </c>
      <c r="AP4" s="348" t="str">
        <f t="shared" si="0"/>
        <v>FY46</v>
      </c>
      <c r="AQ4" s="348" t="str">
        <f t="shared" si="0"/>
        <v>FY47</v>
      </c>
      <c r="AR4" s="348" t="str">
        <f t="shared" si="0"/>
        <v>FY48</v>
      </c>
      <c r="AS4" s="348" t="str">
        <f t="shared" si="0"/>
        <v>FY49</v>
      </c>
      <c r="AT4" s="348" t="str">
        <f t="shared" si="0"/>
        <v>FY50</v>
      </c>
      <c r="AU4" s="348" t="str">
        <f t="shared" si="0"/>
        <v>FY51</v>
      </c>
      <c r="AV4" s="348" t="str">
        <f t="shared" si="0"/>
        <v>FY52</v>
      </c>
      <c r="AW4" s="348" t="str">
        <f t="shared" si="0"/>
        <v>FY53</v>
      </c>
      <c r="AX4" s="348" t="str">
        <f t="shared" si="0"/>
        <v>FY54</v>
      </c>
      <c r="AY4" s="348" t="str">
        <f t="shared" si="0"/>
        <v>FY55</v>
      </c>
      <c r="AZ4" s="348" t="str">
        <f t="shared" si="0"/>
        <v>FY56</v>
      </c>
      <c r="BA4" s="348" t="str">
        <f t="shared" si="0"/>
        <v>FY57</v>
      </c>
      <c r="BB4" s="348" t="str">
        <f t="shared" si="0"/>
        <v>FY58</v>
      </c>
      <c r="BC4" s="348" t="str">
        <f t="shared" si="0"/>
        <v>FY59</v>
      </c>
      <c r="BD4" s="348" t="str">
        <f t="shared" si="0"/>
        <v>FY60</v>
      </c>
      <c r="BE4" s="348" t="str">
        <f t="shared" si="0"/>
        <v>FY61</v>
      </c>
      <c r="BF4" s="348" t="str">
        <f t="shared" si="0"/>
        <v>FY62</v>
      </c>
      <c r="BG4" s="348" t="str">
        <f t="shared" si="0"/>
        <v>FY63</v>
      </c>
      <c r="BH4" s="348" t="str">
        <f t="shared" si="0"/>
        <v>FY64</v>
      </c>
      <c r="BI4" s="348" t="str">
        <f t="shared" si="0"/>
        <v>FY65</v>
      </c>
      <c r="BJ4" s="348" t="str">
        <f t="shared" si="0"/>
        <v>FY66</v>
      </c>
      <c r="BK4" s="348" t="str">
        <f t="shared" si="0"/>
        <v>FY67</v>
      </c>
      <c r="BL4" s="348" t="str">
        <f t="shared" si="0"/>
        <v>FY68</v>
      </c>
      <c r="BM4" s="348" t="str">
        <f t="shared" si="0"/>
        <v>FY69</v>
      </c>
      <c r="BN4" s="348" t="str">
        <f t="shared" si="0"/>
        <v>FY70</v>
      </c>
      <c r="BO4" s="348" t="str">
        <f t="shared" si="0"/>
        <v>FY71</v>
      </c>
      <c r="BP4" s="348" t="str">
        <f t="shared" si="0"/>
        <v>FY72</v>
      </c>
    </row>
    <row r="5" spans="1:68" s="2" customFormat="1" ht="10.35" customHeight="1" x14ac:dyDescent="0.2">
      <c r="A5" s="392"/>
      <c r="B5" s="392"/>
      <c r="C5" s="392"/>
      <c r="D5" s="392"/>
      <c r="E5" s="392"/>
      <c r="F5" s="392"/>
      <c r="G5" s="392"/>
      <c r="H5" s="392"/>
      <c r="I5" s="392"/>
      <c r="J5" s="392"/>
      <c r="K5" s="392"/>
      <c r="L5" s="410"/>
      <c r="M5" s="411"/>
      <c r="N5" s="392"/>
      <c r="O5" s="392"/>
      <c r="P5" s="392"/>
      <c r="Q5" s="392"/>
      <c r="R5" s="392"/>
      <c r="S5" s="392"/>
      <c r="T5" s="392"/>
      <c r="U5" s="392"/>
      <c r="V5" s="1"/>
      <c r="W5" s="392"/>
      <c r="X5" s="5"/>
      <c r="Y5" s="392"/>
      <c r="Z5" s="392"/>
      <c r="AA5" s="392"/>
      <c r="AB5" s="392"/>
      <c r="AC5" s="392"/>
      <c r="AD5" s="392"/>
      <c r="AE5" s="392"/>
      <c r="AF5" s="392"/>
      <c r="AG5" s="392"/>
      <c r="AH5" s="392"/>
      <c r="AI5" s="392"/>
      <c r="AJ5" s="392"/>
      <c r="AK5" s="392"/>
      <c r="AL5" s="392"/>
      <c r="AM5" s="392"/>
      <c r="AN5" s="392"/>
      <c r="AO5" s="392"/>
      <c r="AP5" s="392"/>
      <c r="AQ5" s="392"/>
      <c r="AR5" s="392"/>
      <c r="AS5" s="392"/>
      <c r="AT5" s="392"/>
      <c r="AU5" s="1"/>
      <c r="AV5" s="6"/>
      <c r="AW5" s="6"/>
      <c r="AX5" s="392"/>
      <c r="AY5" s="392"/>
      <c r="AZ5" s="392"/>
      <c r="BA5" s="392"/>
      <c r="BB5" s="392"/>
      <c r="BC5" s="392"/>
      <c r="BD5" s="392"/>
      <c r="BE5" s="392"/>
      <c r="BF5" s="392"/>
      <c r="BG5" s="392"/>
      <c r="BH5" s="392"/>
      <c r="BI5" s="392"/>
      <c r="BJ5" s="392"/>
      <c r="BK5" s="392"/>
      <c r="BL5" s="392"/>
      <c r="BM5" s="392"/>
      <c r="BN5" s="392"/>
      <c r="BO5" s="392"/>
      <c r="BP5" s="392"/>
    </row>
    <row r="6" spans="1:68" ht="10.35" customHeight="1" x14ac:dyDescent="0.2">
      <c r="A6" s="80"/>
      <c r="B6" s="80"/>
      <c r="C6" s="80"/>
      <c r="D6" s="80"/>
      <c r="E6" s="80"/>
      <c r="F6" s="80"/>
      <c r="G6" s="80"/>
      <c r="H6" s="80"/>
      <c r="I6" s="80"/>
      <c r="J6" s="80"/>
      <c r="K6" s="80"/>
      <c r="L6" s="412"/>
      <c r="M6" s="413"/>
      <c r="N6" s="80"/>
      <c r="O6" s="80"/>
      <c r="P6" s="80"/>
      <c r="Q6" s="80"/>
      <c r="R6" s="80"/>
      <c r="S6" s="80"/>
      <c r="T6" s="83"/>
      <c r="U6" s="80"/>
      <c r="V6" s="80"/>
      <c r="W6" s="80"/>
      <c r="X6" s="80"/>
      <c r="Y6" s="80"/>
      <c r="Z6" s="80"/>
      <c r="AA6" s="80"/>
      <c r="AB6" s="80"/>
      <c r="AC6" s="80"/>
      <c r="AD6" s="80"/>
      <c r="AE6" s="80"/>
      <c r="AF6" s="80"/>
      <c r="AG6" s="80"/>
      <c r="AH6" s="80"/>
      <c r="AI6" s="80"/>
      <c r="AJ6" s="80"/>
      <c r="AK6" s="80"/>
      <c r="AL6" s="80"/>
      <c r="AM6" s="80"/>
      <c r="AN6" s="80"/>
      <c r="AO6" s="80"/>
      <c r="AP6" s="80"/>
      <c r="AQ6" s="80"/>
      <c r="AR6" s="80"/>
      <c r="AS6" s="80"/>
      <c r="AT6" s="80"/>
      <c r="AU6" s="80"/>
      <c r="AV6" s="80"/>
      <c r="AW6" s="80"/>
      <c r="AX6" s="80"/>
      <c r="AY6" s="80"/>
      <c r="AZ6" s="80"/>
      <c r="BA6" s="80"/>
      <c r="BB6" s="80"/>
      <c r="BC6" s="80"/>
      <c r="BD6" s="80"/>
      <c r="BE6" s="80"/>
      <c r="BF6" s="80"/>
      <c r="BG6" s="80"/>
      <c r="BH6" s="80"/>
      <c r="BI6" s="80"/>
      <c r="BJ6" s="80"/>
      <c r="BK6" s="80"/>
      <c r="BL6" s="80"/>
      <c r="BM6" s="80"/>
      <c r="BN6" s="80"/>
      <c r="BO6" s="80"/>
      <c r="BP6" s="80"/>
    </row>
    <row r="7" spans="1:68" ht="10.35" customHeight="1" x14ac:dyDescent="0.2">
      <c r="A7" s="80"/>
      <c r="B7" s="80"/>
      <c r="C7" s="80"/>
      <c r="D7" s="80"/>
      <c r="E7" s="80"/>
      <c r="F7" s="80"/>
      <c r="G7" s="80"/>
      <c r="H7" s="80"/>
      <c r="I7" s="80"/>
      <c r="J7" s="80"/>
      <c r="K7" s="80"/>
      <c r="L7" s="412"/>
      <c r="M7" s="413"/>
      <c r="N7" s="80"/>
      <c r="O7" s="80"/>
      <c r="P7" s="80"/>
      <c r="Q7" s="80"/>
      <c r="R7" s="80"/>
      <c r="S7" s="80"/>
      <c r="T7" s="83"/>
      <c r="U7" s="80"/>
      <c r="V7" s="80"/>
      <c r="W7" s="80"/>
      <c r="X7" s="80"/>
      <c r="Y7" s="80"/>
      <c r="Z7" s="80"/>
      <c r="AA7" s="80"/>
      <c r="AB7" s="80"/>
      <c r="AC7" s="80"/>
      <c r="AD7" s="80"/>
      <c r="AE7" s="80"/>
      <c r="AF7" s="80"/>
      <c r="AG7" s="80"/>
      <c r="AH7" s="80"/>
      <c r="AI7" s="80"/>
      <c r="AJ7" s="80"/>
      <c r="AK7" s="80"/>
      <c r="AL7" s="80"/>
      <c r="AM7" s="80"/>
      <c r="AN7" s="80"/>
      <c r="AO7" s="80"/>
      <c r="AP7" s="80"/>
      <c r="AQ7" s="80"/>
      <c r="AR7" s="80"/>
      <c r="AS7" s="80"/>
      <c r="AT7" s="80"/>
      <c r="AU7" s="80"/>
      <c r="AV7" s="80"/>
      <c r="AW7" s="80"/>
      <c r="AX7" s="80"/>
      <c r="AY7" s="80"/>
      <c r="AZ7" s="80"/>
      <c r="BA7" s="80"/>
      <c r="BB7" s="80"/>
      <c r="BC7" s="80"/>
      <c r="BD7" s="80"/>
      <c r="BE7" s="80"/>
      <c r="BF7" s="80"/>
      <c r="BG7" s="80"/>
      <c r="BH7" s="80"/>
      <c r="BI7" s="80"/>
      <c r="BJ7" s="80"/>
      <c r="BK7" s="80"/>
      <c r="BL7" s="80"/>
      <c r="BM7" s="80"/>
      <c r="BN7" s="80"/>
      <c r="BO7" s="80"/>
      <c r="BP7" s="80"/>
    </row>
    <row r="8" spans="1:68" ht="10.35" customHeight="1" x14ac:dyDescent="0.2">
      <c r="A8" s="80"/>
      <c r="B8" s="80"/>
      <c r="C8" s="80"/>
      <c r="D8" s="80"/>
      <c r="E8" s="80"/>
      <c r="F8" s="80"/>
      <c r="G8" s="80"/>
      <c r="H8" s="80"/>
      <c r="I8" s="80"/>
      <c r="J8" s="80"/>
      <c r="K8" s="80"/>
      <c r="L8" s="412"/>
      <c r="M8" s="413"/>
      <c r="N8" s="80"/>
      <c r="O8" s="80"/>
      <c r="P8" s="80"/>
      <c r="Q8"/>
      <c r="R8"/>
      <c r="S8" s="80"/>
      <c r="T8" s="83"/>
      <c r="U8" s="80"/>
      <c r="V8" s="80"/>
      <c r="W8" s="80"/>
      <c r="X8" s="80"/>
      <c r="Y8" s="80"/>
      <c r="Z8" s="80"/>
      <c r="AA8" s="80"/>
      <c r="AB8" s="80"/>
      <c r="AC8" s="80"/>
      <c r="AD8" s="80"/>
      <c r="AE8" s="80"/>
      <c r="AF8" s="80"/>
      <c r="AG8" s="80"/>
      <c r="AH8" s="80"/>
      <c r="AI8" s="80"/>
      <c r="AJ8" s="80"/>
      <c r="AK8" s="80"/>
      <c r="AL8" s="80"/>
      <c r="AM8" s="80"/>
      <c r="AN8" s="80"/>
      <c r="AO8" s="80"/>
      <c r="AP8" s="80"/>
      <c r="AQ8" s="80"/>
      <c r="AR8" s="80"/>
      <c r="AS8" s="80"/>
      <c r="AT8" s="80"/>
      <c r="AU8" s="80"/>
      <c r="AV8" s="80"/>
      <c r="AW8" s="80"/>
      <c r="AX8" s="80"/>
      <c r="AY8" s="80"/>
      <c r="AZ8" s="80"/>
      <c r="BA8" s="80"/>
      <c r="BB8" s="80"/>
      <c r="BC8" s="80"/>
      <c r="BD8" s="80"/>
      <c r="BE8" s="80"/>
      <c r="BF8" s="80"/>
      <c r="BG8" s="80"/>
      <c r="BH8" s="80"/>
      <c r="BI8" s="80"/>
      <c r="BJ8" s="80"/>
      <c r="BK8" s="80"/>
      <c r="BL8" s="80"/>
      <c r="BM8" s="80"/>
      <c r="BN8" s="80"/>
      <c r="BO8" s="80"/>
      <c r="BP8" s="80"/>
    </row>
    <row r="9" spans="1:68" ht="10.35" customHeight="1" x14ac:dyDescent="0.2">
      <c r="A9" s="80"/>
      <c r="B9" s="80"/>
      <c r="C9" s="80"/>
      <c r="D9" s="80"/>
      <c r="E9" s="80"/>
      <c r="F9" s="80"/>
      <c r="G9" s="80"/>
      <c r="H9" s="80"/>
      <c r="I9" s="80"/>
      <c r="J9" s="80"/>
      <c r="K9" s="80"/>
      <c r="L9" s="412"/>
      <c r="M9" s="413"/>
      <c r="N9" s="80"/>
      <c r="O9" s="80"/>
      <c r="P9" s="80"/>
      <c r="Q9" s="447"/>
      <c r="R9" s="447"/>
      <c r="S9" s="80"/>
      <c r="T9" s="83"/>
      <c r="U9" s="80"/>
      <c r="V9" s="80"/>
      <c r="W9" s="80"/>
      <c r="X9" s="80"/>
      <c r="Y9" s="80"/>
      <c r="Z9" s="80"/>
      <c r="AA9" s="80"/>
      <c r="AB9" s="80"/>
      <c r="AC9" s="80"/>
      <c r="AD9" s="80"/>
      <c r="AE9" s="80"/>
      <c r="AF9" s="80"/>
      <c r="AG9" s="80"/>
      <c r="AH9" s="80"/>
      <c r="AI9" s="80"/>
      <c r="AJ9" s="80"/>
      <c r="AK9" s="80"/>
      <c r="AL9" s="80"/>
      <c r="AM9" s="80"/>
      <c r="AN9" s="80"/>
      <c r="AO9" s="80"/>
      <c r="AP9" s="80"/>
      <c r="AQ9" s="80"/>
      <c r="AR9" s="80"/>
      <c r="AS9" s="80"/>
      <c r="AT9" s="80"/>
      <c r="AU9" s="80"/>
      <c r="AV9" s="80"/>
      <c r="AW9" s="80"/>
      <c r="AX9" s="80"/>
      <c r="AY9" s="80"/>
      <c r="AZ9" s="80"/>
      <c r="BA9" s="80"/>
      <c r="BB9" s="80"/>
      <c r="BC9" s="80"/>
      <c r="BD9" s="80"/>
      <c r="BE9" s="80"/>
      <c r="BF9" s="80"/>
      <c r="BG9" s="80"/>
      <c r="BH9" s="80"/>
      <c r="BI9" s="80"/>
      <c r="BJ9" s="80"/>
      <c r="BK9" s="80"/>
      <c r="BL9" s="80"/>
      <c r="BM9" s="80"/>
      <c r="BN9" s="80"/>
      <c r="BO9" s="80"/>
      <c r="BP9" s="80"/>
    </row>
    <row r="10" spans="1:68" ht="10.35" customHeight="1" x14ac:dyDescent="0.2">
      <c r="A10" s="80"/>
      <c r="B10" s="80"/>
      <c r="C10" s="80"/>
      <c r="D10" s="80"/>
      <c r="E10" s="80"/>
      <c r="F10" s="80"/>
      <c r="G10" s="80"/>
      <c r="H10" s="80"/>
      <c r="I10" s="80"/>
      <c r="J10" s="80"/>
      <c r="K10" s="80"/>
      <c r="L10" s="412"/>
      <c r="M10" s="413"/>
      <c r="N10" s="80"/>
      <c r="O10" s="80"/>
      <c r="P10" s="448"/>
      <c r="Q10" s="448"/>
      <c r="R10" s="145"/>
      <c r="S10" s="80"/>
      <c r="T10" s="83"/>
      <c r="U10" s="80"/>
      <c r="V10" s="80"/>
      <c r="W10" s="80"/>
      <c r="X10" s="80"/>
      <c r="Y10" s="80"/>
      <c r="Z10" s="80"/>
      <c r="AA10" s="80"/>
      <c r="AB10" s="80"/>
      <c r="AC10" s="80"/>
      <c r="AD10" s="80"/>
      <c r="AE10" s="80"/>
      <c r="AF10" s="80"/>
      <c r="AG10" s="80"/>
      <c r="AH10" s="80"/>
      <c r="AI10" s="80"/>
      <c r="AJ10" s="80"/>
      <c r="AK10" s="80"/>
      <c r="AL10" s="80"/>
      <c r="AM10" s="80"/>
      <c r="AN10" s="80"/>
      <c r="AO10" s="80"/>
      <c r="AP10" s="80"/>
      <c r="AQ10" s="80"/>
      <c r="AR10" s="80"/>
      <c r="AS10" s="80"/>
      <c r="AT10" s="80"/>
      <c r="AU10" s="80"/>
      <c r="AV10" s="80"/>
      <c r="AW10" s="80"/>
      <c r="AX10" s="80"/>
      <c r="AY10" s="80"/>
      <c r="AZ10" s="80"/>
      <c r="BA10" s="80"/>
      <c r="BB10" s="80"/>
      <c r="BC10" s="80"/>
      <c r="BD10" s="80"/>
      <c r="BE10" s="80"/>
      <c r="BF10" s="80"/>
      <c r="BG10" s="80"/>
      <c r="BH10" s="80"/>
      <c r="BI10" s="80"/>
      <c r="BJ10" s="80"/>
      <c r="BK10" s="80"/>
      <c r="BL10" s="80"/>
      <c r="BM10" s="80"/>
      <c r="BN10" s="80"/>
      <c r="BO10" s="80"/>
      <c r="BP10" s="80"/>
    </row>
    <row r="11" spans="1:68" ht="10.35" customHeight="1" x14ac:dyDescent="0.2">
      <c r="A11" s="80"/>
      <c r="B11" s="80"/>
      <c r="C11" s="80"/>
      <c r="D11" s="80"/>
      <c r="E11" s="80"/>
      <c r="F11" s="80"/>
      <c r="G11" s="80"/>
      <c r="H11" s="80"/>
      <c r="I11" s="80"/>
      <c r="J11" s="80"/>
      <c r="K11" s="80"/>
      <c r="L11" s="412"/>
      <c r="M11" s="413"/>
      <c r="N11" s="80"/>
      <c r="O11" s="80"/>
      <c r="P11" s="80"/>
      <c r="Q11" s="80"/>
      <c r="R11" s="80"/>
      <c r="S11" s="80"/>
      <c r="T11" s="83"/>
      <c r="U11" s="80"/>
      <c r="V11" s="80"/>
      <c r="W11" s="80"/>
      <c r="X11" s="80"/>
      <c r="Y11" s="80"/>
      <c r="Z11" s="80"/>
      <c r="AA11" s="80"/>
      <c r="AB11" s="80"/>
      <c r="AC11" s="80"/>
      <c r="AD11" s="80"/>
      <c r="AE11" s="80"/>
      <c r="AF11" s="80"/>
      <c r="AG11" s="80"/>
      <c r="AH11" s="80"/>
      <c r="AI11" s="80"/>
      <c r="AJ11" s="80"/>
      <c r="AK11" s="80"/>
      <c r="AL11" s="80"/>
      <c r="AM11" s="80"/>
      <c r="AN11" s="80"/>
      <c r="AO11" s="80"/>
      <c r="AP11" s="80"/>
      <c r="AQ11" s="80"/>
      <c r="AR11" s="80"/>
      <c r="AS11" s="80"/>
      <c r="AT11" s="80"/>
      <c r="AU11" s="80"/>
      <c r="AV11" s="80"/>
      <c r="AW11" s="80"/>
      <c r="AX11" s="80"/>
      <c r="AY11" s="80"/>
      <c r="AZ11" s="80"/>
      <c r="BA11" s="80"/>
      <c r="BB11" s="80"/>
      <c r="BC11" s="80"/>
      <c r="BD11" s="80"/>
      <c r="BE11" s="80"/>
      <c r="BF11" s="80"/>
      <c r="BG11" s="80"/>
      <c r="BH11" s="80"/>
      <c r="BI11" s="80"/>
      <c r="BJ11" s="80"/>
      <c r="BK11" s="80"/>
      <c r="BL11" s="80"/>
      <c r="BM11" s="80"/>
      <c r="BN11" s="80"/>
      <c r="BO11" s="80"/>
      <c r="BP11" s="80"/>
    </row>
    <row r="12" spans="1:68" ht="10.35" customHeight="1" x14ac:dyDescent="0.2">
      <c r="A12" s="80"/>
      <c r="B12" s="80"/>
      <c r="C12" s="80"/>
      <c r="D12" s="80"/>
      <c r="E12" s="80"/>
      <c r="F12" s="80"/>
      <c r="G12" s="80"/>
      <c r="H12" s="80"/>
      <c r="I12" s="80"/>
      <c r="J12" s="80"/>
      <c r="K12" s="80"/>
      <c r="L12" s="412"/>
      <c r="M12" s="413"/>
      <c r="N12" s="80"/>
      <c r="O12" s="80"/>
      <c r="P12" s="80"/>
      <c r="Q12" s="80"/>
      <c r="R12" s="80"/>
      <c r="S12" s="80"/>
      <c r="T12" s="83"/>
      <c r="U12" s="80"/>
      <c r="V12" s="80"/>
      <c r="W12" s="80"/>
      <c r="X12" s="80"/>
      <c r="Y12" s="80"/>
      <c r="Z12" s="80"/>
      <c r="AA12" s="80"/>
      <c r="AB12" s="80"/>
      <c r="AC12" s="80"/>
      <c r="AD12" s="80"/>
      <c r="AE12" s="80"/>
      <c r="AF12" s="80"/>
      <c r="AG12" s="80"/>
      <c r="AH12" s="80"/>
      <c r="AI12" s="80"/>
      <c r="AJ12" s="80"/>
      <c r="AK12" s="80"/>
      <c r="AL12" s="80"/>
      <c r="AM12" s="80"/>
      <c r="AN12" s="80"/>
      <c r="AO12" s="80"/>
      <c r="AP12" s="80"/>
      <c r="AQ12" s="80"/>
      <c r="AR12" s="80"/>
      <c r="AS12" s="80"/>
      <c r="AT12" s="80"/>
      <c r="AU12" s="80"/>
      <c r="AV12" s="80"/>
      <c r="AW12" s="80"/>
      <c r="AX12" s="80"/>
      <c r="AY12" s="80"/>
      <c r="AZ12" s="80"/>
      <c r="BA12" s="80"/>
      <c r="BB12" s="80"/>
      <c r="BC12" s="80"/>
      <c r="BD12" s="80"/>
      <c r="BE12" s="80"/>
      <c r="BF12" s="80"/>
      <c r="BG12" s="80"/>
      <c r="BH12" s="80"/>
      <c r="BI12" s="80"/>
      <c r="BJ12" s="80"/>
      <c r="BK12" s="80"/>
      <c r="BL12" s="80"/>
      <c r="BM12" s="80"/>
      <c r="BN12" s="80"/>
      <c r="BO12" s="80"/>
      <c r="BP12" s="80"/>
    </row>
    <row r="13" spans="1:68" ht="10.35" customHeight="1" x14ac:dyDescent="0.2">
      <c r="A13" s="80"/>
      <c r="B13" s="80"/>
      <c r="C13" s="80"/>
      <c r="D13" s="80"/>
      <c r="E13" s="80"/>
      <c r="F13" s="80"/>
      <c r="G13" s="80"/>
      <c r="H13" s="80"/>
      <c r="I13" s="80"/>
      <c r="J13" s="80"/>
      <c r="K13" s="80"/>
      <c r="L13" s="80"/>
      <c r="M13" s="23" t="s">
        <v>328</v>
      </c>
      <c r="N13" s="23" t="s">
        <v>328</v>
      </c>
      <c r="O13" s="23" t="s">
        <v>328</v>
      </c>
      <c r="P13" s="23" t="s">
        <v>328</v>
      </c>
      <c r="Q13" s="23" t="s">
        <v>328</v>
      </c>
      <c r="R13" s="23" t="s">
        <v>328</v>
      </c>
      <c r="S13" s="23" t="s">
        <v>328</v>
      </c>
      <c r="T13" s="23" t="s">
        <v>328</v>
      </c>
      <c r="U13" s="23" t="s">
        <v>328</v>
      </c>
      <c r="V13" s="23" t="s">
        <v>328</v>
      </c>
      <c r="W13" s="23" t="s">
        <v>328</v>
      </c>
      <c r="X13" s="23" t="s">
        <v>328</v>
      </c>
      <c r="Y13" s="23" t="s">
        <v>328</v>
      </c>
      <c r="Z13" s="23" t="s">
        <v>328</v>
      </c>
      <c r="AA13" s="23" t="s">
        <v>328</v>
      </c>
      <c r="AB13" s="23" t="s">
        <v>328</v>
      </c>
      <c r="AC13" s="23" t="s">
        <v>328</v>
      </c>
      <c r="AD13" s="23" t="s">
        <v>328</v>
      </c>
      <c r="AE13" s="23" t="s">
        <v>328</v>
      </c>
      <c r="AF13" s="23" t="s">
        <v>328</v>
      </c>
      <c r="AG13" s="23" t="s">
        <v>328</v>
      </c>
      <c r="AH13" s="23" t="s">
        <v>328</v>
      </c>
      <c r="AI13" s="23" t="s">
        <v>328</v>
      </c>
      <c r="AJ13" s="23" t="s">
        <v>328</v>
      </c>
      <c r="AK13" s="23" t="s">
        <v>328</v>
      </c>
      <c r="AL13" s="23" t="s">
        <v>328</v>
      </c>
      <c r="AM13" s="23" t="s">
        <v>328</v>
      </c>
      <c r="AN13" s="23" t="s">
        <v>328</v>
      </c>
      <c r="AO13" s="23" t="s">
        <v>328</v>
      </c>
      <c r="AP13" s="23" t="s">
        <v>328</v>
      </c>
      <c r="AQ13" s="23" t="s">
        <v>328</v>
      </c>
      <c r="AR13" s="23" t="s">
        <v>328</v>
      </c>
      <c r="AS13" s="23" t="s">
        <v>328</v>
      </c>
      <c r="AT13" s="23" t="s">
        <v>328</v>
      </c>
      <c r="AU13" s="23" t="s">
        <v>328</v>
      </c>
      <c r="AV13" s="23" t="s">
        <v>328</v>
      </c>
      <c r="AW13" s="23" t="s">
        <v>328</v>
      </c>
      <c r="AX13" s="23" t="s">
        <v>328</v>
      </c>
      <c r="AY13" s="23" t="s">
        <v>328</v>
      </c>
      <c r="AZ13" s="23" t="s">
        <v>328</v>
      </c>
      <c r="BA13" s="23" t="s">
        <v>328</v>
      </c>
      <c r="BB13" s="23" t="s">
        <v>328</v>
      </c>
      <c r="BC13" s="23" t="s">
        <v>328</v>
      </c>
      <c r="BD13" s="23" t="s">
        <v>328</v>
      </c>
      <c r="BE13" s="23" t="s">
        <v>328</v>
      </c>
      <c r="BF13" s="23" t="s">
        <v>328</v>
      </c>
      <c r="BG13" s="23" t="s">
        <v>328</v>
      </c>
      <c r="BH13" s="23" t="s">
        <v>328</v>
      </c>
      <c r="BI13" s="23" t="s">
        <v>328</v>
      </c>
      <c r="BJ13" s="23" t="s">
        <v>328</v>
      </c>
      <c r="BK13" s="23" t="s">
        <v>328</v>
      </c>
      <c r="BL13" s="23" t="s">
        <v>328</v>
      </c>
      <c r="BM13" s="23" t="s">
        <v>328</v>
      </c>
      <c r="BN13" s="23" t="s">
        <v>328</v>
      </c>
      <c r="BO13" s="23" t="s">
        <v>328</v>
      </c>
      <c r="BP13" s="23" t="s">
        <v>328</v>
      </c>
    </row>
    <row r="14" spans="1:68" x14ac:dyDescent="0.2">
      <c r="A14" s="80"/>
      <c r="B14" s="20"/>
      <c r="C14" s="80"/>
      <c r="D14" s="80"/>
      <c r="E14" s="175" t="s">
        <v>62</v>
      </c>
      <c r="F14" s="139" t="s">
        <v>63</v>
      </c>
      <c r="G14" s="139" t="s">
        <v>64</v>
      </c>
      <c r="H14" s="80"/>
      <c r="I14" s="80"/>
      <c r="J14" s="80"/>
      <c r="K14" s="17" t="s">
        <v>329</v>
      </c>
      <c r="L14" s="104" t="s">
        <v>330</v>
      </c>
      <c r="M14" s="93">
        <f>N14-1</f>
        <v>2017</v>
      </c>
      <c r="N14" s="93">
        <f>O14-1</f>
        <v>2018</v>
      </c>
      <c r="O14" s="93">
        <f>P14-1</f>
        <v>2019</v>
      </c>
      <c r="P14" s="93">
        <f>Q14-1</f>
        <v>2020</v>
      </c>
      <c r="Q14" s="93">
        <f>R14-1</f>
        <v>2021</v>
      </c>
      <c r="R14" s="24">
        <f>Assumptions!$L$19</f>
        <v>2022</v>
      </c>
      <c r="S14" s="24">
        <f>R14+1</f>
        <v>2023</v>
      </c>
      <c r="T14" s="24">
        <f t="shared" ref="T14:BP14" si="1">S14+1</f>
        <v>2024</v>
      </c>
      <c r="U14" s="24">
        <f t="shared" si="1"/>
        <v>2025</v>
      </c>
      <c r="V14" s="24">
        <f t="shared" si="1"/>
        <v>2026</v>
      </c>
      <c r="W14" s="24">
        <f t="shared" si="1"/>
        <v>2027</v>
      </c>
      <c r="X14" s="24">
        <f t="shared" si="1"/>
        <v>2028</v>
      </c>
      <c r="Y14" s="24">
        <f t="shared" si="1"/>
        <v>2029</v>
      </c>
      <c r="Z14" s="24">
        <f t="shared" si="1"/>
        <v>2030</v>
      </c>
      <c r="AA14" s="24">
        <f t="shared" si="1"/>
        <v>2031</v>
      </c>
      <c r="AB14" s="24">
        <f t="shared" si="1"/>
        <v>2032</v>
      </c>
      <c r="AC14" s="24">
        <f t="shared" si="1"/>
        <v>2033</v>
      </c>
      <c r="AD14" s="24">
        <f t="shared" si="1"/>
        <v>2034</v>
      </c>
      <c r="AE14" s="24">
        <f t="shared" si="1"/>
        <v>2035</v>
      </c>
      <c r="AF14" s="24">
        <f t="shared" si="1"/>
        <v>2036</v>
      </c>
      <c r="AG14" s="24">
        <f t="shared" si="1"/>
        <v>2037</v>
      </c>
      <c r="AH14" s="24">
        <f t="shared" si="1"/>
        <v>2038</v>
      </c>
      <c r="AI14" s="24">
        <f t="shared" si="1"/>
        <v>2039</v>
      </c>
      <c r="AJ14" s="24">
        <f t="shared" si="1"/>
        <v>2040</v>
      </c>
      <c r="AK14" s="24">
        <f t="shared" si="1"/>
        <v>2041</v>
      </c>
      <c r="AL14" s="24">
        <f t="shared" si="1"/>
        <v>2042</v>
      </c>
      <c r="AM14" s="24">
        <f t="shared" si="1"/>
        <v>2043</v>
      </c>
      <c r="AN14" s="24">
        <f t="shared" si="1"/>
        <v>2044</v>
      </c>
      <c r="AO14" s="24">
        <f t="shared" si="1"/>
        <v>2045</v>
      </c>
      <c r="AP14" s="24">
        <f t="shared" si="1"/>
        <v>2046</v>
      </c>
      <c r="AQ14" s="24">
        <f t="shared" si="1"/>
        <v>2047</v>
      </c>
      <c r="AR14" s="24">
        <f t="shared" si="1"/>
        <v>2048</v>
      </c>
      <c r="AS14" s="24">
        <f t="shared" si="1"/>
        <v>2049</v>
      </c>
      <c r="AT14" s="24">
        <f t="shared" si="1"/>
        <v>2050</v>
      </c>
      <c r="AU14" s="24">
        <f t="shared" si="1"/>
        <v>2051</v>
      </c>
      <c r="AV14" s="24">
        <f t="shared" si="1"/>
        <v>2052</v>
      </c>
      <c r="AW14" s="24">
        <f t="shared" si="1"/>
        <v>2053</v>
      </c>
      <c r="AX14" s="24">
        <f t="shared" si="1"/>
        <v>2054</v>
      </c>
      <c r="AY14" s="24">
        <f t="shared" si="1"/>
        <v>2055</v>
      </c>
      <c r="AZ14" s="24">
        <f t="shared" si="1"/>
        <v>2056</v>
      </c>
      <c r="BA14" s="24">
        <f t="shared" si="1"/>
        <v>2057</v>
      </c>
      <c r="BB14" s="24">
        <f t="shared" si="1"/>
        <v>2058</v>
      </c>
      <c r="BC14" s="24">
        <f t="shared" si="1"/>
        <v>2059</v>
      </c>
      <c r="BD14" s="24">
        <f t="shared" si="1"/>
        <v>2060</v>
      </c>
      <c r="BE14" s="24">
        <f t="shared" si="1"/>
        <v>2061</v>
      </c>
      <c r="BF14" s="24">
        <f t="shared" si="1"/>
        <v>2062</v>
      </c>
      <c r="BG14" s="24">
        <f t="shared" si="1"/>
        <v>2063</v>
      </c>
      <c r="BH14" s="24">
        <f t="shared" si="1"/>
        <v>2064</v>
      </c>
      <c r="BI14" s="24">
        <f t="shared" si="1"/>
        <v>2065</v>
      </c>
      <c r="BJ14" s="24">
        <f t="shared" si="1"/>
        <v>2066</v>
      </c>
      <c r="BK14" s="24">
        <f t="shared" si="1"/>
        <v>2067</v>
      </c>
      <c r="BL14" s="24">
        <f t="shared" si="1"/>
        <v>2068</v>
      </c>
      <c r="BM14" s="24">
        <f t="shared" si="1"/>
        <v>2069</v>
      </c>
      <c r="BN14" s="24">
        <f t="shared" si="1"/>
        <v>2070</v>
      </c>
      <c r="BO14" s="24">
        <f t="shared" si="1"/>
        <v>2071</v>
      </c>
      <c r="BP14" s="24">
        <f t="shared" si="1"/>
        <v>2072</v>
      </c>
    </row>
    <row r="15" spans="1:68" x14ac:dyDescent="0.2">
      <c r="A15" s="80"/>
      <c r="B15" s="20"/>
      <c r="C15" s="80"/>
      <c r="D15" s="169" t="s">
        <v>57</v>
      </c>
      <c r="E15" s="449" t="e">
        <f>IRR($R$526:$BP$526)</f>
        <v>#NUM!</v>
      </c>
      <c r="F15" s="450">
        <f>IRR($R$448:$BP$448)</f>
        <v>-2.9924114421147063E-3</v>
      </c>
      <c r="G15" s="91">
        <f>IRR($R$369:$BP$369)</f>
        <v>4.2715182975825217E-2</v>
      </c>
      <c r="H15" s="80"/>
      <c r="I15" s="80"/>
      <c r="J15" s="80"/>
      <c r="K15" s="23" t="s">
        <v>192</v>
      </c>
      <c r="L15" s="106" t="s">
        <v>192</v>
      </c>
      <c r="M15" s="124">
        <f>Input!M68</f>
        <v>-5</v>
      </c>
      <c r="N15" s="94">
        <f>Input!N68</f>
        <v>-4</v>
      </c>
      <c r="O15" s="94">
        <f>Input!O68</f>
        <v>-3</v>
      </c>
      <c r="P15" s="94">
        <f>Input!P68</f>
        <v>-2</v>
      </c>
      <c r="Q15" s="94">
        <f>Input!Q68</f>
        <v>-1</v>
      </c>
      <c r="R15" s="23">
        <f>Input!R68</f>
        <v>0</v>
      </c>
      <c r="S15" s="23">
        <f>Input!S68</f>
        <v>1</v>
      </c>
      <c r="T15" s="23">
        <f>Input!T68</f>
        <v>2</v>
      </c>
      <c r="U15" s="23">
        <f>Input!U68</f>
        <v>3</v>
      </c>
      <c r="V15" s="23">
        <f>Input!V68</f>
        <v>4</v>
      </c>
      <c r="W15" s="23">
        <f>Input!W68</f>
        <v>5</v>
      </c>
      <c r="X15" s="23">
        <f>Input!X68</f>
        <v>6</v>
      </c>
      <c r="Y15" s="23">
        <f>Input!Y68</f>
        <v>7</v>
      </c>
      <c r="Z15" s="23">
        <f>Input!Z68</f>
        <v>8</v>
      </c>
      <c r="AA15" s="23">
        <f>Input!AA68</f>
        <v>9</v>
      </c>
      <c r="AB15" s="23">
        <f>Input!AB68</f>
        <v>10</v>
      </c>
      <c r="AC15" s="23">
        <f>Input!AC68</f>
        <v>11</v>
      </c>
      <c r="AD15" s="23">
        <f>Input!AD68</f>
        <v>12</v>
      </c>
      <c r="AE15" s="23">
        <f>Input!AE68</f>
        <v>13</v>
      </c>
      <c r="AF15" s="23">
        <f>Input!AF68</f>
        <v>14</v>
      </c>
      <c r="AG15" s="23">
        <f>Input!AG68</f>
        <v>15</v>
      </c>
      <c r="AH15" s="23">
        <f>Input!AH68</f>
        <v>16</v>
      </c>
      <c r="AI15" s="23">
        <f>Input!AI68</f>
        <v>17</v>
      </c>
      <c r="AJ15" s="23">
        <f>Input!AJ68</f>
        <v>18</v>
      </c>
      <c r="AK15" s="23">
        <f>Input!AK68</f>
        <v>19</v>
      </c>
      <c r="AL15" s="23">
        <f>Input!AL68</f>
        <v>20</v>
      </c>
      <c r="AM15" s="23">
        <f>Input!AM68</f>
        <v>21</v>
      </c>
      <c r="AN15" s="23">
        <f>Input!AN68</f>
        <v>22</v>
      </c>
      <c r="AO15" s="23">
        <f>Input!AO68</f>
        <v>23</v>
      </c>
      <c r="AP15" s="23">
        <f>Input!AP68</f>
        <v>24</v>
      </c>
      <c r="AQ15" s="23">
        <f>Input!AQ68</f>
        <v>25</v>
      </c>
      <c r="AR15" s="23">
        <f>Input!AR68</f>
        <v>26</v>
      </c>
      <c r="AS15" s="23">
        <f>Input!AS68</f>
        <v>27</v>
      </c>
      <c r="AT15" s="23">
        <f>Input!AT68</f>
        <v>28</v>
      </c>
      <c r="AU15" s="23">
        <f>Input!AU68</f>
        <v>29</v>
      </c>
      <c r="AV15" s="23">
        <f>Input!AV68</f>
        <v>30</v>
      </c>
      <c r="AW15" s="23">
        <f>Input!AW68</f>
        <v>31</v>
      </c>
      <c r="AX15" s="23">
        <f>Input!AX68</f>
        <v>32</v>
      </c>
      <c r="AY15" s="23">
        <f>Input!AY68</f>
        <v>33</v>
      </c>
      <c r="AZ15" s="23">
        <f>Input!AZ68</f>
        <v>34</v>
      </c>
      <c r="BA15" s="23">
        <f>Input!BA68</f>
        <v>35</v>
      </c>
      <c r="BB15" s="23">
        <f>Input!BB68</f>
        <v>36</v>
      </c>
      <c r="BC15" s="23">
        <f>Input!BC68</f>
        <v>37</v>
      </c>
      <c r="BD15" s="23">
        <f>Input!BD68</f>
        <v>38</v>
      </c>
      <c r="BE15" s="23">
        <f>Input!BE68</f>
        <v>39</v>
      </c>
      <c r="BF15" s="23">
        <f>Input!BF68</f>
        <v>40</v>
      </c>
      <c r="BG15" s="23">
        <f>Input!BG68</f>
        <v>41</v>
      </c>
      <c r="BH15" s="23">
        <f>Input!BH68</f>
        <v>42</v>
      </c>
      <c r="BI15" s="23">
        <f>Input!BI68</f>
        <v>43</v>
      </c>
      <c r="BJ15" s="23">
        <f>Input!BJ68</f>
        <v>44</v>
      </c>
      <c r="BK15" s="23">
        <f>Input!BK68</f>
        <v>45</v>
      </c>
      <c r="BL15" s="23">
        <f>Input!BL68</f>
        <v>46</v>
      </c>
      <c r="BM15" s="23">
        <f>Input!BM68</f>
        <v>47</v>
      </c>
      <c r="BN15" s="23">
        <f>Input!BN68</f>
        <v>48</v>
      </c>
      <c r="BO15" s="23">
        <f>Input!BO68</f>
        <v>49</v>
      </c>
      <c r="BP15" s="23">
        <f>Input!BP68</f>
        <v>50</v>
      </c>
    </row>
    <row r="16" spans="1:68" x14ac:dyDescent="0.2">
      <c r="A16" s="80"/>
      <c r="B16" s="80"/>
      <c r="C16" s="80"/>
      <c r="D16" s="80"/>
      <c r="E16" s="80"/>
      <c r="F16" s="80"/>
      <c r="G16" s="447"/>
      <c r="H16" s="80"/>
      <c r="I16" s="80"/>
      <c r="J16" s="80"/>
      <c r="K16" s="80"/>
      <c r="L16" s="412"/>
      <c r="M16" s="413"/>
      <c r="N16" s="80"/>
      <c r="O16" s="80"/>
      <c r="P16" s="80"/>
      <c r="Q16" s="80"/>
      <c r="R16" s="80"/>
      <c r="S16" s="80"/>
      <c r="T16" s="83"/>
      <c r="U16" s="80"/>
      <c r="V16" s="80"/>
      <c r="W16" s="80"/>
      <c r="X16" s="80"/>
      <c r="Y16" s="80"/>
      <c r="Z16" s="80"/>
      <c r="AA16" s="80"/>
      <c r="AB16" s="80"/>
      <c r="AC16" s="80"/>
      <c r="AD16" s="80"/>
      <c r="AE16" s="80"/>
      <c r="AF16" s="80"/>
      <c r="AG16" s="80"/>
      <c r="AH16" s="80"/>
      <c r="AI16" s="80"/>
      <c r="AJ16" s="80"/>
      <c r="AK16" s="80"/>
      <c r="AL16" s="80"/>
      <c r="AM16" s="80"/>
      <c r="AN16" s="80"/>
      <c r="AO16" s="80"/>
      <c r="AP16" s="80"/>
      <c r="AQ16" s="80"/>
      <c r="AR16" s="80"/>
      <c r="AS16" s="80"/>
      <c r="AT16" s="80"/>
      <c r="AU16" s="80"/>
      <c r="AV16" s="80"/>
      <c r="AW16" s="80"/>
      <c r="AX16" s="80"/>
      <c r="AY16" s="80"/>
      <c r="AZ16" s="80"/>
      <c r="BA16" s="80"/>
      <c r="BB16" s="80"/>
      <c r="BC16" s="80"/>
      <c r="BD16" s="80"/>
      <c r="BE16" s="80"/>
      <c r="BF16" s="80"/>
      <c r="BG16" s="80"/>
      <c r="BH16" s="80"/>
      <c r="BI16" s="80"/>
      <c r="BJ16" s="80"/>
      <c r="BK16" s="80"/>
      <c r="BL16" s="80"/>
      <c r="BM16" s="80"/>
      <c r="BN16" s="80"/>
      <c r="BO16" s="80"/>
      <c r="BP16" s="80"/>
    </row>
    <row r="17" spans="1:68" s="14" customFormat="1" x14ac:dyDescent="0.2">
      <c r="A17" s="398"/>
      <c r="B17" s="16" t="s">
        <v>331</v>
      </c>
      <c r="C17" s="398"/>
      <c r="D17" s="398"/>
      <c r="E17" s="398"/>
      <c r="F17" s="398"/>
      <c r="G17" s="398"/>
      <c r="H17" s="398"/>
      <c r="I17" s="398"/>
      <c r="J17" s="398"/>
      <c r="K17" s="398"/>
      <c r="L17" s="421"/>
      <c r="M17" s="422"/>
      <c r="N17" s="398"/>
      <c r="O17" s="398"/>
      <c r="P17" s="398"/>
      <c r="Q17" s="398"/>
      <c r="R17" s="398"/>
      <c r="S17" s="398"/>
      <c r="T17" s="399"/>
      <c r="U17" s="398"/>
      <c r="V17" s="398"/>
      <c r="W17" s="398"/>
      <c r="X17" s="398"/>
      <c r="Y17" s="398"/>
      <c r="Z17" s="398"/>
      <c r="AA17" s="398"/>
      <c r="AB17" s="398"/>
      <c r="AC17" s="398"/>
      <c r="AD17" s="398"/>
      <c r="AE17" s="398"/>
      <c r="AF17" s="398"/>
      <c r="AG17" s="398"/>
      <c r="AH17" s="398"/>
      <c r="AI17" s="398"/>
      <c r="AJ17" s="398"/>
      <c r="AK17" s="398"/>
      <c r="AL17" s="398"/>
      <c r="AM17" s="398"/>
      <c r="AN17" s="398"/>
      <c r="AO17" s="398"/>
      <c r="AP17" s="398"/>
      <c r="AQ17" s="398"/>
      <c r="AR17" s="398"/>
      <c r="AS17" s="398"/>
      <c r="AT17" s="398"/>
      <c r="AU17" s="398"/>
      <c r="AV17" s="398"/>
      <c r="AW17" s="398"/>
      <c r="AX17" s="398"/>
      <c r="AY17" s="398"/>
      <c r="AZ17" s="398"/>
      <c r="BA17" s="398"/>
      <c r="BB17" s="398"/>
      <c r="BC17" s="398"/>
      <c r="BD17" s="398"/>
      <c r="BE17" s="398"/>
      <c r="BF17" s="398"/>
      <c r="BG17" s="398"/>
      <c r="BH17" s="398"/>
      <c r="BI17" s="398"/>
      <c r="BJ17" s="398"/>
      <c r="BK17" s="398"/>
      <c r="BL17" s="398"/>
      <c r="BM17" s="398"/>
      <c r="BN17" s="398"/>
      <c r="BO17" s="398"/>
      <c r="BP17" s="398"/>
    </row>
    <row r="18" spans="1:68" outlineLevel="1" x14ac:dyDescent="0.2">
      <c r="A18" s="80"/>
      <c r="B18" s="20"/>
      <c r="C18" s="80"/>
      <c r="D18" s="80"/>
      <c r="E18" s="80"/>
      <c r="F18" s="80"/>
      <c r="G18" s="80"/>
      <c r="H18" s="80"/>
      <c r="I18" s="80"/>
      <c r="J18" s="80"/>
      <c r="K18" s="80"/>
      <c r="L18" s="412"/>
      <c r="M18" s="413"/>
      <c r="N18" s="80"/>
      <c r="O18" s="80"/>
      <c r="P18" s="80"/>
      <c r="Q18" s="80"/>
      <c r="R18" s="80"/>
      <c r="S18" s="80"/>
      <c r="T18" s="83"/>
      <c r="U18" s="80"/>
      <c r="V18" s="80"/>
      <c r="W18" s="80"/>
      <c r="X18" s="80"/>
      <c r="Y18" s="80"/>
      <c r="Z18" s="80"/>
      <c r="AA18" s="80"/>
      <c r="AB18" s="80"/>
      <c r="AC18" s="80"/>
      <c r="AD18" s="80"/>
      <c r="AE18" s="80"/>
      <c r="AF18" s="80"/>
      <c r="AG18" s="80"/>
      <c r="AH18" s="80"/>
      <c r="AI18" s="80"/>
      <c r="AJ18" s="80"/>
      <c r="AK18" s="80"/>
      <c r="AL18" s="80"/>
      <c r="AM18" s="80"/>
      <c r="AN18" s="80"/>
      <c r="AO18" s="80"/>
      <c r="AP18" s="80"/>
      <c r="AQ18" s="80"/>
      <c r="AR18" s="80"/>
      <c r="AS18" s="80"/>
      <c r="AT18" s="80"/>
      <c r="AU18" s="80"/>
      <c r="AV18" s="80"/>
      <c r="AW18" s="80"/>
      <c r="AX18" s="80"/>
      <c r="AY18" s="80"/>
      <c r="AZ18" s="80"/>
      <c r="BA18" s="80"/>
      <c r="BB18" s="80"/>
      <c r="BC18" s="80"/>
      <c r="BD18" s="80"/>
      <c r="BE18" s="80"/>
      <c r="BF18" s="80"/>
      <c r="BG18" s="80"/>
      <c r="BH18" s="80"/>
      <c r="BI18" s="80"/>
      <c r="BJ18" s="80"/>
      <c r="BK18" s="80"/>
      <c r="BL18" s="80"/>
      <c r="BM18" s="80"/>
      <c r="BN18" s="80"/>
      <c r="BO18" s="80"/>
      <c r="BP18" s="80"/>
    </row>
    <row r="19" spans="1:68" s="80" customFormat="1" ht="10.35" customHeight="1" outlineLevel="1" x14ac:dyDescent="0.2">
      <c r="D19" s="10" t="str">
        <f>Assumptions!$C$29</f>
        <v>Shareholder WACC</v>
      </c>
      <c r="H19"/>
      <c r="I19"/>
      <c r="J19"/>
      <c r="K19"/>
      <c r="L19" s="112"/>
      <c r="M19" s="125"/>
      <c r="N19" s="82"/>
      <c r="O19" s="82"/>
      <c r="P19" s="82"/>
      <c r="Q19" s="82"/>
      <c r="R19" s="176">
        <f>INDEX(Assumptions!$M$33:BQ$33,1,MATCH(R$14,Assumptions!$M$29:BQ$29,0))</f>
        <v>3.44E-2</v>
      </c>
      <c r="S19" s="176">
        <f>INDEX(Assumptions!$M$33:BR$33,1,MATCH(S$14,Assumptions!$M$29:BR$29,0))</f>
        <v>3.44E-2</v>
      </c>
      <c r="T19" s="176">
        <f>INDEX(Assumptions!$M$33:BS$33,1,MATCH(T$14,Assumptions!$M$29:BS$29,0))</f>
        <v>3.44E-2</v>
      </c>
      <c r="U19" s="176">
        <f>INDEX(Assumptions!$M$33:BT$33,1,MATCH(U$14,Assumptions!$M$29:BT$29,0))</f>
        <v>3.44E-2</v>
      </c>
      <c r="V19" s="176">
        <f>INDEX(Assumptions!$M$33:BU$33,1,MATCH(V$14,Assumptions!$M$29:BU$29,0))</f>
        <v>3.44E-2</v>
      </c>
      <c r="W19" s="176">
        <f>INDEX(Assumptions!$M$33:BV$33,1,MATCH(W$14,Assumptions!$M$29:BV$29,0))</f>
        <v>3.44E-2</v>
      </c>
      <c r="X19" s="176">
        <f>INDEX(Assumptions!$M$33:BW$33,1,MATCH(X$14,Assumptions!$M$29:BW$29,0))</f>
        <v>3.44E-2</v>
      </c>
      <c r="Y19" s="176">
        <f>INDEX(Assumptions!$M$33:BX$33,1,MATCH(Y$14,Assumptions!$M$29:BX$29,0))</f>
        <v>3.44E-2</v>
      </c>
      <c r="Z19" s="176">
        <f>INDEX(Assumptions!$M$33:BY$33,1,MATCH(Z$14,Assumptions!$M$29:BY$29,0))</f>
        <v>3.44E-2</v>
      </c>
      <c r="AA19" s="176">
        <f>INDEX(Assumptions!$M$33:BZ$33,1,MATCH(AA$14,Assumptions!$M$29:BZ$29,0))</f>
        <v>3.44E-2</v>
      </c>
      <c r="AB19" s="176">
        <f>INDEX(Assumptions!$M$33:CA$33,1,MATCH(AB$14,Assumptions!$M$29:CA$29,0))</f>
        <v>3.44E-2</v>
      </c>
      <c r="AC19" s="176">
        <f>INDEX(Assumptions!$M$33:CB$33,1,MATCH(AC$14,Assumptions!$M$29:CB$29,0))</f>
        <v>3.44E-2</v>
      </c>
      <c r="AD19" s="176">
        <f>INDEX(Assumptions!$M$33:CC$33,1,MATCH(AD$14,Assumptions!$M$29:CC$29,0))</f>
        <v>3.44E-2</v>
      </c>
      <c r="AE19" s="176">
        <f>INDEX(Assumptions!$M$33:CD$33,1,MATCH(AE$14,Assumptions!$M$29:CD$29,0))</f>
        <v>3.44E-2</v>
      </c>
      <c r="AF19" s="176">
        <f>INDEX(Assumptions!$M$33:CE$33,1,MATCH(AF$14,Assumptions!$M$29:CE$29,0))</f>
        <v>3.44E-2</v>
      </c>
      <c r="AG19" s="176">
        <f>INDEX(Assumptions!$M$33:CF$33,1,MATCH(AG$14,Assumptions!$M$29:CF$29,0))</f>
        <v>3.44E-2</v>
      </c>
      <c r="AH19" s="176">
        <f>INDEX(Assumptions!$M$33:CG$33,1,MATCH(AH$14,Assumptions!$M$29:CG$29,0))</f>
        <v>3.44E-2</v>
      </c>
      <c r="AI19" s="176">
        <f>INDEX(Assumptions!$M$33:CH$33,1,MATCH(AI$14,Assumptions!$M$29:CH$29,0))</f>
        <v>3.44E-2</v>
      </c>
      <c r="AJ19" s="176">
        <f>INDEX(Assumptions!$M$33:CI$33,1,MATCH(AJ$14,Assumptions!$M$29:CI$29,0))</f>
        <v>3.44E-2</v>
      </c>
      <c r="AK19" s="176">
        <f>INDEX(Assumptions!$M$33:CJ$33,1,MATCH(AK$14,Assumptions!$M$29:CJ$29,0))</f>
        <v>3.44E-2</v>
      </c>
      <c r="AL19" s="176">
        <f>INDEX(Assumptions!$M$33:CK$33,1,MATCH(AL$14,Assumptions!$M$29:CK$29,0))</f>
        <v>3.44E-2</v>
      </c>
      <c r="AM19" s="176">
        <f>INDEX(Assumptions!$M$33:CL$33,1,MATCH(AM$14,Assumptions!$M$29:CL$29,0))</f>
        <v>3.44E-2</v>
      </c>
      <c r="AN19" s="176">
        <f>INDEX(Assumptions!$M$33:CM$33,1,MATCH(AN$14,Assumptions!$M$29:CM$29,0))</f>
        <v>3.44E-2</v>
      </c>
      <c r="AO19" s="176">
        <f>INDEX(Assumptions!$M$33:CN$33,1,MATCH(AO$14,Assumptions!$M$29:CN$29,0))</f>
        <v>3.44E-2</v>
      </c>
      <c r="AP19" s="176">
        <f>INDEX(Assumptions!$M$33:CO$33,1,MATCH(AP$14,Assumptions!$M$29:CO$29,0))</f>
        <v>3.44E-2</v>
      </c>
      <c r="AQ19" s="176">
        <f>INDEX(Assumptions!$M$33:CP$33,1,MATCH(AQ$14,Assumptions!$M$29:CP$29,0))</f>
        <v>3.44E-2</v>
      </c>
      <c r="AR19" s="176">
        <f>INDEX(Assumptions!$M$33:CQ$33,1,MATCH(AR$14,Assumptions!$M$29:CQ$29,0))</f>
        <v>3.44E-2</v>
      </c>
      <c r="AS19" s="176">
        <f>INDEX(Assumptions!$M$33:CR$33,1,MATCH(AS$14,Assumptions!$M$29:CR$29,0))</f>
        <v>3.44E-2</v>
      </c>
      <c r="AT19" s="176">
        <f>INDEX(Assumptions!$M$33:CS$33,1,MATCH(AT$14,Assumptions!$M$29:CS$29,0))</f>
        <v>3.44E-2</v>
      </c>
      <c r="AU19" s="176">
        <f>INDEX(Assumptions!$M$33:CT$33,1,MATCH(AU$14,Assumptions!$M$29:CT$29,0))</f>
        <v>3.44E-2</v>
      </c>
      <c r="AV19" s="176">
        <f>INDEX(Assumptions!$M$33:CU$33,1,MATCH(AV$14,Assumptions!$M$29:CU$29,0))</f>
        <v>3.44E-2</v>
      </c>
      <c r="AW19" s="176">
        <f>INDEX(Assumptions!$M$33:CV$33,1,MATCH(AW$14,Assumptions!$M$29:CV$29,0))</f>
        <v>3.44E-2</v>
      </c>
      <c r="AX19" s="176">
        <f>INDEX(Assumptions!$M$33:CW$33,1,MATCH(AX$14,Assumptions!$M$29:CW$29,0))</f>
        <v>3.44E-2</v>
      </c>
      <c r="AY19" s="176">
        <f>INDEX(Assumptions!$M$33:CX$33,1,MATCH(AY$14,Assumptions!$M$29:CX$29,0))</f>
        <v>3.44E-2</v>
      </c>
      <c r="AZ19" s="176">
        <f>INDEX(Assumptions!$M$33:CY$33,1,MATCH(AZ$14,Assumptions!$M$29:CY$29,0))</f>
        <v>3.44E-2</v>
      </c>
      <c r="BA19" s="176">
        <f>INDEX(Assumptions!$M$33:CZ$33,1,MATCH(BA$14,Assumptions!$M$29:CZ$29,0))</f>
        <v>3.44E-2</v>
      </c>
      <c r="BB19" s="176">
        <f>INDEX(Assumptions!$M$33:DA$33,1,MATCH(BB$14,Assumptions!$M$29:DA$29,0))</f>
        <v>3.44E-2</v>
      </c>
      <c r="BC19" s="176">
        <f>INDEX(Assumptions!$M$33:DB$33,1,MATCH(BC$14,Assumptions!$M$29:DB$29,0))</f>
        <v>3.44E-2</v>
      </c>
      <c r="BD19" s="176">
        <f>INDEX(Assumptions!$M$33:DC$33,1,MATCH(BD$14,Assumptions!$M$29:DC$29,0))</f>
        <v>3.44E-2</v>
      </c>
      <c r="BE19" s="176">
        <f>INDEX(Assumptions!$M$33:DD$33,1,MATCH(BE$14,Assumptions!$M$29:DD$29,0))</f>
        <v>3.44E-2</v>
      </c>
      <c r="BF19" s="176">
        <f>INDEX(Assumptions!$M$33:DE$33,1,MATCH(BF$14,Assumptions!$M$29:DE$29,0))</f>
        <v>3.44E-2</v>
      </c>
      <c r="BG19" s="176">
        <f>INDEX(Assumptions!$M$33:DF$33,1,MATCH(BG$14,Assumptions!$M$29:DF$29,0))</f>
        <v>3.44E-2</v>
      </c>
      <c r="BH19" s="176">
        <f>INDEX(Assumptions!$M$33:DG$33,1,MATCH(BH$14,Assumptions!$M$29:DG$29,0))</f>
        <v>3.44E-2</v>
      </c>
      <c r="BI19" s="176">
        <f>INDEX(Assumptions!$M$33:DH$33,1,MATCH(BI$14,Assumptions!$M$29:DH$29,0))</f>
        <v>3.44E-2</v>
      </c>
      <c r="BJ19" s="176">
        <f>INDEX(Assumptions!$M$33:DI$33,1,MATCH(BJ$14,Assumptions!$M$29:DI$29,0))</f>
        <v>3.44E-2</v>
      </c>
      <c r="BK19" s="176">
        <f>INDEX(Assumptions!$M$33:DJ$33,1,MATCH(BK$14,Assumptions!$M$29:DJ$29,0))</f>
        <v>3.44E-2</v>
      </c>
      <c r="BL19" s="176">
        <f>INDEX(Assumptions!$M$33:DK$33,1,MATCH(BL$14,Assumptions!$M$29:DK$29,0))</f>
        <v>3.44E-2</v>
      </c>
      <c r="BM19" s="176">
        <f>INDEX(Assumptions!$M$33:DL$33,1,MATCH(BM$14,Assumptions!$M$29:DL$29,0))</f>
        <v>3.44E-2</v>
      </c>
      <c r="BN19" s="176">
        <f>INDEX(Assumptions!$M$33:DM$33,1,MATCH(BN$14,Assumptions!$M$29:DM$29,0))</f>
        <v>3.44E-2</v>
      </c>
      <c r="BO19" s="176">
        <f>INDEX(Assumptions!$M$33:DN$33,1,MATCH(BO$14,Assumptions!$M$29:DN$29,0))</f>
        <v>3.44E-2</v>
      </c>
      <c r="BP19" s="176">
        <f>INDEX(Assumptions!$M$33:DO$33,1,MATCH(BP$14,Assumptions!$M$29:DO$29,0))</f>
        <v>3.44E-2</v>
      </c>
    </row>
    <row r="20" spans="1:68" s="80" customFormat="1" ht="10.35" customHeight="1" outlineLevel="1" x14ac:dyDescent="0.2">
      <c r="D20" s="66" t="s">
        <v>332</v>
      </c>
      <c r="H20"/>
      <c r="I20"/>
      <c r="J20"/>
      <c r="K20"/>
      <c r="L20" s="112"/>
      <c r="M20" s="125"/>
      <c r="N20" s="82"/>
      <c r="O20" s="82"/>
      <c r="P20" s="82"/>
      <c r="Q20" s="82"/>
      <c r="R20" s="84">
        <v>1</v>
      </c>
      <c r="S20" s="84">
        <f>1/(1+S19)</f>
        <v>0.96674400618716161</v>
      </c>
      <c r="T20" s="84">
        <f>(1/(1+T19))*S20</f>
        <v>0.9345939734988028</v>
      </c>
      <c r="U20" s="84">
        <f t="shared" ref="U20:BP20" si="2">(1/(1+U19))*T20</f>
        <v>0.90351312209861057</v>
      </c>
      <c r="V20" s="84">
        <f t="shared" si="2"/>
        <v>0.87346589530028085</v>
      </c>
      <c r="W20" s="84">
        <f t="shared" si="2"/>
        <v>0.84441791889044937</v>
      </c>
      <c r="X20" s="84">
        <f t="shared" si="2"/>
        <v>0.81633596180437873</v>
      </c>
      <c r="Y20" s="84">
        <f t="shared" si="2"/>
        <v>0.78918789810941481</v>
      </c>
      <c r="Z20" s="84">
        <f t="shared" si="2"/>
        <v>0.76294267025272122</v>
      </c>
      <c r="AA20" s="84">
        <f t="shared" si="2"/>
        <v>0.73757025353124628</v>
      </c>
      <c r="AB20" s="84">
        <f t="shared" si="2"/>
        <v>0.71304162174327745</v>
      </c>
      <c r="AC20" s="84">
        <f t="shared" si="2"/>
        <v>0.68932871398228679</v>
      </c>
      <c r="AD20" s="84">
        <f t="shared" si="2"/>
        <v>0.66640440253508004</v>
      </c>
      <c r="AE20" s="84">
        <f t="shared" si="2"/>
        <v>0.64424246184752521</v>
      </c>
      <c r="AF20" s="84">
        <f t="shared" si="2"/>
        <v>0.62281753852235611</v>
      </c>
      <c r="AG20" s="84">
        <f t="shared" si="2"/>
        <v>0.60210512231472935</v>
      </c>
      <c r="AH20" s="84">
        <f t="shared" si="2"/>
        <v>0.58208151809235242</v>
      </c>
      <c r="AI20" s="84">
        <f t="shared" si="2"/>
        <v>0.56272381872810562</v>
      </c>
      <c r="AJ20" s="84">
        <f t="shared" si="2"/>
        <v>0.54400987889414698</v>
      </c>
      <c r="AK20" s="84">
        <f t="shared" si="2"/>
        <v>0.52591828972752031</v>
      </c>
      <c r="AL20" s="84">
        <f t="shared" si="2"/>
        <v>0.50842835433828337</v>
      </c>
      <c r="AM20" s="84">
        <f t="shared" si="2"/>
        <v>0.49152006413213783</v>
      </c>
      <c r="AN20" s="84">
        <f t="shared" si="2"/>
        <v>0.4751740759204735</v>
      </c>
      <c r="AO20" s="84">
        <f t="shared" si="2"/>
        <v>0.45937168979164106</v>
      </c>
      <c r="AP20" s="84">
        <f t="shared" si="2"/>
        <v>0.44409482771813713</v>
      </c>
      <c r="AQ20" s="84">
        <f t="shared" si="2"/>
        <v>0.42932601287522926</v>
      </c>
      <c r="AR20" s="84">
        <f t="shared" si="2"/>
        <v>0.41504834964736004</v>
      </c>
      <c r="AS20" s="84">
        <f t="shared" si="2"/>
        <v>0.40124550429945866</v>
      </c>
      <c r="AT20" s="84">
        <f t="shared" si="2"/>
        <v>0.38790168629104665</v>
      </c>
      <c r="AU20" s="84">
        <f t="shared" si="2"/>
        <v>0.37500163021176203</v>
      </c>
      <c r="AV20" s="84">
        <f t="shared" si="2"/>
        <v>0.36253057831763535</v>
      </c>
      <c r="AW20" s="84">
        <f t="shared" si="2"/>
        <v>0.35047426364813933</v>
      </c>
      <c r="AX20" s="84">
        <f t="shared" si="2"/>
        <v>0.3388188937046977</v>
      </c>
      <c r="AY20" s="84">
        <f t="shared" si="2"/>
        <v>0.32755113467198155</v>
      </c>
      <c r="AZ20" s="84">
        <f t="shared" si="2"/>
        <v>0.31665809616394192</v>
      </c>
      <c r="BA20" s="84">
        <f t="shared" si="2"/>
        <v>0.30612731647712865</v>
      </c>
      <c r="BB20" s="84">
        <f t="shared" si="2"/>
        <v>0.29594674833442441</v>
      </c>
      <c r="BC20" s="84">
        <f t="shared" si="2"/>
        <v>0.28610474510288514</v>
      </c>
      <c r="BD20" s="84">
        <f t="shared" si="2"/>
        <v>0.27659004746991989</v>
      </c>
      <c r="BE20" s="84">
        <f t="shared" si="2"/>
        <v>0.26739177056256758</v>
      </c>
      <c r="BF20" s="84">
        <f t="shared" si="2"/>
        <v>0.2584993914951349</v>
      </c>
      <c r="BG20" s="84">
        <f t="shared" si="2"/>
        <v>0.2499027373309502</v>
      </c>
      <c r="BH20" s="84">
        <f t="shared" si="2"/>
        <v>0.24159197344446073</v>
      </c>
      <c r="BI20" s="84">
        <f t="shared" si="2"/>
        <v>0.23355759227036033</v>
      </c>
      <c r="BJ20" s="84">
        <f t="shared" si="2"/>
        <v>0.22579040242687579</v>
      </c>
      <c r="BK20" s="84">
        <f t="shared" si="2"/>
        <v>0.21828151820076933</v>
      </c>
      <c r="BL20" s="84">
        <f t="shared" si="2"/>
        <v>0.21102234938202757</v>
      </c>
      <c r="BM20" s="84">
        <f t="shared" si="2"/>
        <v>0.20400459143660823</v>
      </c>
      <c r="BN20" s="84">
        <f t="shared" si="2"/>
        <v>0.19722021600600176</v>
      </c>
      <c r="BO20" s="84">
        <f t="shared" si="2"/>
        <v>0.19066146172273951</v>
      </c>
      <c r="BP20" s="84">
        <f t="shared" si="2"/>
        <v>0.18432082533134136</v>
      </c>
    </row>
    <row r="21" spans="1:68" s="80" customFormat="1" ht="10.35" customHeight="1" outlineLevel="1" x14ac:dyDescent="0.2">
      <c r="H21"/>
      <c r="I21"/>
      <c r="J21"/>
      <c r="K21"/>
      <c r="L21" s="112"/>
      <c r="M21" s="413"/>
      <c r="R21" s="83"/>
      <c r="S21" s="83"/>
      <c r="T21" s="83"/>
      <c r="U21" s="83"/>
      <c r="V21" s="83"/>
      <c r="W21" s="83"/>
      <c r="X21" s="83"/>
      <c r="Y21" s="83"/>
      <c r="Z21" s="83"/>
      <c r="AA21" s="83"/>
      <c r="AB21" s="83"/>
      <c r="AC21" s="83"/>
      <c r="AD21" s="83"/>
      <c r="AE21" s="83"/>
      <c r="AF21" s="83"/>
      <c r="AG21" s="83"/>
      <c r="AH21" s="83"/>
      <c r="AI21" s="83"/>
      <c r="AJ21" s="83"/>
      <c r="AK21" s="83"/>
      <c r="AL21" s="83"/>
      <c r="AM21" s="83"/>
      <c r="AN21" s="83"/>
      <c r="AO21" s="83"/>
      <c r="AP21" s="83"/>
      <c r="AQ21" s="83"/>
      <c r="AR21" s="83"/>
      <c r="AS21" s="83"/>
      <c r="AT21" s="83"/>
      <c r="AU21" s="83"/>
      <c r="AV21" s="83"/>
      <c r="AW21" s="83"/>
      <c r="AX21" s="83"/>
      <c r="AY21" s="83"/>
      <c r="AZ21" s="83"/>
      <c r="BA21" s="83"/>
      <c r="BB21" s="83"/>
      <c r="BC21" s="83"/>
      <c r="BD21" s="83"/>
      <c r="BE21" s="83"/>
      <c r="BF21" s="83"/>
      <c r="BG21" s="83"/>
      <c r="BH21" s="83"/>
      <c r="BI21" s="83"/>
      <c r="BJ21" s="83"/>
      <c r="BK21" s="83"/>
      <c r="BL21" s="83"/>
      <c r="BM21" s="83"/>
      <c r="BN21" s="83"/>
      <c r="BO21" s="83"/>
      <c r="BP21" s="83"/>
    </row>
    <row r="22" spans="1:68" s="80" customFormat="1" ht="10.35" customHeight="1" outlineLevel="1" x14ac:dyDescent="0.2">
      <c r="D22" s="10" t="str">
        <f>Assumptions!$C$35</f>
        <v>Customer WACC</v>
      </c>
      <c r="H22"/>
      <c r="I22"/>
      <c r="J22"/>
      <c r="K22"/>
      <c r="L22" s="112"/>
      <c r="M22" s="125"/>
      <c r="N22" s="82"/>
      <c r="O22" s="82"/>
      <c r="P22" s="82"/>
      <c r="Q22" s="313"/>
      <c r="R22" s="176">
        <f>INDEX(Assumptions!$M$39:BQ$39,1,MATCH(R$14,Assumptions!$M$35:BQ$35,0))</f>
        <v>3.44E-2</v>
      </c>
      <c r="S22" s="176">
        <f>INDEX(Assumptions!$M$39:BR$39,1,MATCH(S$14,Assumptions!$M$35:BR$35,0))</f>
        <v>3.44E-2</v>
      </c>
      <c r="T22" s="176">
        <f>INDEX(Assumptions!$M$39:BS$39,1,MATCH(T$14,Assumptions!$M$35:BS$35,0))</f>
        <v>3.44E-2</v>
      </c>
      <c r="U22" s="176">
        <f>INDEX(Assumptions!$M$39:BT$39,1,MATCH(U$14,Assumptions!$M$35:BT$35,0))</f>
        <v>3.44E-2</v>
      </c>
      <c r="V22" s="176">
        <f>INDEX(Assumptions!$M$39:BU$39,1,MATCH(V$14,Assumptions!$M$35:BU$35,0))</f>
        <v>3.44E-2</v>
      </c>
      <c r="W22" s="176">
        <f>INDEX(Assumptions!$M$39:BV$39,1,MATCH(W$14,Assumptions!$M$35:BV$35,0))</f>
        <v>3.44E-2</v>
      </c>
      <c r="X22" s="176">
        <f>INDEX(Assumptions!$M$39:BW$39,1,MATCH(X$14,Assumptions!$M$35:BW$35,0))</f>
        <v>3.44E-2</v>
      </c>
      <c r="Y22" s="176">
        <f>INDEX(Assumptions!$M$39:BX$39,1,MATCH(Y$14,Assumptions!$M$35:BX$35,0))</f>
        <v>3.44E-2</v>
      </c>
      <c r="Z22" s="176">
        <f>INDEX(Assumptions!$M$39:BY$39,1,MATCH(Z$14,Assumptions!$M$35:BY$35,0))</f>
        <v>3.44E-2</v>
      </c>
      <c r="AA22" s="176">
        <f>INDEX(Assumptions!$M$39:BZ$39,1,MATCH(AA$14,Assumptions!$M$35:BZ$35,0))</f>
        <v>3.44E-2</v>
      </c>
      <c r="AB22" s="176">
        <f>INDEX(Assumptions!$M$39:CA$39,1,MATCH(AB$14,Assumptions!$M$35:CA$35,0))</f>
        <v>3.44E-2</v>
      </c>
      <c r="AC22" s="176">
        <f>INDEX(Assumptions!$M$39:CB$39,1,MATCH(AC$14,Assumptions!$M$35:CB$35,0))</f>
        <v>3.44E-2</v>
      </c>
      <c r="AD22" s="176">
        <f>INDEX(Assumptions!$M$39:CC$39,1,MATCH(AD$14,Assumptions!$M$35:CC$35,0))</f>
        <v>3.44E-2</v>
      </c>
      <c r="AE22" s="176">
        <f>INDEX(Assumptions!$M$39:CD$39,1,MATCH(AE$14,Assumptions!$M$35:CD$35,0))</f>
        <v>3.44E-2</v>
      </c>
      <c r="AF22" s="176">
        <f>INDEX(Assumptions!$M$39:CE$39,1,MATCH(AF$14,Assumptions!$M$35:CE$35,0))</f>
        <v>3.44E-2</v>
      </c>
      <c r="AG22" s="176">
        <f>INDEX(Assumptions!$M$39:CF$39,1,MATCH(AG$14,Assumptions!$M$35:CF$35,0))</f>
        <v>3.44E-2</v>
      </c>
      <c r="AH22" s="176">
        <f>INDEX(Assumptions!$M$39:CG$39,1,MATCH(AH$14,Assumptions!$M$35:CG$35,0))</f>
        <v>3.44E-2</v>
      </c>
      <c r="AI22" s="176">
        <f>INDEX(Assumptions!$M$39:CH$39,1,MATCH(AI$14,Assumptions!$M$35:CH$35,0))</f>
        <v>3.44E-2</v>
      </c>
      <c r="AJ22" s="176">
        <f>INDEX(Assumptions!$M$39:CI$39,1,MATCH(AJ$14,Assumptions!$M$35:CI$35,0))</f>
        <v>3.44E-2</v>
      </c>
      <c r="AK22" s="176">
        <f>INDEX(Assumptions!$M$39:CJ$39,1,MATCH(AK$14,Assumptions!$M$35:CJ$35,0))</f>
        <v>3.44E-2</v>
      </c>
      <c r="AL22" s="176">
        <f>INDEX(Assumptions!$M$39:CK$39,1,MATCH(AL$14,Assumptions!$M$35:CK$35,0))</f>
        <v>3.44E-2</v>
      </c>
      <c r="AM22" s="176">
        <f>INDEX(Assumptions!$M$39:CL$39,1,MATCH(AM$14,Assumptions!$M$35:CL$35,0))</f>
        <v>3.44E-2</v>
      </c>
      <c r="AN22" s="176">
        <f>INDEX(Assumptions!$M$39:CM$39,1,MATCH(AN$14,Assumptions!$M$35:CM$35,0))</f>
        <v>3.44E-2</v>
      </c>
      <c r="AO22" s="176">
        <f>INDEX(Assumptions!$M$39:CN$39,1,MATCH(AO$14,Assumptions!$M$35:CN$35,0))</f>
        <v>3.44E-2</v>
      </c>
      <c r="AP22" s="176">
        <f>INDEX(Assumptions!$M$39:CO$39,1,MATCH(AP$14,Assumptions!$M$35:CO$35,0))</f>
        <v>3.44E-2</v>
      </c>
      <c r="AQ22" s="176">
        <f>INDEX(Assumptions!$M$39:CP$39,1,MATCH(AQ$14,Assumptions!$M$35:CP$35,0))</f>
        <v>3.44E-2</v>
      </c>
      <c r="AR22" s="176">
        <f>INDEX(Assumptions!$M$39:CQ$39,1,MATCH(AR$14,Assumptions!$M$35:CQ$35,0))</f>
        <v>3.44E-2</v>
      </c>
      <c r="AS22" s="176">
        <f>INDEX(Assumptions!$M$39:CR$39,1,MATCH(AS$14,Assumptions!$M$35:CR$35,0))</f>
        <v>3.44E-2</v>
      </c>
      <c r="AT22" s="176">
        <f>INDEX(Assumptions!$M$39:CS$39,1,MATCH(AT$14,Assumptions!$M$35:CS$35,0))</f>
        <v>3.44E-2</v>
      </c>
      <c r="AU22" s="176">
        <f>INDEX(Assumptions!$M$39:CT$39,1,MATCH(AU$14,Assumptions!$M$35:CT$35,0))</f>
        <v>3.44E-2</v>
      </c>
      <c r="AV22" s="176">
        <f>INDEX(Assumptions!$M$39:CU$39,1,MATCH(AV$14,Assumptions!$M$35:CU$35,0))</f>
        <v>3.44E-2</v>
      </c>
      <c r="AW22" s="176">
        <f>INDEX(Assumptions!$M$39:CV$39,1,MATCH(AW$14,Assumptions!$M$35:CV$35,0))</f>
        <v>3.44E-2</v>
      </c>
      <c r="AX22" s="176">
        <f>INDEX(Assumptions!$M$39:CW$39,1,MATCH(AX$14,Assumptions!$M$35:CW$35,0))</f>
        <v>3.44E-2</v>
      </c>
      <c r="AY22" s="176">
        <f>INDEX(Assumptions!$M$39:CX$39,1,MATCH(AY$14,Assumptions!$M$35:CX$35,0))</f>
        <v>3.44E-2</v>
      </c>
      <c r="AZ22" s="176">
        <f>INDEX(Assumptions!$M$39:CY$39,1,MATCH(AZ$14,Assumptions!$M$35:CY$35,0))</f>
        <v>3.44E-2</v>
      </c>
      <c r="BA22" s="176">
        <f>INDEX(Assumptions!$M$39:CZ$39,1,MATCH(BA$14,Assumptions!$M$35:CZ$35,0))</f>
        <v>3.44E-2</v>
      </c>
      <c r="BB22" s="176">
        <f>INDEX(Assumptions!$M$39:DA$39,1,MATCH(BB$14,Assumptions!$M$35:DA$35,0))</f>
        <v>3.44E-2</v>
      </c>
      <c r="BC22" s="176">
        <f>INDEX(Assumptions!$M$39:DB$39,1,MATCH(BC$14,Assumptions!$M$35:DB$35,0))</f>
        <v>3.44E-2</v>
      </c>
      <c r="BD22" s="176">
        <f>INDEX(Assumptions!$M$39:DC$39,1,MATCH(BD$14,Assumptions!$M$35:DC$35,0))</f>
        <v>3.44E-2</v>
      </c>
      <c r="BE22" s="176">
        <f>INDEX(Assumptions!$M$39:DD$39,1,MATCH(BE$14,Assumptions!$M$35:DD$35,0))</f>
        <v>3.44E-2</v>
      </c>
      <c r="BF22" s="176">
        <f>INDEX(Assumptions!$M$39:DE$39,1,MATCH(BF$14,Assumptions!$M$35:DE$35,0))</f>
        <v>3.44E-2</v>
      </c>
      <c r="BG22" s="176">
        <f>INDEX(Assumptions!$M$39:DF$39,1,MATCH(BG$14,Assumptions!$M$35:DF$35,0))</f>
        <v>3.44E-2</v>
      </c>
      <c r="BH22" s="176">
        <f>INDEX(Assumptions!$M$39:DG$39,1,MATCH(BH$14,Assumptions!$M$35:DG$35,0))</f>
        <v>3.44E-2</v>
      </c>
      <c r="BI22" s="176">
        <f>INDEX(Assumptions!$M$39:DH$39,1,MATCH(BI$14,Assumptions!$M$35:DH$35,0))</f>
        <v>3.44E-2</v>
      </c>
      <c r="BJ22" s="176">
        <f>INDEX(Assumptions!$M$39:DI$39,1,MATCH(BJ$14,Assumptions!$M$35:DI$35,0))</f>
        <v>3.44E-2</v>
      </c>
      <c r="BK22" s="176">
        <f>INDEX(Assumptions!$M$39:DJ$39,1,MATCH(BK$14,Assumptions!$M$35:DJ$35,0))</f>
        <v>3.44E-2</v>
      </c>
      <c r="BL22" s="176">
        <f>INDEX(Assumptions!$M$39:DK$39,1,MATCH(BL$14,Assumptions!$M$35:DK$35,0))</f>
        <v>3.44E-2</v>
      </c>
      <c r="BM22" s="176">
        <f>INDEX(Assumptions!$M$39:DL$39,1,MATCH(BM$14,Assumptions!$M$35:DL$35,0))</f>
        <v>3.44E-2</v>
      </c>
      <c r="BN22" s="176">
        <f>INDEX(Assumptions!$M$39:DM$39,1,MATCH(BN$14,Assumptions!$M$35:DM$35,0))</f>
        <v>3.44E-2</v>
      </c>
      <c r="BO22" s="176">
        <f>INDEX(Assumptions!$M$39:DN$39,1,MATCH(BO$14,Assumptions!$M$35:DN$35,0))</f>
        <v>3.44E-2</v>
      </c>
      <c r="BP22" s="176">
        <f>INDEX(Assumptions!$M$39:DO$39,1,MATCH(BP$14,Assumptions!$M$35:DO$35,0))</f>
        <v>3.44E-2</v>
      </c>
    </row>
    <row r="23" spans="1:68" s="80" customFormat="1" ht="10.35" customHeight="1" outlineLevel="1" x14ac:dyDescent="0.2">
      <c r="D23" s="66" t="s">
        <v>333</v>
      </c>
      <c r="H23"/>
      <c r="I23"/>
      <c r="J23"/>
      <c r="K23"/>
      <c r="L23" s="112"/>
      <c r="M23" s="125"/>
      <c r="N23" s="82"/>
      <c r="O23" s="82"/>
      <c r="P23" s="82"/>
      <c r="Q23" s="82"/>
      <c r="R23" s="84">
        <v>1</v>
      </c>
      <c r="S23" s="84">
        <f>1/(1+S22)</f>
        <v>0.96674400618716161</v>
      </c>
      <c r="T23" s="84">
        <f>(1/(1+T22))*S23</f>
        <v>0.9345939734988028</v>
      </c>
      <c r="U23" s="84">
        <f t="shared" ref="U23" si="3">(1/(1+U22))*T23</f>
        <v>0.90351312209861057</v>
      </c>
      <c r="V23" s="84">
        <f t="shared" ref="V23" si="4">(1/(1+V22))*U23</f>
        <v>0.87346589530028085</v>
      </c>
      <c r="W23" s="84">
        <f t="shared" ref="W23" si="5">(1/(1+W22))*V23</f>
        <v>0.84441791889044937</v>
      </c>
      <c r="X23" s="84">
        <f t="shared" ref="X23" si="6">(1/(1+X22))*W23</f>
        <v>0.81633596180437873</v>
      </c>
      <c r="Y23" s="84">
        <f t="shared" ref="Y23" si="7">(1/(1+Y22))*X23</f>
        <v>0.78918789810941481</v>
      </c>
      <c r="Z23" s="84">
        <f t="shared" ref="Z23" si="8">(1/(1+Z22))*Y23</f>
        <v>0.76294267025272122</v>
      </c>
      <c r="AA23" s="84">
        <f t="shared" ref="AA23" si="9">(1/(1+AA22))*Z23</f>
        <v>0.73757025353124628</v>
      </c>
      <c r="AB23" s="84">
        <f t="shared" ref="AB23" si="10">(1/(1+AB22))*AA23</f>
        <v>0.71304162174327745</v>
      </c>
      <c r="AC23" s="84">
        <f t="shared" ref="AC23" si="11">(1/(1+AC22))*AB23</f>
        <v>0.68932871398228679</v>
      </c>
      <c r="AD23" s="84">
        <f t="shared" ref="AD23" si="12">(1/(1+AD22))*AC23</f>
        <v>0.66640440253508004</v>
      </c>
      <c r="AE23" s="84">
        <f t="shared" ref="AE23" si="13">(1/(1+AE22))*AD23</f>
        <v>0.64424246184752521</v>
      </c>
      <c r="AF23" s="84">
        <f t="shared" ref="AF23" si="14">(1/(1+AF22))*AE23</f>
        <v>0.62281753852235611</v>
      </c>
      <c r="AG23" s="84">
        <f t="shared" ref="AG23" si="15">(1/(1+AG22))*AF23</f>
        <v>0.60210512231472935</v>
      </c>
      <c r="AH23" s="84">
        <f t="shared" ref="AH23" si="16">(1/(1+AH22))*AG23</f>
        <v>0.58208151809235242</v>
      </c>
      <c r="AI23" s="84">
        <f t="shared" ref="AI23" si="17">(1/(1+AI22))*AH23</f>
        <v>0.56272381872810562</v>
      </c>
      <c r="AJ23" s="84">
        <f t="shared" ref="AJ23" si="18">(1/(1+AJ22))*AI23</f>
        <v>0.54400987889414698</v>
      </c>
      <c r="AK23" s="84">
        <f t="shared" ref="AK23" si="19">(1/(1+AK22))*AJ23</f>
        <v>0.52591828972752031</v>
      </c>
      <c r="AL23" s="84">
        <f t="shared" ref="AL23" si="20">(1/(1+AL22))*AK23</f>
        <v>0.50842835433828337</v>
      </c>
      <c r="AM23" s="84">
        <f t="shared" ref="AM23" si="21">(1/(1+AM22))*AL23</f>
        <v>0.49152006413213783</v>
      </c>
      <c r="AN23" s="84">
        <f t="shared" ref="AN23" si="22">(1/(1+AN22))*AM23</f>
        <v>0.4751740759204735</v>
      </c>
      <c r="AO23" s="84">
        <f t="shared" ref="AO23" si="23">(1/(1+AO22))*AN23</f>
        <v>0.45937168979164106</v>
      </c>
      <c r="AP23" s="84">
        <f t="shared" ref="AP23" si="24">(1/(1+AP22))*AO23</f>
        <v>0.44409482771813713</v>
      </c>
      <c r="AQ23" s="84">
        <f t="shared" ref="AQ23" si="25">(1/(1+AQ22))*AP23</f>
        <v>0.42932601287522926</v>
      </c>
      <c r="AR23" s="84">
        <f t="shared" ref="AR23" si="26">(1/(1+AR22))*AQ23</f>
        <v>0.41504834964736004</v>
      </c>
      <c r="AS23" s="84">
        <f t="shared" ref="AS23" si="27">(1/(1+AS22))*AR23</f>
        <v>0.40124550429945866</v>
      </c>
      <c r="AT23" s="84">
        <f t="shared" ref="AT23" si="28">(1/(1+AT22))*AS23</f>
        <v>0.38790168629104665</v>
      </c>
      <c r="AU23" s="84">
        <f t="shared" ref="AU23" si="29">(1/(1+AU22))*AT23</f>
        <v>0.37500163021176203</v>
      </c>
      <c r="AV23" s="84">
        <f t="shared" ref="AV23" si="30">(1/(1+AV22))*AU23</f>
        <v>0.36253057831763535</v>
      </c>
      <c r="AW23" s="84">
        <f t="shared" ref="AW23" si="31">(1/(1+AW22))*AV23</f>
        <v>0.35047426364813933</v>
      </c>
      <c r="AX23" s="84">
        <f t="shared" ref="AX23" si="32">(1/(1+AX22))*AW23</f>
        <v>0.3388188937046977</v>
      </c>
      <c r="AY23" s="84">
        <f t="shared" ref="AY23" si="33">(1/(1+AY22))*AX23</f>
        <v>0.32755113467198155</v>
      </c>
      <c r="AZ23" s="84">
        <f t="shared" ref="AZ23" si="34">(1/(1+AZ22))*AY23</f>
        <v>0.31665809616394192</v>
      </c>
      <c r="BA23" s="84">
        <f t="shared" ref="BA23" si="35">(1/(1+BA22))*AZ23</f>
        <v>0.30612731647712865</v>
      </c>
      <c r="BB23" s="84">
        <f t="shared" ref="BB23" si="36">(1/(1+BB22))*BA23</f>
        <v>0.29594674833442441</v>
      </c>
      <c r="BC23" s="84">
        <f t="shared" ref="BC23" si="37">(1/(1+BC22))*BB23</f>
        <v>0.28610474510288514</v>
      </c>
      <c r="BD23" s="84">
        <f t="shared" ref="BD23" si="38">(1/(1+BD22))*BC23</f>
        <v>0.27659004746991989</v>
      </c>
      <c r="BE23" s="84">
        <f t="shared" ref="BE23" si="39">(1/(1+BE22))*BD23</f>
        <v>0.26739177056256758</v>
      </c>
      <c r="BF23" s="84">
        <f t="shared" ref="BF23" si="40">(1/(1+BF22))*BE23</f>
        <v>0.2584993914951349</v>
      </c>
      <c r="BG23" s="84">
        <f t="shared" ref="BG23" si="41">(1/(1+BG22))*BF23</f>
        <v>0.2499027373309502</v>
      </c>
      <c r="BH23" s="84">
        <f t="shared" ref="BH23" si="42">(1/(1+BH22))*BG23</f>
        <v>0.24159197344446073</v>
      </c>
      <c r="BI23" s="84">
        <f t="shared" ref="BI23" si="43">(1/(1+BI22))*BH23</f>
        <v>0.23355759227036033</v>
      </c>
      <c r="BJ23" s="84">
        <f t="shared" ref="BJ23" si="44">(1/(1+BJ22))*BI23</f>
        <v>0.22579040242687579</v>
      </c>
      <c r="BK23" s="84">
        <f t="shared" ref="BK23" si="45">(1/(1+BK22))*BJ23</f>
        <v>0.21828151820076933</v>
      </c>
      <c r="BL23" s="84">
        <f t="shared" ref="BL23" si="46">(1/(1+BL22))*BK23</f>
        <v>0.21102234938202757</v>
      </c>
      <c r="BM23" s="84">
        <f t="shared" ref="BM23" si="47">(1/(1+BM22))*BL23</f>
        <v>0.20400459143660823</v>
      </c>
      <c r="BN23" s="84">
        <f t="shared" ref="BN23" si="48">(1/(1+BN22))*BM23</f>
        <v>0.19722021600600176</v>
      </c>
      <c r="BO23" s="84">
        <f t="shared" ref="BO23" si="49">(1/(1+BO22))*BN23</f>
        <v>0.19066146172273951</v>
      </c>
      <c r="BP23" s="84">
        <f t="shared" ref="BP23" si="50">(1/(1+BP22))*BO23</f>
        <v>0.18432082533134136</v>
      </c>
    </row>
    <row r="24" spans="1:68" s="80" customFormat="1" ht="10.35" customHeight="1" outlineLevel="1" x14ac:dyDescent="0.2">
      <c r="H24"/>
      <c r="I24"/>
      <c r="J24"/>
      <c r="K24"/>
      <c r="L24" s="112"/>
      <c r="M24" s="413"/>
      <c r="R24" s="83"/>
      <c r="S24" s="83"/>
      <c r="T24" s="83"/>
      <c r="U24" s="83"/>
      <c r="V24" s="83"/>
      <c r="W24" s="83"/>
      <c r="X24" s="83"/>
      <c r="Y24" s="83"/>
      <c r="Z24" s="83"/>
      <c r="AA24" s="83"/>
      <c r="AB24" s="83"/>
      <c r="AC24" s="83"/>
      <c r="AD24" s="83"/>
      <c r="AE24" s="83"/>
      <c r="AF24" s="83"/>
      <c r="AG24" s="83"/>
      <c r="AH24" s="83"/>
      <c r="AI24" s="83"/>
      <c r="AJ24" s="83"/>
      <c r="AK24" s="83"/>
      <c r="AL24" s="83"/>
      <c r="AM24" s="83"/>
      <c r="AN24" s="83"/>
      <c r="AO24" s="83"/>
      <c r="AP24" s="83"/>
      <c r="AQ24" s="83"/>
      <c r="AR24" s="83"/>
      <c r="AS24" s="83"/>
      <c r="AT24" s="83"/>
      <c r="AU24" s="83"/>
      <c r="AV24" s="83"/>
      <c r="AW24" s="83"/>
      <c r="AX24" s="83"/>
      <c r="AY24" s="83"/>
      <c r="AZ24" s="83"/>
      <c r="BA24" s="83"/>
      <c r="BB24" s="83"/>
      <c r="BC24" s="83"/>
      <c r="BD24" s="83"/>
      <c r="BE24" s="83"/>
      <c r="BF24" s="83"/>
      <c r="BG24" s="83"/>
      <c r="BH24" s="83"/>
      <c r="BI24" s="83"/>
      <c r="BJ24" s="83"/>
      <c r="BK24" s="83"/>
      <c r="BL24" s="83"/>
      <c r="BM24" s="83"/>
      <c r="BN24" s="83"/>
      <c r="BO24" s="83"/>
      <c r="BP24" s="83"/>
    </row>
    <row r="25" spans="1:68" ht="10.35" customHeight="1" outlineLevel="1" x14ac:dyDescent="0.2">
      <c r="A25" s="80"/>
      <c r="B25" s="80"/>
      <c r="C25" s="80"/>
      <c r="D25" s="10" t="str">
        <f>Assumptions!$C$26</f>
        <v>Inflation rate</v>
      </c>
      <c r="E25" s="80"/>
      <c r="F25" s="80"/>
      <c r="G25" s="80"/>
      <c r="H25" s="80"/>
      <c r="I25" s="80"/>
      <c r="J25" s="80"/>
      <c r="K25" s="80"/>
      <c r="L25" s="412"/>
      <c r="M25" s="451">
        <f>INDEX(Assumptions!$M$26:$BQ$26,MATCH(M$14,Assumptions!$M$24:$BQ$24,0))</f>
        <v>1.9300000000000001E-2</v>
      </c>
      <c r="N25" s="452">
        <f>INDEX(Assumptions!$M$26:$BQ$26,MATCH(N$14,Assumptions!$M$24:$BQ$24,0))</f>
        <v>2.0799999999999999E-2</v>
      </c>
      <c r="O25" s="452">
        <f>INDEX(Assumptions!$M$26:$BQ$26,MATCH(O$14,Assumptions!$M$24:$BQ$24,0))</f>
        <v>1.5900000000000001E-2</v>
      </c>
      <c r="P25" s="452">
        <f>INDEX(Assumptions!$M$26:$BQ$26,MATCH(P$14,Assumptions!$M$24:$BQ$24,0))</f>
        <v>-3.5000000000000001E-3</v>
      </c>
      <c r="Q25" s="452">
        <f>INDEX(Assumptions!$M$26:$BQ$26,MATCH(Q$14,Assumptions!$M$24:$BQ$24,0))</f>
        <v>3.85E-2</v>
      </c>
      <c r="R25" s="452">
        <f>INDEX(Assumptions!$M$26:$BQ$26,MATCH(R$14,Assumptions!$M$24:$BQ$24,0))</f>
        <v>0</v>
      </c>
      <c r="S25" s="82"/>
      <c r="T25" s="82"/>
      <c r="U25" s="82"/>
      <c r="V25" s="82"/>
      <c r="W25" s="82"/>
      <c r="X25" s="82"/>
      <c r="Y25" s="82"/>
      <c r="Z25" s="82"/>
      <c r="AA25" s="82"/>
      <c r="AB25" s="82"/>
      <c r="AC25" s="82"/>
      <c r="AD25" s="82"/>
      <c r="AE25" s="82"/>
      <c r="AF25" s="82"/>
      <c r="AG25" s="82"/>
      <c r="AH25" s="82"/>
      <c r="AI25" s="82"/>
      <c r="AJ25" s="82"/>
      <c r="AK25" s="82"/>
      <c r="AL25" s="82"/>
      <c r="AM25" s="82"/>
      <c r="AN25" s="82"/>
      <c r="AO25" s="82"/>
      <c r="AP25" s="82"/>
      <c r="AQ25" s="82"/>
      <c r="AR25" s="82"/>
      <c r="AS25" s="82"/>
      <c r="AT25" s="82"/>
      <c r="AU25" s="82"/>
      <c r="AV25" s="82"/>
      <c r="AW25" s="82"/>
      <c r="AX25" s="82"/>
      <c r="AY25" s="82"/>
      <c r="AZ25" s="82"/>
      <c r="BA25" s="82"/>
      <c r="BB25" s="82"/>
      <c r="BC25" s="82"/>
      <c r="BD25" s="82"/>
      <c r="BE25" s="82"/>
      <c r="BF25" s="82"/>
      <c r="BG25" s="82"/>
      <c r="BH25" s="82"/>
      <c r="BI25" s="82"/>
      <c r="BJ25" s="82"/>
      <c r="BK25" s="82"/>
      <c r="BL25" s="82"/>
      <c r="BM25" s="82"/>
      <c r="BN25" s="82"/>
      <c r="BO25" s="82"/>
      <c r="BP25" s="82"/>
    </row>
    <row r="26" spans="1:68" ht="10.35" customHeight="1" outlineLevel="1" x14ac:dyDescent="0.2">
      <c r="A26" s="80"/>
      <c r="B26" s="80"/>
      <c r="C26" s="80"/>
      <c r="D26" s="66" t="s">
        <v>334</v>
      </c>
      <c r="E26" s="80"/>
      <c r="F26" s="80"/>
      <c r="G26" s="80"/>
      <c r="H26" s="80"/>
      <c r="I26" s="80"/>
      <c r="J26" s="80"/>
      <c r="K26" s="80"/>
      <c r="L26" s="412"/>
      <c r="M26" s="453">
        <f>(1+M25)*N26</f>
        <v>1.0938995654779722</v>
      </c>
      <c r="N26" s="454">
        <f>(1+N25)*O26</f>
        <v>1.0731870553104799</v>
      </c>
      <c r="O26" s="454">
        <f>(1+O25)*P26</f>
        <v>1.051319607475</v>
      </c>
      <c r="P26" s="454">
        <f>(1+P25)*Q26</f>
        <v>1.03486525</v>
      </c>
      <c r="Q26" s="454">
        <f>(1+Q25)*R26</f>
        <v>1.0385</v>
      </c>
      <c r="R26" s="454">
        <f>(1+R25)</f>
        <v>1</v>
      </c>
      <c r="S26" s="82"/>
      <c r="T26" s="82"/>
      <c r="U26" s="82"/>
      <c r="V26" s="82"/>
      <c r="W26" s="82"/>
      <c r="X26" s="82"/>
      <c r="Y26" s="82"/>
      <c r="Z26" s="82"/>
      <c r="AA26" s="82"/>
      <c r="AB26" s="82"/>
      <c r="AC26" s="82"/>
      <c r="AD26" s="82"/>
      <c r="AE26" s="82"/>
      <c r="AF26" s="82"/>
      <c r="AG26" s="82"/>
      <c r="AH26" s="82"/>
      <c r="AI26" s="82"/>
      <c r="AJ26" s="82"/>
      <c r="AK26" s="82"/>
      <c r="AL26" s="82"/>
      <c r="AM26" s="82"/>
      <c r="AN26" s="82"/>
      <c r="AO26" s="82"/>
      <c r="AP26" s="82"/>
      <c r="AQ26" s="82"/>
      <c r="AR26" s="82"/>
      <c r="AS26" s="82"/>
      <c r="AT26" s="82"/>
      <c r="AU26" s="82"/>
      <c r="AV26" s="82"/>
      <c r="AW26" s="82"/>
      <c r="AX26" s="82"/>
      <c r="AY26" s="82"/>
      <c r="AZ26" s="82"/>
      <c r="BA26" s="82"/>
      <c r="BB26" s="82"/>
      <c r="BC26" s="82"/>
      <c r="BD26" s="82"/>
      <c r="BE26" s="82"/>
      <c r="BF26" s="82"/>
      <c r="BG26" s="82"/>
      <c r="BH26" s="82"/>
      <c r="BI26" s="82"/>
      <c r="BJ26" s="82"/>
      <c r="BK26" s="82"/>
      <c r="BL26" s="82"/>
      <c r="BM26" s="82"/>
      <c r="BN26" s="82"/>
      <c r="BO26" s="82"/>
      <c r="BP26" s="82"/>
    </row>
    <row r="27" spans="1:68" ht="10.35" customHeight="1" outlineLevel="1" x14ac:dyDescent="0.2">
      <c r="A27" s="80"/>
      <c r="B27" s="80"/>
      <c r="C27" s="80"/>
      <c r="D27" s="10"/>
      <c r="E27" s="80"/>
      <c r="F27" s="80"/>
      <c r="G27" s="80"/>
      <c r="H27" s="80"/>
      <c r="I27" s="80"/>
      <c r="J27" s="80"/>
      <c r="K27" s="80"/>
      <c r="L27" s="412"/>
      <c r="M27" s="413"/>
      <c r="N27" s="80"/>
      <c r="O27" s="80"/>
      <c r="P27" s="80"/>
      <c r="Q27" s="80"/>
      <c r="R27" s="29"/>
      <c r="S27" s="29"/>
      <c r="T27" s="29"/>
      <c r="U27" s="29"/>
      <c r="V27" s="29"/>
      <c r="W27" s="29"/>
      <c r="X27" s="29"/>
      <c r="Y27" s="29"/>
      <c r="Z27" s="29"/>
      <c r="AA27" s="29"/>
      <c r="AB27" s="29"/>
      <c r="AC27" s="29"/>
      <c r="AD27" s="29"/>
      <c r="AE27" s="29"/>
      <c r="AF27" s="29"/>
      <c r="AG27" s="29"/>
      <c r="AH27" s="29"/>
      <c r="AI27" s="29"/>
      <c r="AJ27" s="29"/>
      <c r="AK27" s="29"/>
      <c r="AL27" s="29"/>
      <c r="AM27" s="29"/>
      <c r="AN27" s="29"/>
      <c r="AO27" s="29"/>
      <c r="AP27" s="29"/>
      <c r="AQ27" s="29"/>
      <c r="AR27" s="29"/>
      <c r="AS27" s="29"/>
      <c r="AT27" s="29"/>
      <c r="AU27" s="29"/>
      <c r="AV27" s="29"/>
      <c r="AW27" s="29"/>
      <c r="AX27" s="29"/>
      <c r="AY27" s="29"/>
      <c r="AZ27" s="29"/>
      <c r="BA27" s="29"/>
      <c r="BB27" s="29"/>
      <c r="BC27" s="29"/>
      <c r="BD27" s="29"/>
      <c r="BE27" s="29"/>
      <c r="BF27" s="29"/>
      <c r="BG27" s="29"/>
      <c r="BH27" s="29"/>
      <c r="BI27" s="29"/>
      <c r="BJ27" s="29"/>
      <c r="BK27" s="29"/>
      <c r="BL27" s="29"/>
      <c r="BM27" s="29"/>
      <c r="BN27" s="29"/>
      <c r="BO27" s="29"/>
      <c r="BP27" s="29"/>
    </row>
    <row r="28" spans="1:68" ht="10.35" customHeight="1" outlineLevel="1" x14ac:dyDescent="0.2">
      <c r="A28" s="80"/>
      <c r="B28" s="80"/>
      <c r="C28" s="80"/>
      <c r="D28" s="10" t="s">
        <v>111</v>
      </c>
      <c r="E28" s="80"/>
      <c r="F28" s="80"/>
      <c r="G28" s="80"/>
      <c r="H28" s="80"/>
      <c r="I28" s="80"/>
      <c r="J28" s="80"/>
      <c r="K28" s="80"/>
      <c r="L28" s="412"/>
      <c r="M28" s="413"/>
      <c r="N28" s="80"/>
      <c r="O28" s="80"/>
      <c r="P28" s="80"/>
      <c r="Q28" s="80"/>
      <c r="R28" s="29"/>
      <c r="S28" s="29"/>
      <c r="T28" s="29"/>
      <c r="U28" s="29"/>
      <c r="V28" s="29"/>
      <c r="W28" s="29"/>
      <c r="X28" s="29"/>
      <c r="Y28" s="29"/>
      <c r="Z28" s="29"/>
      <c r="AA28" s="29"/>
      <c r="AB28" s="29"/>
      <c r="AC28" s="29"/>
      <c r="AD28" s="29"/>
      <c r="AE28" s="29"/>
      <c r="AF28" s="29"/>
      <c r="AG28" s="29"/>
      <c r="AH28" s="29"/>
      <c r="AI28" s="29"/>
      <c r="AJ28" s="29"/>
      <c r="AK28" s="29"/>
      <c r="AL28" s="29"/>
      <c r="AM28" s="29"/>
      <c r="AN28" s="29"/>
      <c r="AO28" s="29"/>
      <c r="AP28" s="29"/>
      <c r="AQ28" s="29"/>
      <c r="AR28" s="29"/>
      <c r="AS28" s="29"/>
      <c r="AT28" s="29"/>
      <c r="AU28" s="29"/>
      <c r="AV28" s="29"/>
      <c r="AW28" s="29"/>
      <c r="AX28" s="29"/>
      <c r="AY28" s="29"/>
      <c r="AZ28" s="29"/>
      <c r="BA28" s="29"/>
      <c r="BB28" s="29"/>
      <c r="BC28" s="29"/>
      <c r="BD28" s="29"/>
      <c r="BE28" s="29"/>
      <c r="BF28" s="29"/>
      <c r="BG28" s="29"/>
      <c r="BH28" s="29"/>
      <c r="BI28" s="29"/>
      <c r="BJ28" s="29"/>
      <c r="BK28" s="29"/>
      <c r="BL28" s="29"/>
      <c r="BM28" s="29"/>
      <c r="BN28" s="29"/>
      <c r="BO28" s="29"/>
      <c r="BP28" s="29"/>
    </row>
    <row r="29" spans="1:68" ht="10.35" customHeight="1" outlineLevel="1" x14ac:dyDescent="0.2">
      <c r="A29" s="80"/>
      <c r="B29" s="80"/>
      <c r="C29" s="80"/>
      <c r="D29" s="66" t="s">
        <v>335</v>
      </c>
      <c r="E29" s="80"/>
      <c r="F29" s="80"/>
      <c r="G29" s="80"/>
      <c r="H29" s="80"/>
      <c r="I29" s="80"/>
      <c r="J29" s="80"/>
      <c r="K29" s="80"/>
      <c r="L29" s="412"/>
      <c r="M29" s="437">
        <f>Input!M116</f>
        <v>0</v>
      </c>
      <c r="N29" s="401">
        <f>Input!N116</f>
        <v>0</v>
      </c>
      <c r="O29" s="401">
        <f>Input!O116</f>
        <v>0</v>
      </c>
      <c r="P29" s="401">
        <f>Input!P116</f>
        <v>0</v>
      </c>
      <c r="Q29" s="401">
        <f>Input!Q116</f>
        <v>0</v>
      </c>
      <c r="R29" s="29"/>
      <c r="S29" s="29"/>
      <c r="T29" s="29"/>
      <c r="U29" s="29"/>
      <c r="V29" s="29"/>
      <c r="W29" s="29"/>
      <c r="X29" s="29"/>
      <c r="Y29" s="29"/>
      <c r="Z29" s="29"/>
      <c r="AA29" s="29"/>
      <c r="AB29" s="29"/>
      <c r="AC29" s="29"/>
      <c r="AD29" s="29"/>
      <c r="AE29" s="29"/>
      <c r="AF29" s="29"/>
      <c r="AG29" s="29"/>
      <c r="AH29" s="29"/>
      <c r="AI29" s="29"/>
      <c r="AJ29" s="29"/>
      <c r="AK29" s="29"/>
      <c r="AL29" s="29"/>
      <c r="AM29" s="29"/>
      <c r="AN29" s="29"/>
      <c r="AO29" s="29"/>
      <c r="AP29" s="29"/>
      <c r="AQ29" s="29"/>
      <c r="AR29" s="29"/>
      <c r="AS29" s="29"/>
      <c r="AT29" s="29"/>
      <c r="AU29" s="29"/>
      <c r="AV29" s="29"/>
      <c r="AW29" s="29"/>
      <c r="AX29" s="29"/>
      <c r="AY29" s="29"/>
      <c r="AZ29" s="29"/>
      <c r="BA29" s="29"/>
      <c r="BB29" s="29"/>
      <c r="BC29" s="29"/>
      <c r="BD29" s="29"/>
      <c r="BE29" s="29"/>
      <c r="BF29" s="29"/>
      <c r="BG29" s="29"/>
      <c r="BH29" s="29"/>
      <c r="BI29" s="29"/>
      <c r="BJ29" s="29"/>
      <c r="BK29" s="29"/>
      <c r="BL29" s="29"/>
      <c r="BM29" s="29"/>
      <c r="BN29" s="29"/>
      <c r="BO29" s="29"/>
      <c r="BP29" s="29"/>
    </row>
    <row r="30" spans="1:68" ht="10.35" customHeight="1" outlineLevel="1" x14ac:dyDescent="0.2">
      <c r="A30" s="80"/>
      <c r="B30" s="80"/>
      <c r="C30" s="80"/>
      <c r="D30" s="66" t="s">
        <v>336</v>
      </c>
      <c r="E30" s="80"/>
      <c r="F30" s="80"/>
      <c r="G30" s="80"/>
      <c r="H30" s="80"/>
      <c r="I30" s="80"/>
      <c r="J30" s="80"/>
      <c r="K30" s="455"/>
      <c r="L30" s="456">
        <f>SUM(M30:Q30)</f>
        <v>0</v>
      </c>
      <c r="M30" s="437">
        <f t="shared" ref="M30:P30" si="51">M29*N26</f>
        <v>0</v>
      </c>
      <c r="N30" s="401">
        <f t="shared" si="51"/>
        <v>0</v>
      </c>
      <c r="O30" s="401">
        <f t="shared" si="51"/>
        <v>0</v>
      </c>
      <c r="P30" s="401">
        <f t="shared" si="51"/>
        <v>0</v>
      </c>
      <c r="Q30" s="401">
        <f>Q29*R26</f>
        <v>0</v>
      </c>
      <c r="R30" s="82">
        <f>SUM(M30:Q30)</f>
        <v>0</v>
      </c>
      <c r="S30" s="82"/>
      <c r="T30" s="82"/>
      <c r="U30" s="82"/>
      <c r="V30" s="82"/>
      <c r="W30" s="82"/>
      <c r="X30" s="82"/>
      <c r="Y30" s="82"/>
      <c r="Z30" s="82"/>
      <c r="AA30" s="82"/>
      <c r="AB30" s="82"/>
      <c r="AC30" s="82"/>
      <c r="AD30" s="82"/>
      <c r="AE30" s="82"/>
      <c r="AF30" s="82"/>
      <c r="AG30" s="82"/>
      <c r="AH30" s="82"/>
      <c r="AI30" s="82"/>
      <c r="AJ30" s="82"/>
      <c r="AK30" s="82"/>
      <c r="AL30" s="82"/>
      <c r="AM30" s="82"/>
      <c r="AN30" s="82"/>
      <c r="AO30" s="82"/>
      <c r="AP30" s="82"/>
      <c r="AQ30" s="82"/>
      <c r="AR30" s="82"/>
      <c r="AS30" s="82"/>
      <c r="AT30" s="82"/>
      <c r="AU30" s="82"/>
      <c r="AV30" s="82"/>
      <c r="AW30" s="82"/>
      <c r="AX30" s="82"/>
      <c r="AY30" s="82"/>
      <c r="AZ30" s="82"/>
      <c r="BA30" s="82"/>
      <c r="BB30" s="82"/>
      <c r="BC30" s="82"/>
      <c r="BD30" s="82"/>
      <c r="BE30" s="82"/>
      <c r="BF30" s="82"/>
      <c r="BG30" s="82"/>
      <c r="BH30" s="82"/>
      <c r="BI30" s="82"/>
      <c r="BJ30" s="82"/>
      <c r="BK30" s="82"/>
      <c r="BL30" s="82"/>
      <c r="BM30" s="82"/>
      <c r="BN30" s="82"/>
      <c r="BO30" s="82"/>
      <c r="BP30" s="82"/>
    </row>
    <row r="31" spans="1:68" ht="10.35" customHeight="1" outlineLevel="1" x14ac:dyDescent="0.2">
      <c r="A31" s="80"/>
      <c r="B31" s="80"/>
      <c r="C31" s="80"/>
      <c r="D31" s="81"/>
      <c r="E31" s="80"/>
      <c r="F31" s="80"/>
      <c r="G31" s="80"/>
      <c r="H31" s="80"/>
      <c r="I31" s="80"/>
      <c r="J31" s="80"/>
      <c r="K31" s="80"/>
      <c r="L31" s="412"/>
      <c r="M31" s="413"/>
      <c r="N31" s="80"/>
      <c r="O31" s="80"/>
      <c r="P31" s="80"/>
      <c r="Q31" s="80"/>
      <c r="R31" s="29"/>
      <c r="S31" s="29"/>
      <c r="T31" s="29"/>
      <c r="U31" s="29"/>
      <c r="V31" s="29"/>
      <c r="W31" s="29"/>
      <c r="X31" s="29"/>
      <c r="Y31" s="29"/>
      <c r="Z31" s="29"/>
      <c r="AA31" s="29"/>
      <c r="AB31" s="29"/>
      <c r="AC31" s="29"/>
      <c r="AD31" s="29"/>
      <c r="AE31" s="29"/>
      <c r="AF31" s="29"/>
      <c r="AG31" s="29"/>
      <c r="AH31" s="29"/>
      <c r="AI31" s="29"/>
      <c r="AJ31" s="29"/>
      <c r="AK31" s="29"/>
      <c r="AL31" s="29"/>
      <c r="AM31" s="29"/>
      <c r="AN31" s="29"/>
      <c r="AO31" s="29"/>
      <c r="AP31" s="29"/>
      <c r="AQ31" s="29"/>
      <c r="AR31" s="29"/>
      <c r="AS31" s="29"/>
      <c r="AT31" s="29"/>
      <c r="AU31" s="29"/>
      <c r="AV31" s="29"/>
      <c r="AW31" s="29"/>
      <c r="AX31" s="29"/>
      <c r="AY31" s="29"/>
      <c r="AZ31" s="29"/>
      <c r="BA31" s="29"/>
      <c r="BB31" s="29"/>
      <c r="BC31" s="29"/>
      <c r="BD31" s="29"/>
      <c r="BE31" s="29"/>
      <c r="BF31" s="29"/>
      <c r="BG31" s="29"/>
      <c r="BH31" s="29"/>
      <c r="BI31" s="29"/>
      <c r="BJ31" s="29"/>
      <c r="BK31" s="29"/>
      <c r="BL31" s="29"/>
      <c r="BM31" s="29"/>
      <c r="BN31" s="29"/>
      <c r="BO31" s="29"/>
      <c r="BP31" s="29"/>
    </row>
    <row r="32" spans="1:68" ht="10.35" customHeight="1" outlineLevel="1" x14ac:dyDescent="0.2">
      <c r="A32" s="80"/>
      <c r="B32" s="80"/>
      <c r="C32" s="80"/>
      <c r="D32" s="10" t="str">
        <f>Input!$C$59</f>
        <v>Capex cost</v>
      </c>
      <c r="E32" s="80"/>
      <c r="F32" s="80"/>
      <c r="G32" s="80"/>
      <c r="H32" s="80"/>
      <c r="I32" s="80"/>
      <c r="J32" s="52"/>
      <c r="K32" s="34"/>
      <c r="L32" s="126"/>
      <c r="M32" s="127"/>
      <c r="N32" s="34"/>
      <c r="O32" s="34"/>
      <c r="P32" s="34"/>
      <c r="Q32" s="34"/>
      <c r="R32" s="33"/>
      <c r="S32" s="33"/>
      <c r="T32" s="33"/>
      <c r="U32" s="33"/>
      <c r="V32" s="33"/>
      <c r="W32" s="33"/>
      <c r="X32" s="33"/>
      <c r="Y32" s="33"/>
      <c r="Z32" s="33"/>
      <c r="AA32" s="33"/>
      <c r="AB32" s="33"/>
      <c r="AC32" s="33"/>
      <c r="AD32" s="33"/>
      <c r="AE32" s="33"/>
      <c r="AF32" s="33"/>
      <c r="AG32" s="33"/>
      <c r="AH32" s="33"/>
      <c r="AI32" s="33"/>
      <c r="AJ32" s="33"/>
      <c r="AK32" s="33"/>
      <c r="AL32" s="33"/>
      <c r="AM32" s="33"/>
      <c r="AN32" s="33"/>
      <c r="AO32" s="33"/>
      <c r="AP32" s="33"/>
      <c r="AQ32" s="33"/>
      <c r="AR32" s="33"/>
      <c r="AS32" s="33"/>
      <c r="AT32" s="33"/>
      <c r="AU32" s="33"/>
      <c r="AV32" s="33"/>
      <c r="AW32" s="33"/>
      <c r="AX32" s="33"/>
      <c r="AY32" s="33"/>
      <c r="AZ32" s="33"/>
      <c r="BA32" s="33"/>
      <c r="BB32" s="33"/>
      <c r="BC32" s="33"/>
      <c r="BD32" s="33"/>
      <c r="BE32" s="33"/>
      <c r="BF32" s="33"/>
      <c r="BG32" s="33"/>
      <c r="BH32" s="33"/>
      <c r="BI32" s="33"/>
      <c r="BJ32" s="33"/>
      <c r="BK32" s="33"/>
      <c r="BL32" s="33"/>
      <c r="BM32" s="33"/>
      <c r="BN32" s="33"/>
      <c r="BO32" s="33"/>
      <c r="BP32" s="33"/>
    </row>
    <row r="33" spans="4:68" ht="10.35" customHeight="1" outlineLevel="1" x14ac:dyDescent="0.2">
      <c r="D33" s="81" t="str">
        <f>Input!$D$70</f>
        <v>Component 1</v>
      </c>
      <c r="E33" s="80"/>
      <c r="F33" s="80"/>
      <c r="G33" s="83"/>
      <c r="H33" s="83"/>
      <c r="I33"/>
      <c r="J33" s="401"/>
      <c r="K33" s="401"/>
      <c r="L33" s="436">
        <f>SUM(R33:BP33)</f>
        <v>-15330439</v>
      </c>
      <c r="M33" s="457"/>
      <c r="N33" s="455"/>
      <c r="O33" s="455"/>
      <c r="P33" s="455"/>
      <c r="Q33" s="455"/>
      <c r="R33" s="31">
        <f>Input!R70</f>
        <v>0</v>
      </c>
      <c r="S33" s="31">
        <f>Input!S70</f>
        <v>0</v>
      </c>
      <c r="T33" s="31">
        <f>Input!T70</f>
        <v>0</v>
      </c>
      <c r="U33" s="31">
        <f>Input!U70</f>
        <v>-2714370</v>
      </c>
      <c r="V33" s="31">
        <f>Input!V70</f>
        <v>-3261225</v>
      </c>
      <c r="W33" s="31">
        <f>Input!W70</f>
        <v>-3274476</v>
      </c>
      <c r="X33" s="31">
        <f>Input!X70</f>
        <v>-2730746</v>
      </c>
      <c r="Y33" s="31">
        <f>Input!Y70</f>
        <v>-3349622</v>
      </c>
      <c r="Z33" s="31">
        <f>Input!Z70</f>
        <v>0</v>
      </c>
      <c r="AA33" s="31">
        <f>Input!AA70</f>
        <v>0</v>
      </c>
      <c r="AB33" s="31">
        <f>Input!AB70</f>
        <v>0</v>
      </c>
      <c r="AC33" s="31">
        <f>Input!AC70</f>
        <v>0</v>
      </c>
      <c r="AD33" s="31">
        <f>Input!AD70</f>
        <v>0</v>
      </c>
      <c r="AE33" s="31">
        <f>Input!AE70</f>
        <v>0</v>
      </c>
      <c r="AF33" s="31">
        <f>Input!AF70</f>
        <v>0</v>
      </c>
      <c r="AG33" s="31">
        <f>Input!AG70</f>
        <v>0</v>
      </c>
      <c r="AH33" s="31">
        <f>Input!AH70</f>
        <v>0</v>
      </c>
      <c r="AI33" s="31">
        <f>Input!AI70</f>
        <v>0</v>
      </c>
      <c r="AJ33" s="31">
        <f>Input!AJ70</f>
        <v>0</v>
      </c>
      <c r="AK33" s="31">
        <f>Input!AK70</f>
        <v>0</v>
      </c>
      <c r="AL33" s="31">
        <f>Input!AL70</f>
        <v>0</v>
      </c>
      <c r="AM33" s="31">
        <f>Input!AM70</f>
        <v>0</v>
      </c>
      <c r="AN33" s="31">
        <f>Input!AN70</f>
        <v>0</v>
      </c>
      <c r="AO33" s="31">
        <f>Input!AO70</f>
        <v>0</v>
      </c>
      <c r="AP33" s="31">
        <f>Input!AP70</f>
        <v>0</v>
      </c>
      <c r="AQ33" s="31">
        <f>Input!AQ70</f>
        <v>0</v>
      </c>
      <c r="AR33" s="31">
        <f>Input!AR70</f>
        <v>0</v>
      </c>
      <c r="AS33" s="31">
        <f>Input!AS70</f>
        <v>0</v>
      </c>
      <c r="AT33" s="31">
        <f>Input!AT70</f>
        <v>0</v>
      </c>
      <c r="AU33" s="31">
        <f>Input!AU70</f>
        <v>0</v>
      </c>
      <c r="AV33" s="31">
        <f>Input!AV70</f>
        <v>0</v>
      </c>
      <c r="AW33" s="31">
        <f>Input!AW70</f>
        <v>0</v>
      </c>
      <c r="AX33" s="31">
        <f>Input!AX70</f>
        <v>0</v>
      </c>
      <c r="AY33" s="31">
        <f>Input!AY70</f>
        <v>0</v>
      </c>
      <c r="AZ33" s="31">
        <f>Input!AZ70</f>
        <v>0</v>
      </c>
      <c r="BA33" s="31">
        <f>Input!BA70</f>
        <v>0</v>
      </c>
      <c r="BB33" s="31">
        <f>Input!BB70</f>
        <v>0</v>
      </c>
      <c r="BC33" s="31">
        <f>Input!BC70</f>
        <v>0</v>
      </c>
      <c r="BD33" s="31">
        <f>Input!BD70</f>
        <v>0</v>
      </c>
      <c r="BE33" s="31">
        <f>Input!BE70</f>
        <v>0</v>
      </c>
      <c r="BF33" s="31">
        <f>Input!BF70</f>
        <v>0</v>
      </c>
      <c r="BG33" s="31">
        <f>Input!BG70</f>
        <v>0</v>
      </c>
      <c r="BH33" s="31">
        <f>Input!BH70</f>
        <v>0</v>
      </c>
      <c r="BI33" s="31">
        <f>Input!BI70</f>
        <v>0</v>
      </c>
      <c r="BJ33" s="31">
        <f>Input!BJ70</f>
        <v>0</v>
      </c>
      <c r="BK33" s="31">
        <f>Input!BK70</f>
        <v>0</v>
      </c>
      <c r="BL33" s="31">
        <f>Input!BL70</f>
        <v>0</v>
      </c>
      <c r="BM33" s="31">
        <f>Input!BM70</f>
        <v>0</v>
      </c>
      <c r="BN33" s="31">
        <f>Input!BN70</f>
        <v>0</v>
      </c>
      <c r="BO33" s="31">
        <f>Input!BO70</f>
        <v>0</v>
      </c>
      <c r="BP33" s="31">
        <f>Input!BP70</f>
        <v>0</v>
      </c>
    </row>
    <row r="34" spans="4:68" ht="10.35" customHeight="1" outlineLevel="1" x14ac:dyDescent="0.2">
      <c r="D34" s="81" t="str">
        <f>Input!$D$77</f>
        <v>Component 2 (if required)</v>
      </c>
      <c r="E34" s="80"/>
      <c r="F34" s="80"/>
      <c r="G34" s="83"/>
      <c r="H34" s="83"/>
      <c r="I34"/>
      <c r="J34" s="401"/>
      <c r="K34" s="80"/>
      <c r="L34" s="436">
        <f t="shared" ref="L34:L38" si="52">SUM(R34:BP34)</f>
        <v>0</v>
      </c>
      <c r="M34" s="457"/>
      <c r="N34" s="455"/>
      <c r="O34" s="455"/>
      <c r="P34" s="455"/>
      <c r="Q34" s="455"/>
      <c r="R34" s="31">
        <f>Input!R77</f>
        <v>0</v>
      </c>
      <c r="S34" s="31">
        <f>Input!S77</f>
        <v>0</v>
      </c>
      <c r="T34" s="31">
        <f>Input!T77</f>
        <v>0</v>
      </c>
      <c r="U34" s="31">
        <f>Input!U77</f>
        <v>0</v>
      </c>
      <c r="V34" s="31">
        <f>Input!V77</f>
        <v>0</v>
      </c>
      <c r="W34" s="31">
        <f>Input!W77</f>
        <v>0</v>
      </c>
      <c r="X34" s="31">
        <f>Input!X77</f>
        <v>0</v>
      </c>
      <c r="Y34" s="31">
        <f>Input!Y77</f>
        <v>0</v>
      </c>
      <c r="Z34" s="31">
        <f>Input!Z77</f>
        <v>0</v>
      </c>
      <c r="AA34" s="31">
        <f>Input!AA77</f>
        <v>0</v>
      </c>
      <c r="AB34" s="31">
        <f>Input!AB77</f>
        <v>0</v>
      </c>
      <c r="AC34" s="31">
        <f>Input!AC77</f>
        <v>0</v>
      </c>
      <c r="AD34" s="31">
        <f>Input!AD77</f>
        <v>0</v>
      </c>
      <c r="AE34" s="31">
        <f>Input!AE77</f>
        <v>0</v>
      </c>
      <c r="AF34" s="31">
        <f>Input!AF77</f>
        <v>0</v>
      </c>
      <c r="AG34" s="31">
        <f>Input!AG77</f>
        <v>0</v>
      </c>
      <c r="AH34" s="31">
        <f>Input!AH77</f>
        <v>0</v>
      </c>
      <c r="AI34" s="31">
        <f>Input!AI77</f>
        <v>0</v>
      </c>
      <c r="AJ34" s="31">
        <f>Input!AJ77</f>
        <v>0</v>
      </c>
      <c r="AK34" s="31">
        <f>Input!AK77</f>
        <v>0</v>
      </c>
      <c r="AL34" s="31">
        <f>Input!AL77</f>
        <v>0</v>
      </c>
      <c r="AM34" s="31">
        <f>Input!AM77</f>
        <v>0</v>
      </c>
      <c r="AN34" s="31">
        <f>Input!AN77</f>
        <v>0</v>
      </c>
      <c r="AO34" s="31">
        <f>Input!AO77</f>
        <v>0</v>
      </c>
      <c r="AP34" s="31">
        <f>Input!AP77</f>
        <v>0</v>
      </c>
      <c r="AQ34" s="31">
        <f>Input!AQ77</f>
        <v>0</v>
      </c>
      <c r="AR34" s="31">
        <f>Input!AR77</f>
        <v>0</v>
      </c>
      <c r="AS34" s="31">
        <f>Input!AS77</f>
        <v>0</v>
      </c>
      <c r="AT34" s="31">
        <f>Input!AT77</f>
        <v>0</v>
      </c>
      <c r="AU34" s="31">
        <f>Input!AU77</f>
        <v>0</v>
      </c>
      <c r="AV34" s="31">
        <f>Input!AV77</f>
        <v>0</v>
      </c>
      <c r="AW34" s="31">
        <f>Input!AW77</f>
        <v>0</v>
      </c>
      <c r="AX34" s="31">
        <f>Input!AX77</f>
        <v>0</v>
      </c>
      <c r="AY34" s="31">
        <f>Input!AY77</f>
        <v>0</v>
      </c>
      <c r="AZ34" s="31">
        <f>Input!AZ77</f>
        <v>0</v>
      </c>
      <c r="BA34" s="31">
        <f>Input!BA77</f>
        <v>0</v>
      </c>
      <c r="BB34" s="31">
        <f>Input!BB77</f>
        <v>0</v>
      </c>
      <c r="BC34" s="31">
        <f>Input!BC77</f>
        <v>0</v>
      </c>
      <c r="BD34" s="31">
        <f>Input!BD77</f>
        <v>0</v>
      </c>
      <c r="BE34" s="31">
        <f>Input!BE77</f>
        <v>0</v>
      </c>
      <c r="BF34" s="31">
        <f>Input!BF77</f>
        <v>0</v>
      </c>
      <c r="BG34" s="31">
        <f>Input!BG77</f>
        <v>0</v>
      </c>
      <c r="BH34" s="31">
        <f>Input!BH77</f>
        <v>0</v>
      </c>
      <c r="BI34" s="31">
        <f>Input!BI77</f>
        <v>0</v>
      </c>
      <c r="BJ34" s="31">
        <f>Input!BJ77</f>
        <v>0</v>
      </c>
      <c r="BK34" s="31">
        <f>Input!BK77</f>
        <v>0</v>
      </c>
      <c r="BL34" s="31">
        <f>Input!BL77</f>
        <v>0</v>
      </c>
      <c r="BM34" s="31">
        <f>Input!BM77</f>
        <v>0</v>
      </c>
      <c r="BN34" s="31">
        <f>Input!BN77</f>
        <v>0</v>
      </c>
      <c r="BO34" s="31">
        <f>Input!BO77</f>
        <v>0</v>
      </c>
      <c r="BP34" s="31">
        <f>Input!BP77</f>
        <v>0</v>
      </c>
    </row>
    <row r="35" spans="4:68" ht="10.35" customHeight="1" outlineLevel="1" x14ac:dyDescent="0.2">
      <c r="D35" s="81" t="str">
        <f>Input!$D$84</f>
        <v>Component 3 (if required)</v>
      </c>
      <c r="E35" s="80"/>
      <c r="F35" s="80"/>
      <c r="G35" s="83"/>
      <c r="H35" s="83"/>
      <c r="I35"/>
      <c r="J35" s="401"/>
      <c r="K35" s="401"/>
      <c r="L35" s="436">
        <f t="shared" si="52"/>
        <v>0</v>
      </c>
      <c r="M35" s="457"/>
      <c r="N35" s="455"/>
      <c r="O35" s="455"/>
      <c r="P35" s="455"/>
      <c r="Q35" s="455"/>
      <c r="R35" s="31">
        <f>Input!R84</f>
        <v>0</v>
      </c>
      <c r="S35" s="31">
        <f>Input!S84</f>
        <v>0</v>
      </c>
      <c r="T35" s="31">
        <f>Input!T84</f>
        <v>0</v>
      </c>
      <c r="U35" s="31">
        <f>Input!U84</f>
        <v>0</v>
      </c>
      <c r="V35" s="31">
        <f>Input!V84</f>
        <v>0</v>
      </c>
      <c r="W35" s="31">
        <f>Input!W84</f>
        <v>0</v>
      </c>
      <c r="X35" s="31">
        <f>Input!X84</f>
        <v>0</v>
      </c>
      <c r="Y35" s="31">
        <f>Input!Y84</f>
        <v>0</v>
      </c>
      <c r="Z35" s="31">
        <f>Input!Z84</f>
        <v>0</v>
      </c>
      <c r="AA35" s="31">
        <f>Input!AA84</f>
        <v>0</v>
      </c>
      <c r="AB35" s="31">
        <f>Input!AB84</f>
        <v>0</v>
      </c>
      <c r="AC35" s="31">
        <f>Input!AC84</f>
        <v>0</v>
      </c>
      <c r="AD35" s="31">
        <f>Input!AD84</f>
        <v>0</v>
      </c>
      <c r="AE35" s="31">
        <f>Input!AE84</f>
        <v>0</v>
      </c>
      <c r="AF35" s="31">
        <f>Input!AF84</f>
        <v>0</v>
      </c>
      <c r="AG35" s="31">
        <f>Input!AG84</f>
        <v>0</v>
      </c>
      <c r="AH35" s="31">
        <f>Input!AH84</f>
        <v>0</v>
      </c>
      <c r="AI35" s="31">
        <f>Input!AI84</f>
        <v>0</v>
      </c>
      <c r="AJ35" s="31">
        <f>Input!AJ84</f>
        <v>0</v>
      </c>
      <c r="AK35" s="31">
        <f>Input!AK84</f>
        <v>0</v>
      </c>
      <c r="AL35" s="31">
        <f>Input!AL84</f>
        <v>0</v>
      </c>
      <c r="AM35" s="31">
        <f>Input!AM84</f>
        <v>0</v>
      </c>
      <c r="AN35" s="31">
        <f>Input!AN84</f>
        <v>0</v>
      </c>
      <c r="AO35" s="31">
        <f>Input!AO84</f>
        <v>0</v>
      </c>
      <c r="AP35" s="31">
        <f>Input!AP84</f>
        <v>0</v>
      </c>
      <c r="AQ35" s="31">
        <f>Input!AQ84</f>
        <v>0</v>
      </c>
      <c r="AR35" s="31">
        <f>Input!AR84</f>
        <v>0</v>
      </c>
      <c r="AS35" s="31">
        <f>Input!AS84</f>
        <v>0</v>
      </c>
      <c r="AT35" s="31">
        <f>Input!AT84</f>
        <v>0</v>
      </c>
      <c r="AU35" s="31">
        <f>Input!AU84</f>
        <v>0</v>
      </c>
      <c r="AV35" s="31">
        <f>Input!AV84</f>
        <v>0</v>
      </c>
      <c r="AW35" s="31">
        <f>Input!AW84</f>
        <v>0</v>
      </c>
      <c r="AX35" s="31">
        <f>Input!AX84</f>
        <v>0</v>
      </c>
      <c r="AY35" s="31">
        <f>Input!AY84</f>
        <v>0</v>
      </c>
      <c r="AZ35" s="31">
        <f>Input!AZ84</f>
        <v>0</v>
      </c>
      <c r="BA35" s="31">
        <f>Input!BA84</f>
        <v>0</v>
      </c>
      <c r="BB35" s="31">
        <f>Input!BB84</f>
        <v>0</v>
      </c>
      <c r="BC35" s="31">
        <f>Input!BC84</f>
        <v>0</v>
      </c>
      <c r="BD35" s="31">
        <f>Input!BD84</f>
        <v>0</v>
      </c>
      <c r="BE35" s="31">
        <f>Input!BE84</f>
        <v>0</v>
      </c>
      <c r="BF35" s="31">
        <f>Input!BF84</f>
        <v>0</v>
      </c>
      <c r="BG35" s="31">
        <f>Input!BG84</f>
        <v>0</v>
      </c>
      <c r="BH35" s="31">
        <f>Input!BH84</f>
        <v>0</v>
      </c>
      <c r="BI35" s="31">
        <f>Input!BI84</f>
        <v>0</v>
      </c>
      <c r="BJ35" s="31">
        <f>Input!BJ84</f>
        <v>0</v>
      </c>
      <c r="BK35" s="31">
        <f>Input!BK84</f>
        <v>0</v>
      </c>
      <c r="BL35" s="31">
        <f>Input!BL84</f>
        <v>0</v>
      </c>
      <c r="BM35" s="31">
        <f>Input!BM84</f>
        <v>0</v>
      </c>
      <c r="BN35" s="31">
        <f>Input!BN84</f>
        <v>0</v>
      </c>
      <c r="BO35" s="31">
        <f>Input!BO84</f>
        <v>0</v>
      </c>
      <c r="BP35" s="31">
        <f>Input!BP84</f>
        <v>0</v>
      </c>
    </row>
    <row r="36" spans="4:68" ht="10.35" customHeight="1" outlineLevel="1" x14ac:dyDescent="0.2">
      <c r="D36" s="81" t="str">
        <f>Input!$D$91</f>
        <v>Component 4 (if required)</v>
      </c>
      <c r="E36" s="80"/>
      <c r="F36" s="80"/>
      <c r="G36" s="83"/>
      <c r="H36" s="83"/>
      <c r="I36"/>
      <c r="J36" s="401"/>
      <c r="K36" s="401"/>
      <c r="L36" s="436">
        <f t="shared" si="52"/>
        <v>0</v>
      </c>
      <c r="M36" s="457"/>
      <c r="N36" s="455"/>
      <c r="O36" s="455"/>
      <c r="P36" s="455"/>
      <c r="Q36" s="455"/>
      <c r="R36" s="31">
        <f>Input!R91</f>
        <v>0</v>
      </c>
      <c r="S36" s="31">
        <f>Input!S91</f>
        <v>0</v>
      </c>
      <c r="T36" s="31">
        <f>Input!T91</f>
        <v>0</v>
      </c>
      <c r="U36" s="31">
        <f>Input!U91</f>
        <v>0</v>
      </c>
      <c r="V36" s="31">
        <f>Input!V91</f>
        <v>0</v>
      </c>
      <c r="W36" s="31">
        <f>Input!W91</f>
        <v>0</v>
      </c>
      <c r="X36" s="31">
        <f>Input!X91</f>
        <v>0</v>
      </c>
      <c r="Y36" s="31">
        <f>Input!Y91</f>
        <v>0</v>
      </c>
      <c r="Z36" s="31">
        <f>Input!Z91</f>
        <v>0</v>
      </c>
      <c r="AA36" s="31">
        <f>Input!AA91</f>
        <v>0</v>
      </c>
      <c r="AB36" s="31">
        <f>Input!AB91</f>
        <v>0</v>
      </c>
      <c r="AC36" s="31">
        <f>Input!AC91</f>
        <v>0</v>
      </c>
      <c r="AD36" s="31">
        <f>Input!AD91</f>
        <v>0</v>
      </c>
      <c r="AE36" s="31">
        <f>Input!AE91</f>
        <v>0</v>
      </c>
      <c r="AF36" s="31">
        <f>Input!AF91</f>
        <v>0</v>
      </c>
      <c r="AG36" s="31">
        <f>Input!AG91</f>
        <v>0</v>
      </c>
      <c r="AH36" s="31">
        <f>Input!AH91</f>
        <v>0</v>
      </c>
      <c r="AI36" s="31">
        <f>Input!AI91</f>
        <v>0</v>
      </c>
      <c r="AJ36" s="31">
        <f>Input!AJ91</f>
        <v>0</v>
      </c>
      <c r="AK36" s="31">
        <f>Input!AK91</f>
        <v>0</v>
      </c>
      <c r="AL36" s="31">
        <f>Input!AL91</f>
        <v>0</v>
      </c>
      <c r="AM36" s="31">
        <f>Input!AM91</f>
        <v>0</v>
      </c>
      <c r="AN36" s="31">
        <f>Input!AN91</f>
        <v>0</v>
      </c>
      <c r="AO36" s="31">
        <f>Input!AO91</f>
        <v>0</v>
      </c>
      <c r="AP36" s="31">
        <f>Input!AP91</f>
        <v>0</v>
      </c>
      <c r="AQ36" s="31">
        <f>Input!AQ91</f>
        <v>0</v>
      </c>
      <c r="AR36" s="31">
        <f>Input!AR91</f>
        <v>0</v>
      </c>
      <c r="AS36" s="31">
        <f>Input!AS91</f>
        <v>0</v>
      </c>
      <c r="AT36" s="31">
        <f>Input!AT91</f>
        <v>0</v>
      </c>
      <c r="AU36" s="31">
        <f>Input!AU91</f>
        <v>0</v>
      </c>
      <c r="AV36" s="31">
        <f>Input!AV91</f>
        <v>0</v>
      </c>
      <c r="AW36" s="31">
        <f>Input!AW91</f>
        <v>0</v>
      </c>
      <c r="AX36" s="31">
        <f>Input!AX91</f>
        <v>0</v>
      </c>
      <c r="AY36" s="31">
        <f>Input!AY91</f>
        <v>0</v>
      </c>
      <c r="AZ36" s="31">
        <f>Input!AZ91</f>
        <v>0</v>
      </c>
      <c r="BA36" s="31">
        <f>Input!BA91</f>
        <v>0</v>
      </c>
      <c r="BB36" s="31">
        <f>Input!BB91</f>
        <v>0</v>
      </c>
      <c r="BC36" s="31">
        <f>Input!BC91</f>
        <v>0</v>
      </c>
      <c r="BD36" s="31">
        <f>Input!BD91</f>
        <v>0</v>
      </c>
      <c r="BE36" s="31">
        <f>Input!BE91</f>
        <v>0</v>
      </c>
      <c r="BF36" s="31">
        <f>Input!BF91</f>
        <v>0</v>
      </c>
      <c r="BG36" s="31">
        <f>Input!BG91</f>
        <v>0</v>
      </c>
      <c r="BH36" s="31">
        <f>Input!BH91</f>
        <v>0</v>
      </c>
      <c r="BI36" s="31">
        <f>Input!BI91</f>
        <v>0</v>
      </c>
      <c r="BJ36" s="31">
        <f>Input!BJ91</f>
        <v>0</v>
      </c>
      <c r="BK36" s="31">
        <f>Input!BK91</f>
        <v>0</v>
      </c>
      <c r="BL36" s="31">
        <f>Input!BL91</f>
        <v>0</v>
      </c>
      <c r="BM36" s="31">
        <f>Input!BM91</f>
        <v>0</v>
      </c>
      <c r="BN36" s="31">
        <f>Input!BN91</f>
        <v>0</v>
      </c>
      <c r="BO36" s="31">
        <f>Input!BO91</f>
        <v>0</v>
      </c>
      <c r="BP36" s="31">
        <f>Input!BP91</f>
        <v>0</v>
      </c>
    </row>
    <row r="37" spans="4:68" ht="10.35" customHeight="1" outlineLevel="1" x14ac:dyDescent="0.2">
      <c r="D37" s="81" t="str">
        <f>Input!$D$98</f>
        <v>Proceeds of sale</v>
      </c>
      <c r="E37" s="80"/>
      <c r="F37" s="80"/>
      <c r="G37" s="83"/>
      <c r="H37" s="83"/>
      <c r="I37"/>
      <c r="J37" s="401"/>
      <c r="K37" s="401"/>
      <c r="L37" s="436">
        <f>SUM(R37:BP37)</f>
        <v>0</v>
      </c>
      <c r="M37" s="457"/>
      <c r="N37" s="455"/>
      <c r="O37" s="455"/>
      <c r="P37" s="455"/>
      <c r="Q37" s="455"/>
      <c r="R37" s="31">
        <f>Input!R98</f>
        <v>0</v>
      </c>
      <c r="S37" s="31">
        <f>Input!S98</f>
        <v>0</v>
      </c>
      <c r="T37" s="31">
        <f>Input!T98</f>
        <v>0</v>
      </c>
      <c r="U37" s="31">
        <f>Input!U98</f>
        <v>0</v>
      </c>
      <c r="V37" s="31">
        <f>Input!V98</f>
        <v>0</v>
      </c>
      <c r="W37" s="31">
        <f>Input!W98</f>
        <v>0</v>
      </c>
      <c r="X37" s="31">
        <f>Input!X98</f>
        <v>0</v>
      </c>
      <c r="Y37" s="31">
        <f>Input!Y98</f>
        <v>0</v>
      </c>
      <c r="Z37" s="31">
        <f>Input!Z98</f>
        <v>0</v>
      </c>
      <c r="AA37" s="31">
        <f>Input!AA98</f>
        <v>0</v>
      </c>
      <c r="AB37" s="31">
        <f>Input!AB98</f>
        <v>0</v>
      </c>
      <c r="AC37" s="31">
        <f>Input!AC98</f>
        <v>0</v>
      </c>
      <c r="AD37" s="31">
        <f>Input!AD98</f>
        <v>0</v>
      </c>
      <c r="AE37" s="31">
        <f>Input!AE98</f>
        <v>0</v>
      </c>
      <c r="AF37" s="31">
        <f>Input!AF98</f>
        <v>0</v>
      </c>
      <c r="AG37" s="31">
        <f>Input!AG98</f>
        <v>0</v>
      </c>
      <c r="AH37" s="31">
        <f>Input!AH98</f>
        <v>0</v>
      </c>
      <c r="AI37" s="31">
        <f>Input!AI98</f>
        <v>0</v>
      </c>
      <c r="AJ37" s="31">
        <f>Input!AJ98</f>
        <v>0</v>
      </c>
      <c r="AK37" s="31">
        <f>Input!AK98</f>
        <v>0</v>
      </c>
      <c r="AL37" s="31">
        <f>Input!AL98</f>
        <v>0</v>
      </c>
      <c r="AM37" s="31">
        <f>Input!AM98</f>
        <v>0</v>
      </c>
      <c r="AN37" s="31">
        <f>Input!AN98</f>
        <v>0</v>
      </c>
      <c r="AO37" s="31">
        <f>Input!AO98</f>
        <v>0</v>
      </c>
      <c r="AP37" s="31">
        <f>Input!AP98</f>
        <v>0</v>
      </c>
      <c r="AQ37" s="31">
        <f>Input!AQ98</f>
        <v>0</v>
      </c>
      <c r="AR37" s="31">
        <f>Input!AR98</f>
        <v>0</v>
      </c>
      <c r="AS37" s="31">
        <f>Input!AS98</f>
        <v>0</v>
      </c>
      <c r="AT37" s="31">
        <f>Input!AT98</f>
        <v>0</v>
      </c>
      <c r="AU37" s="31">
        <f>Input!AU98</f>
        <v>0</v>
      </c>
      <c r="AV37" s="31">
        <f>Input!AV98</f>
        <v>0</v>
      </c>
      <c r="AW37" s="31">
        <f>Input!AW98</f>
        <v>0</v>
      </c>
      <c r="AX37" s="31">
        <f>Input!AX98</f>
        <v>0</v>
      </c>
      <c r="AY37" s="31">
        <f>Input!AY98</f>
        <v>0</v>
      </c>
      <c r="AZ37" s="31">
        <f>Input!AZ98</f>
        <v>0</v>
      </c>
      <c r="BA37" s="31">
        <f>Input!BA98</f>
        <v>0</v>
      </c>
      <c r="BB37" s="31">
        <f>Input!BB98</f>
        <v>0</v>
      </c>
      <c r="BC37" s="31">
        <f>Input!BC98</f>
        <v>0</v>
      </c>
      <c r="BD37" s="31">
        <f>Input!BD98</f>
        <v>0</v>
      </c>
      <c r="BE37" s="31">
        <f>Input!BE98</f>
        <v>0</v>
      </c>
      <c r="BF37" s="31">
        <f>Input!BF98</f>
        <v>0</v>
      </c>
      <c r="BG37" s="31">
        <f>Input!BG98</f>
        <v>0</v>
      </c>
      <c r="BH37" s="31">
        <f>Input!BH98</f>
        <v>0</v>
      </c>
      <c r="BI37" s="31">
        <f>Input!BI98</f>
        <v>0</v>
      </c>
      <c r="BJ37" s="31">
        <f>Input!BJ98</f>
        <v>0</v>
      </c>
      <c r="BK37" s="31">
        <f>Input!BK98</f>
        <v>0</v>
      </c>
      <c r="BL37" s="31">
        <f>Input!BL98</f>
        <v>0</v>
      </c>
      <c r="BM37" s="31">
        <f>Input!BM98</f>
        <v>0</v>
      </c>
      <c r="BN37" s="31">
        <f>Input!BN98</f>
        <v>0</v>
      </c>
      <c r="BO37" s="31">
        <f>Input!BO98</f>
        <v>0</v>
      </c>
      <c r="BP37" s="31">
        <f>Input!BP98</f>
        <v>0</v>
      </c>
    </row>
    <row r="38" spans="4:68" ht="10.35" customHeight="1" outlineLevel="1" x14ac:dyDescent="0.2">
      <c r="D38" s="81" t="str">
        <f>Input!$D$105</f>
        <v>Contingency</v>
      </c>
      <c r="E38" s="80"/>
      <c r="F38" s="80"/>
      <c r="G38" s="83"/>
      <c r="H38" s="83"/>
      <c r="I38"/>
      <c r="J38" s="401"/>
      <c r="K38" s="401"/>
      <c r="L38" s="436">
        <f t="shared" si="52"/>
        <v>0</v>
      </c>
      <c r="M38" s="457"/>
      <c r="N38" s="455"/>
      <c r="O38" s="455"/>
      <c r="P38" s="455"/>
      <c r="Q38" s="455"/>
      <c r="R38" s="31">
        <f>Input!R105</f>
        <v>0</v>
      </c>
      <c r="S38" s="31">
        <f>Input!S105</f>
        <v>0</v>
      </c>
      <c r="T38" s="31">
        <f>Input!T105</f>
        <v>0</v>
      </c>
      <c r="U38" s="31">
        <f>Input!U105</f>
        <v>0</v>
      </c>
      <c r="V38" s="31">
        <f>Input!V105</f>
        <v>0</v>
      </c>
      <c r="W38" s="31">
        <f>Input!W105</f>
        <v>0</v>
      </c>
      <c r="X38" s="31">
        <f>Input!X105</f>
        <v>0</v>
      </c>
      <c r="Y38" s="31">
        <f>Input!Y105</f>
        <v>0</v>
      </c>
      <c r="Z38" s="31">
        <f>Input!Z105</f>
        <v>0</v>
      </c>
      <c r="AA38" s="31">
        <f>Input!AA105</f>
        <v>0</v>
      </c>
      <c r="AB38" s="31">
        <f>Input!AB105</f>
        <v>0</v>
      </c>
      <c r="AC38" s="31">
        <f>Input!AC105</f>
        <v>0</v>
      </c>
      <c r="AD38" s="31">
        <f>Input!AD105</f>
        <v>0</v>
      </c>
      <c r="AE38" s="31">
        <f>Input!AE105</f>
        <v>0</v>
      </c>
      <c r="AF38" s="31">
        <f>Input!AF105</f>
        <v>0</v>
      </c>
      <c r="AG38" s="31">
        <f>Input!AG105</f>
        <v>0</v>
      </c>
      <c r="AH38" s="31">
        <f>Input!AH105</f>
        <v>0</v>
      </c>
      <c r="AI38" s="31">
        <f>Input!AI105</f>
        <v>0</v>
      </c>
      <c r="AJ38" s="31">
        <f>Input!AJ105</f>
        <v>0</v>
      </c>
      <c r="AK38" s="31">
        <f>Input!AK105</f>
        <v>0</v>
      </c>
      <c r="AL38" s="31">
        <f>Input!AL105</f>
        <v>0</v>
      </c>
      <c r="AM38" s="31">
        <f>Input!AM105</f>
        <v>0</v>
      </c>
      <c r="AN38" s="31">
        <f>Input!AN105</f>
        <v>0</v>
      </c>
      <c r="AO38" s="31">
        <f>Input!AO105</f>
        <v>0</v>
      </c>
      <c r="AP38" s="31">
        <f>Input!AP105</f>
        <v>0</v>
      </c>
      <c r="AQ38" s="31">
        <f>Input!AQ105</f>
        <v>0</v>
      </c>
      <c r="AR38" s="31">
        <f>Input!AR105</f>
        <v>0</v>
      </c>
      <c r="AS38" s="31">
        <f>Input!AS105</f>
        <v>0</v>
      </c>
      <c r="AT38" s="31">
        <f>Input!AT105</f>
        <v>0</v>
      </c>
      <c r="AU38" s="31">
        <f>Input!AU105</f>
        <v>0</v>
      </c>
      <c r="AV38" s="31">
        <f>Input!AV105</f>
        <v>0</v>
      </c>
      <c r="AW38" s="31">
        <f>Input!AW105</f>
        <v>0</v>
      </c>
      <c r="AX38" s="31">
        <f>Input!AX105</f>
        <v>0</v>
      </c>
      <c r="AY38" s="31">
        <f>Input!AY105</f>
        <v>0</v>
      </c>
      <c r="AZ38" s="31">
        <f>Input!AZ105</f>
        <v>0</v>
      </c>
      <c r="BA38" s="31">
        <f>Input!BA105</f>
        <v>0</v>
      </c>
      <c r="BB38" s="31">
        <f>Input!BB105</f>
        <v>0</v>
      </c>
      <c r="BC38" s="31">
        <f>Input!BC105</f>
        <v>0</v>
      </c>
      <c r="BD38" s="31">
        <f>Input!BD105</f>
        <v>0</v>
      </c>
      <c r="BE38" s="31">
        <f>Input!BE105</f>
        <v>0</v>
      </c>
      <c r="BF38" s="31">
        <f>Input!BF105</f>
        <v>0</v>
      </c>
      <c r="BG38" s="31">
        <f>Input!BG105</f>
        <v>0</v>
      </c>
      <c r="BH38" s="31">
        <f>Input!BH105</f>
        <v>0</v>
      </c>
      <c r="BI38" s="31">
        <f>Input!BI105</f>
        <v>0</v>
      </c>
      <c r="BJ38" s="31">
        <f>Input!BJ105</f>
        <v>0</v>
      </c>
      <c r="BK38" s="31">
        <f>Input!BK105</f>
        <v>0</v>
      </c>
      <c r="BL38" s="31">
        <f>Input!BL105</f>
        <v>0</v>
      </c>
      <c r="BM38" s="31">
        <f>Input!BM105</f>
        <v>0</v>
      </c>
      <c r="BN38" s="31">
        <f>Input!BN105</f>
        <v>0</v>
      </c>
      <c r="BO38" s="31">
        <f>Input!BO105</f>
        <v>0</v>
      </c>
      <c r="BP38" s="31">
        <f>Input!BP105</f>
        <v>0</v>
      </c>
    </row>
    <row r="39" spans="4:68" ht="10.35" customHeight="1" outlineLevel="1" x14ac:dyDescent="0.2">
      <c r="D39" s="88" t="s">
        <v>337</v>
      </c>
      <c r="E39" s="458"/>
      <c r="F39" s="458"/>
      <c r="G39" s="459"/>
      <c r="H39" s="459"/>
      <c r="I39" s="458"/>
      <c r="J39" s="460"/>
      <c r="K39" s="460">
        <f>SUMPRODUCT(R39:BP39,$R$20:$BP$20)</f>
        <v>-12938751.245002702</v>
      </c>
      <c r="L39" s="461">
        <f>SUM(R39:BP39)</f>
        <v>-15330439</v>
      </c>
      <c r="M39" s="462"/>
      <c r="N39" s="463"/>
      <c r="O39" s="463"/>
      <c r="P39" s="463"/>
      <c r="Q39" s="463"/>
      <c r="R39" s="460">
        <f t="shared" ref="R39:AW39" si="53">SUM(R33:R38)</f>
        <v>0</v>
      </c>
      <c r="S39" s="460">
        <f t="shared" si="53"/>
        <v>0</v>
      </c>
      <c r="T39" s="460">
        <f t="shared" si="53"/>
        <v>0</v>
      </c>
      <c r="U39" s="460">
        <f t="shared" si="53"/>
        <v>-2714370</v>
      </c>
      <c r="V39" s="460">
        <f t="shared" si="53"/>
        <v>-3261225</v>
      </c>
      <c r="W39" s="460">
        <f t="shared" si="53"/>
        <v>-3274476</v>
      </c>
      <c r="X39" s="460">
        <f t="shared" si="53"/>
        <v>-2730746</v>
      </c>
      <c r="Y39" s="460">
        <f t="shared" si="53"/>
        <v>-3349622</v>
      </c>
      <c r="Z39" s="460">
        <f t="shared" si="53"/>
        <v>0</v>
      </c>
      <c r="AA39" s="460">
        <f t="shared" si="53"/>
        <v>0</v>
      </c>
      <c r="AB39" s="460">
        <f t="shared" si="53"/>
        <v>0</v>
      </c>
      <c r="AC39" s="460">
        <f t="shared" si="53"/>
        <v>0</v>
      </c>
      <c r="AD39" s="460">
        <f t="shared" si="53"/>
        <v>0</v>
      </c>
      <c r="AE39" s="460">
        <f t="shared" si="53"/>
        <v>0</v>
      </c>
      <c r="AF39" s="460">
        <f t="shared" si="53"/>
        <v>0</v>
      </c>
      <c r="AG39" s="460">
        <f t="shared" si="53"/>
        <v>0</v>
      </c>
      <c r="AH39" s="460">
        <f t="shared" si="53"/>
        <v>0</v>
      </c>
      <c r="AI39" s="460">
        <f t="shared" si="53"/>
        <v>0</v>
      </c>
      <c r="AJ39" s="460">
        <f t="shared" si="53"/>
        <v>0</v>
      </c>
      <c r="AK39" s="460">
        <f t="shared" si="53"/>
        <v>0</v>
      </c>
      <c r="AL39" s="460">
        <f t="shared" si="53"/>
        <v>0</v>
      </c>
      <c r="AM39" s="460">
        <f t="shared" si="53"/>
        <v>0</v>
      </c>
      <c r="AN39" s="460">
        <f t="shared" si="53"/>
        <v>0</v>
      </c>
      <c r="AO39" s="460">
        <f t="shared" si="53"/>
        <v>0</v>
      </c>
      <c r="AP39" s="460">
        <f t="shared" si="53"/>
        <v>0</v>
      </c>
      <c r="AQ39" s="460">
        <f t="shared" si="53"/>
        <v>0</v>
      </c>
      <c r="AR39" s="460">
        <f t="shared" si="53"/>
        <v>0</v>
      </c>
      <c r="AS39" s="460">
        <f t="shared" si="53"/>
        <v>0</v>
      </c>
      <c r="AT39" s="460">
        <f t="shared" si="53"/>
        <v>0</v>
      </c>
      <c r="AU39" s="460">
        <f t="shared" si="53"/>
        <v>0</v>
      </c>
      <c r="AV39" s="460">
        <f t="shared" si="53"/>
        <v>0</v>
      </c>
      <c r="AW39" s="460">
        <f t="shared" si="53"/>
        <v>0</v>
      </c>
      <c r="AX39" s="460">
        <f t="shared" ref="AX39:BP39" si="54">SUM(AX33:AX38)</f>
        <v>0</v>
      </c>
      <c r="AY39" s="460">
        <f t="shared" si="54"/>
        <v>0</v>
      </c>
      <c r="AZ39" s="460">
        <f t="shared" si="54"/>
        <v>0</v>
      </c>
      <c r="BA39" s="460">
        <f t="shared" si="54"/>
        <v>0</v>
      </c>
      <c r="BB39" s="460">
        <f t="shared" si="54"/>
        <v>0</v>
      </c>
      <c r="BC39" s="460">
        <f t="shared" si="54"/>
        <v>0</v>
      </c>
      <c r="BD39" s="460">
        <f t="shared" si="54"/>
        <v>0</v>
      </c>
      <c r="BE39" s="460">
        <f t="shared" si="54"/>
        <v>0</v>
      </c>
      <c r="BF39" s="460">
        <f t="shared" si="54"/>
        <v>0</v>
      </c>
      <c r="BG39" s="460">
        <f t="shared" si="54"/>
        <v>0</v>
      </c>
      <c r="BH39" s="460">
        <f t="shared" si="54"/>
        <v>0</v>
      </c>
      <c r="BI39" s="460">
        <f t="shared" si="54"/>
        <v>0</v>
      </c>
      <c r="BJ39" s="460">
        <f t="shared" si="54"/>
        <v>0</v>
      </c>
      <c r="BK39" s="460">
        <f t="shared" si="54"/>
        <v>0</v>
      </c>
      <c r="BL39" s="460">
        <f t="shared" si="54"/>
        <v>0</v>
      </c>
      <c r="BM39" s="460">
        <f t="shared" si="54"/>
        <v>0</v>
      </c>
      <c r="BN39" s="460">
        <f t="shared" si="54"/>
        <v>0</v>
      </c>
      <c r="BO39" s="460">
        <f t="shared" si="54"/>
        <v>0</v>
      </c>
      <c r="BP39" s="460">
        <f t="shared" si="54"/>
        <v>0</v>
      </c>
    </row>
    <row r="40" spans="4:68" ht="10.35" customHeight="1" outlineLevel="1" x14ac:dyDescent="0.2">
      <c r="D40" s="81" t="str">
        <f>Input!$D$107</f>
        <v>Land</v>
      </c>
      <c r="E40" s="80"/>
      <c r="F40" s="80"/>
      <c r="G40" s="83"/>
      <c r="H40" s="83"/>
      <c r="I40" s="80"/>
      <c r="J40" s="80"/>
      <c r="K40" s="401">
        <f>SUMPRODUCT(R40:BP40,$R$20:$BP$20)</f>
        <v>0</v>
      </c>
      <c r="L40" s="436">
        <f>SUM(R40:BP40)</f>
        <v>0</v>
      </c>
      <c r="M40" s="457"/>
      <c r="N40" s="455"/>
      <c r="O40" s="455"/>
      <c r="P40" s="455"/>
      <c r="Q40" s="455"/>
      <c r="R40" s="31">
        <f>Input!R107</f>
        <v>0</v>
      </c>
      <c r="S40" s="31">
        <f>Input!S107</f>
        <v>0</v>
      </c>
      <c r="T40" s="31">
        <f>Input!T107</f>
        <v>0</v>
      </c>
      <c r="U40" s="31">
        <f>Input!U107</f>
        <v>0</v>
      </c>
      <c r="V40" s="31">
        <f>Input!V107</f>
        <v>0</v>
      </c>
      <c r="W40" s="31">
        <f>Input!W107</f>
        <v>0</v>
      </c>
      <c r="X40" s="31">
        <f>Input!X107</f>
        <v>0</v>
      </c>
      <c r="Y40" s="31">
        <f>Input!Y107</f>
        <v>0</v>
      </c>
      <c r="Z40" s="31">
        <f>Input!Z107</f>
        <v>0</v>
      </c>
      <c r="AA40" s="31">
        <f>Input!AA107</f>
        <v>0</v>
      </c>
      <c r="AB40" s="31">
        <f>Input!AB107</f>
        <v>0</v>
      </c>
      <c r="AC40" s="31">
        <f>Input!AC107</f>
        <v>0</v>
      </c>
      <c r="AD40" s="31">
        <f>Input!AD107</f>
        <v>0</v>
      </c>
      <c r="AE40" s="31">
        <f>Input!AE107</f>
        <v>0</v>
      </c>
      <c r="AF40" s="31">
        <f>Input!AF107</f>
        <v>0</v>
      </c>
      <c r="AG40" s="31">
        <f>Input!AG107</f>
        <v>0</v>
      </c>
      <c r="AH40" s="31">
        <f>Input!AH107</f>
        <v>0</v>
      </c>
      <c r="AI40" s="31">
        <f>Input!AI107</f>
        <v>0</v>
      </c>
      <c r="AJ40" s="31">
        <f>Input!AJ107</f>
        <v>0</v>
      </c>
      <c r="AK40" s="31">
        <f>Input!AK107</f>
        <v>0</v>
      </c>
      <c r="AL40" s="31">
        <f>Input!AL107</f>
        <v>0</v>
      </c>
      <c r="AM40" s="31">
        <f>Input!AM107</f>
        <v>0</v>
      </c>
      <c r="AN40" s="31">
        <f>Input!AN107</f>
        <v>0</v>
      </c>
      <c r="AO40" s="31">
        <f>Input!AO107</f>
        <v>0</v>
      </c>
      <c r="AP40" s="31">
        <f>Input!AP107</f>
        <v>0</v>
      </c>
      <c r="AQ40" s="31">
        <f>Input!AQ107</f>
        <v>0</v>
      </c>
      <c r="AR40" s="31">
        <f>Input!AR107</f>
        <v>0</v>
      </c>
      <c r="AS40" s="31">
        <f>Input!AS107</f>
        <v>0</v>
      </c>
      <c r="AT40" s="31">
        <f>Input!AT107</f>
        <v>0</v>
      </c>
      <c r="AU40" s="31">
        <f>Input!AU107</f>
        <v>0</v>
      </c>
      <c r="AV40" s="31">
        <f>Input!AV107</f>
        <v>0</v>
      </c>
      <c r="AW40" s="31">
        <f>Input!AW107</f>
        <v>0</v>
      </c>
      <c r="AX40" s="31">
        <f>Input!AX107</f>
        <v>0</v>
      </c>
      <c r="AY40" s="31">
        <f>Input!AY107</f>
        <v>0</v>
      </c>
      <c r="AZ40" s="31">
        <f>Input!AZ107</f>
        <v>0</v>
      </c>
      <c r="BA40" s="31">
        <f>Input!BA107</f>
        <v>0</v>
      </c>
      <c r="BB40" s="31">
        <f>Input!BB107</f>
        <v>0</v>
      </c>
      <c r="BC40" s="31">
        <f>Input!BC107</f>
        <v>0</v>
      </c>
      <c r="BD40" s="31">
        <f>Input!BD107</f>
        <v>0</v>
      </c>
      <c r="BE40" s="31">
        <f>Input!BE107</f>
        <v>0</v>
      </c>
      <c r="BF40" s="31">
        <f>Input!BF107</f>
        <v>0</v>
      </c>
      <c r="BG40" s="31">
        <f>Input!BG107</f>
        <v>0</v>
      </c>
      <c r="BH40" s="31">
        <f>Input!BH107</f>
        <v>0</v>
      </c>
      <c r="BI40" s="31">
        <f>Input!BI107</f>
        <v>0</v>
      </c>
      <c r="BJ40" s="31">
        <f>Input!BJ107</f>
        <v>0</v>
      </c>
      <c r="BK40" s="31">
        <f>Input!BK107</f>
        <v>0</v>
      </c>
      <c r="BL40" s="31">
        <f>Input!BL107</f>
        <v>0</v>
      </c>
      <c r="BM40" s="31">
        <f>Input!BM107</f>
        <v>0</v>
      </c>
      <c r="BN40" s="31">
        <f>Input!BN107</f>
        <v>0</v>
      </c>
      <c r="BO40" s="31">
        <f>Input!BO107</f>
        <v>0</v>
      </c>
      <c r="BP40" s="31">
        <f>Input!BP107</f>
        <v>0</v>
      </c>
    </row>
    <row r="41" spans="4:68" ht="10.35" customHeight="1" outlineLevel="1" x14ac:dyDescent="0.2">
      <c r="D41" s="88" t="s">
        <v>338</v>
      </c>
      <c r="E41" s="458"/>
      <c r="F41" s="458"/>
      <c r="G41" s="459"/>
      <c r="H41" s="459"/>
      <c r="I41" s="458"/>
      <c r="J41" s="458"/>
      <c r="K41" s="460"/>
      <c r="L41" s="461">
        <f>SUM(R41:BP41)</f>
        <v>-15330439</v>
      </c>
      <c r="M41" s="462"/>
      <c r="N41" s="463"/>
      <c r="O41" s="463"/>
      <c r="P41" s="463"/>
      <c r="Q41" s="463"/>
      <c r="R41" s="460">
        <f>SUM(R39,R40)</f>
        <v>0</v>
      </c>
      <c r="S41" s="460">
        <f t="shared" ref="S41:AW41" si="55">SUM(S39,S40)</f>
        <v>0</v>
      </c>
      <c r="T41" s="460">
        <f t="shared" si="55"/>
        <v>0</v>
      </c>
      <c r="U41" s="460">
        <f t="shared" si="55"/>
        <v>-2714370</v>
      </c>
      <c r="V41" s="460">
        <f t="shared" si="55"/>
        <v>-3261225</v>
      </c>
      <c r="W41" s="460">
        <f t="shared" si="55"/>
        <v>-3274476</v>
      </c>
      <c r="X41" s="460">
        <f t="shared" si="55"/>
        <v>-2730746</v>
      </c>
      <c r="Y41" s="460">
        <f t="shared" si="55"/>
        <v>-3349622</v>
      </c>
      <c r="Z41" s="460">
        <f t="shared" si="55"/>
        <v>0</v>
      </c>
      <c r="AA41" s="460">
        <f t="shared" si="55"/>
        <v>0</v>
      </c>
      <c r="AB41" s="460">
        <f t="shared" si="55"/>
        <v>0</v>
      </c>
      <c r="AC41" s="460">
        <f t="shared" si="55"/>
        <v>0</v>
      </c>
      <c r="AD41" s="460">
        <f t="shared" si="55"/>
        <v>0</v>
      </c>
      <c r="AE41" s="460">
        <f t="shared" si="55"/>
        <v>0</v>
      </c>
      <c r="AF41" s="460">
        <f t="shared" si="55"/>
        <v>0</v>
      </c>
      <c r="AG41" s="460">
        <f t="shared" si="55"/>
        <v>0</v>
      </c>
      <c r="AH41" s="460">
        <f t="shared" si="55"/>
        <v>0</v>
      </c>
      <c r="AI41" s="460">
        <f t="shared" si="55"/>
        <v>0</v>
      </c>
      <c r="AJ41" s="460">
        <f t="shared" si="55"/>
        <v>0</v>
      </c>
      <c r="AK41" s="460">
        <f t="shared" si="55"/>
        <v>0</v>
      </c>
      <c r="AL41" s="460">
        <f t="shared" si="55"/>
        <v>0</v>
      </c>
      <c r="AM41" s="460">
        <f t="shared" si="55"/>
        <v>0</v>
      </c>
      <c r="AN41" s="460">
        <f t="shared" si="55"/>
        <v>0</v>
      </c>
      <c r="AO41" s="460">
        <f t="shared" si="55"/>
        <v>0</v>
      </c>
      <c r="AP41" s="460">
        <f t="shared" si="55"/>
        <v>0</v>
      </c>
      <c r="AQ41" s="460">
        <f t="shared" si="55"/>
        <v>0</v>
      </c>
      <c r="AR41" s="460">
        <f t="shared" si="55"/>
        <v>0</v>
      </c>
      <c r="AS41" s="460">
        <f t="shared" si="55"/>
        <v>0</v>
      </c>
      <c r="AT41" s="460">
        <f t="shared" si="55"/>
        <v>0</v>
      </c>
      <c r="AU41" s="460">
        <f t="shared" si="55"/>
        <v>0</v>
      </c>
      <c r="AV41" s="460">
        <f t="shared" si="55"/>
        <v>0</v>
      </c>
      <c r="AW41" s="460">
        <f t="shared" si="55"/>
        <v>0</v>
      </c>
      <c r="AX41" s="460">
        <f t="shared" ref="AX41:BP41" si="56">SUM(AX39,AX40)</f>
        <v>0</v>
      </c>
      <c r="AY41" s="460">
        <f t="shared" si="56"/>
        <v>0</v>
      </c>
      <c r="AZ41" s="460">
        <f t="shared" si="56"/>
        <v>0</v>
      </c>
      <c r="BA41" s="460">
        <f t="shared" si="56"/>
        <v>0</v>
      </c>
      <c r="BB41" s="460">
        <f t="shared" si="56"/>
        <v>0</v>
      </c>
      <c r="BC41" s="460">
        <f t="shared" si="56"/>
        <v>0</v>
      </c>
      <c r="BD41" s="460">
        <f t="shared" si="56"/>
        <v>0</v>
      </c>
      <c r="BE41" s="460">
        <f t="shared" si="56"/>
        <v>0</v>
      </c>
      <c r="BF41" s="460">
        <f t="shared" si="56"/>
        <v>0</v>
      </c>
      <c r="BG41" s="460">
        <f t="shared" si="56"/>
        <v>0</v>
      </c>
      <c r="BH41" s="460">
        <f t="shared" si="56"/>
        <v>0</v>
      </c>
      <c r="BI41" s="460">
        <f t="shared" si="56"/>
        <v>0</v>
      </c>
      <c r="BJ41" s="460">
        <f t="shared" si="56"/>
        <v>0</v>
      </c>
      <c r="BK41" s="460">
        <f t="shared" si="56"/>
        <v>0</v>
      </c>
      <c r="BL41" s="460">
        <f t="shared" si="56"/>
        <v>0</v>
      </c>
      <c r="BM41" s="460">
        <f t="shared" si="56"/>
        <v>0</v>
      </c>
      <c r="BN41" s="460">
        <f t="shared" si="56"/>
        <v>0</v>
      </c>
      <c r="BO41" s="460">
        <f t="shared" si="56"/>
        <v>0</v>
      </c>
      <c r="BP41" s="460">
        <f t="shared" si="56"/>
        <v>0</v>
      </c>
    </row>
    <row r="42" spans="4:68" ht="10.35" customHeight="1" outlineLevel="1" x14ac:dyDescent="0.2">
      <c r="D42" s="123"/>
      <c r="E42" s="80"/>
      <c r="F42" s="80"/>
      <c r="G42" s="83"/>
      <c r="H42" s="83"/>
      <c r="I42" s="80"/>
      <c r="J42" s="80"/>
      <c r="K42" s="401"/>
      <c r="L42" s="436"/>
      <c r="M42" s="457"/>
      <c r="N42" s="455"/>
      <c r="O42" s="455"/>
      <c r="P42" s="455"/>
      <c r="Q42" s="455"/>
      <c r="R42" s="401"/>
      <c r="S42" s="401"/>
      <c r="T42" s="401"/>
      <c r="U42" s="401"/>
      <c r="V42" s="401"/>
      <c r="W42" s="401"/>
      <c r="X42" s="401"/>
      <c r="Y42" s="401"/>
      <c r="Z42" s="401"/>
      <c r="AA42" s="401"/>
      <c r="AB42" s="401"/>
      <c r="AC42" s="401"/>
      <c r="AD42" s="401"/>
      <c r="AE42" s="401"/>
      <c r="AF42" s="401"/>
      <c r="AG42" s="401"/>
      <c r="AH42" s="401"/>
      <c r="AI42" s="401"/>
      <c r="AJ42" s="401"/>
      <c r="AK42" s="401"/>
      <c r="AL42" s="401"/>
      <c r="AM42" s="401"/>
      <c r="AN42" s="401"/>
      <c r="AO42" s="401"/>
      <c r="AP42" s="401"/>
      <c r="AQ42" s="401"/>
      <c r="AR42" s="401"/>
      <c r="AS42" s="401"/>
      <c r="AT42" s="401"/>
      <c r="AU42" s="401"/>
      <c r="AV42" s="401"/>
      <c r="AW42" s="401"/>
      <c r="AX42" s="401"/>
      <c r="AY42" s="401"/>
      <c r="AZ42" s="401"/>
      <c r="BA42" s="401"/>
      <c r="BB42" s="401"/>
      <c r="BC42" s="401"/>
      <c r="BD42" s="401"/>
      <c r="BE42" s="401"/>
      <c r="BF42" s="401"/>
      <c r="BG42" s="401"/>
      <c r="BH42" s="401"/>
      <c r="BI42" s="401"/>
      <c r="BJ42" s="401"/>
      <c r="BK42" s="401"/>
      <c r="BL42" s="401"/>
      <c r="BM42" s="401"/>
      <c r="BN42" s="401"/>
      <c r="BO42" s="401"/>
      <c r="BP42" s="401"/>
    </row>
    <row r="43" spans="4:68" ht="10.35" customHeight="1" outlineLevel="1" x14ac:dyDescent="0.2">
      <c r="D43" s="123" t="s">
        <v>339</v>
      </c>
      <c r="E43" s="80"/>
      <c r="F43" s="80"/>
      <c r="G43" s="83"/>
      <c r="H43" s="83"/>
      <c r="I43" s="80"/>
      <c r="J43" s="80"/>
      <c r="K43" s="401"/>
      <c r="L43" s="436"/>
      <c r="M43" s="457"/>
      <c r="N43" s="455"/>
      <c r="O43" s="455"/>
      <c r="P43" s="455"/>
      <c r="Q43" s="455"/>
      <c r="R43" s="401"/>
      <c r="S43" s="401"/>
      <c r="T43" s="401"/>
      <c r="U43" s="401"/>
      <c r="V43" s="401"/>
      <c r="W43" s="401"/>
      <c r="X43" s="401"/>
      <c r="Y43" s="401"/>
      <c r="Z43" s="401"/>
      <c r="AA43" s="401"/>
      <c r="AB43" s="401"/>
      <c r="AC43" s="401"/>
      <c r="AD43" s="401"/>
      <c r="AE43" s="401"/>
      <c r="AF43" s="401"/>
      <c r="AG43" s="401"/>
      <c r="AH43" s="401"/>
      <c r="AI43" s="401"/>
      <c r="AJ43" s="401"/>
      <c r="AK43" s="401"/>
      <c r="AL43" s="401"/>
      <c r="AM43" s="401"/>
      <c r="AN43" s="401"/>
      <c r="AO43" s="401"/>
      <c r="AP43" s="401"/>
      <c r="AQ43" s="401"/>
      <c r="AR43" s="401"/>
      <c r="AS43" s="401"/>
      <c r="AT43" s="401"/>
      <c r="AU43" s="401"/>
      <c r="AV43" s="401"/>
      <c r="AW43" s="401"/>
      <c r="AX43" s="401"/>
      <c r="AY43" s="401"/>
      <c r="AZ43" s="401"/>
      <c r="BA43" s="401"/>
      <c r="BB43" s="401"/>
      <c r="BC43" s="401"/>
      <c r="BD43" s="401"/>
      <c r="BE43" s="401"/>
      <c r="BF43" s="401"/>
      <c r="BG43" s="401"/>
      <c r="BH43" s="401"/>
      <c r="BI43" s="401"/>
      <c r="BJ43" s="401"/>
      <c r="BK43" s="401"/>
      <c r="BL43" s="401"/>
      <c r="BM43" s="401"/>
      <c r="BN43" s="401"/>
      <c r="BO43" s="401"/>
      <c r="BP43" s="401"/>
    </row>
    <row r="44" spans="4:68" ht="10.35" customHeight="1" outlineLevel="1" x14ac:dyDescent="0.2">
      <c r="D44" s="66" t="str">
        <f>Input!$D$70</f>
        <v>Component 1</v>
      </c>
      <c r="E44" s="80"/>
      <c r="F44" s="80"/>
      <c r="G44" s="83"/>
      <c r="H44" s="83"/>
      <c r="I44" s="80"/>
      <c r="J44" s="80"/>
      <c r="K44" s="401"/>
      <c r="L44" s="436">
        <f>MAX(R44:BP44)</f>
        <v>7</v>
      </c>
      <c r="M44" s="457"/>
      <c r="N44" s="455"/>
      <c r="O44" s="455"/>
      <c r="P44" s="455"/>
      <c r="Q44" s="455"/>
      <c r="R44" s="29">
        <f t="shared" ref="R44:AW44" si="57">IF(R33=0,0,R$15)</f>
        <v>0</v>
      </c>
      <c r="S44" s="29">
        <f t="shared" si="57"/>
        <v>0</v>
      </c>
      <c r="T44" s="29">
        <f t="shared" si="57"/>
        <v>0</v>
      </c>
      <c r="U44" s="29">
        <f t="shared" si="57"/>
        <v>3</v>
      </c>
      <c r="V44" s="29">
        <f t="shared" si="57"/>
        <v>4</v>
      </c>
      <c r="W44" s="29">
        <f t="shared" si="57"/>
        <v>5</v>
      </c>
      <c r="X44" s="29">
        <f t="shared" si="57"/>
        <v>6</v>
      </c>
      <c r="Y44" s="29">
        <f t="shared" si="57"/>
        <v>7</v>
      </c>
      <c r="Z44" s="29">
        <f t="shared" si="57"/>
        <v>0</v>
      </c>
      <c r="AA44" s="29">
        <f t="shared" si="57"/>
        <v>0</v>
      </c>
      <c r="AB44" s="29">
        <f t="shared" si="57"/>
        <v>0</v>
      </c>
      <c r="AC44" s="29">
        <f t="shared" si="57"/>
        <v>0</v>
      </c>
      <c r="AD44" s="29">
        <f t="shared" si="57"/>
        <v>0</v>
      </c>
      <c r="AE44" s="29">
        <f t="shared" si="57"/>
        <v>0</v>
      </c>
      <c r="AF44" s="29">
        <f t="shared" si="57"/>
        <v>0</v>
      </c>
      <c r="AG44" s="29">
        <f t="shared" si="57"/>
        <v>0</v>
      </c>
      <c r="AH44" s="29">
        <f t="shared" si="57"/>
        <v>0</v>
      </c>
      <c r="AI44" s="29">
        <f t="shared" si="57"/>
        <v>0</v>
      </c>
      <c r="AJ44" s="29">
        <f t="shared" si="57"/>
        <v>0</v>
      </c>
      <c r="AK44" s="29">
        <f t="shared" si="57"/>
        <v>0</v>
      </c>
      <c r="AL44" s="29">
        <f t="shared" si="57"/>
        <v>0</v>
      </c>
      <c r="AM44" s="29">
        <f t="shared" si="57"/>
        <v>0</v>
      </c>
      <c r="AN44" s="29">
        <f t="shared" si="57"/>
        <v>0</v>
      </c>
      <c r="AO44" s="29">
        <f t="shared" si="57"/>
        <v>0</v>
      </c>
      <c r="AP44" s="29">
        <f t="shared" si="57"/>
        <v>0</v>
      </c>
      <c r="AQ44" s="29">
        <f t="shared" si="57"/>
        <v>0</v>
      </c>
      <c r="AR44" s="29">
        <f t="shared" si="57"/>
        <v>0</v>
      </c>
      <c r="AS44" s="29">
        <f t="shared" si="57"/>
        <v>0</v>
      </c>
      <c r="AT44" s="29">
        <f t="shared" si="57"/>
        <v>0</v>
      </c>
      <c r="AU44" s="29">
        <f t="shared" si="57"/>
        <v>0</v>
      </c>
      <c r="AV44" s="29">
        <f t="shared" si="57"/>
        <v>0</v>
      </c>
      <c r="AW44" s="29">
        <f t="shared" si="57"/>
        <v>0</v>
      </c>
      <c r="AX44" s="29">
        <f t="shared" ref="AX44:BP44" si="58">IF(AX33=0,0,AX$15)</f>
        <v>0</v>
      </c>
      <c r="AY44" s="29">
        <f t="shared" si="58"/>
        <v>0</v>
      </c>
      <c r="AZ44" s="29">
        <f t="shared" si="58"/>
        <v>0</v>
      </c>
      <c r="BA44" s="29">
        <f t="shared" si="58"/>
        <v>0</v>
      </c>
      <c r="BB44" s="29">
        <f t="shared" si="58"/>
        <v>0</v>
      </c>
      <c r="BC44" s="29">
        <f t="shared" si="58"/>
        <v>0</v>
      </c>
      <c r="BD44" s="29">
        <f t="shared" si="58"/>
        <v>0</v>
      </c>
      <c r="BE44" s="29">
        <f t="shared" si="58"/>
        <v>0</v>
      </c>
      <c r="BF44" s="29">
        <f t="shared" si="58"/>
        <v>0</v>
      </c>
      <c r="BG44" s="29">
        <f t="shared" si="58"/>
        <v>0</v>
      </c>
      <c r="BH44" s="29">
        <f t="shared" si="58"/>
        <v>0</v>
      </c>
      <c r="BI44" s="29">
        <f t="shared" si="58"/>
        <v>0</v>
      </c>
      <c r="BJ44" s="29">
        <f t="shared" si="58"/>
        <v>0</v>
      </c>
      <c r="BK44" s="29">
        <f t="shared" si="58"/>
        <v>0</v>
      </c>
      <c r="BL44" s="29">
        <f t="shared" si="58"/>
        <v>0</v>
      </c>
      <c r="BM44" s="29">
        <f t="shared" si="58"/>
        <v>0</v>
      </c>
      <c r="BN44" s="29">
        <f t="shared" si="58"/>
        <v>0</v>
      </c>
      <c r="BO44" s="29">
        <f t="shared" si="58"/>
        <v>0</v>
      </c>
      <c r="BP44" s="29">
        <f t="shared" si="58"/>
        <v>0</v>
      </c>
    </row>
    <row r="45" spans="4:68" ht="10.35" customHeight="1" outlineLevel="1" x14ac:dyDescent="0.2">
      <c r="D45" s="66" t="str">
        <f>Input!$D$77</f>
        <v>Component 2 (if required)</v>
      </c>
      <c r="E45" s="80"/>
      <c r="F45" s="80"/>
      <c r="G45" s="83"/>
      <c r="H45" s="83"/>
      <c r="I45" s="80"/>
      <c r="J45" s="80"/>
      <c r="K45" s="401"/>
      <c r="L45" s="436">
        <f t="shared" ref="L45:L50" si="59">MAX(R45:BP45)</f>
        <v>0</v>
      </c>
      <c r="M45" s="457"/>
      <c r="N45" s="455"/>
      <c r="O45" s="455"/>
      <c r="P45" s="455"/>
      <c r="Q45" s="455"/>
      <c r="R45" s="29">
        <f t="shared" ref="R45:AW45" si="60">IF(R34=0,0,R$15)</f>
        <v>0</v>
      </c>
      <c r="S45" s="29">
        <f t="shared" si="60"/>
        <v>0</v>
      </c>
      <c r="T45" s="29">
        <f t="shared" si="60"/>
        <v>0</v>
      </c>
      <c r="U45" s="29">
        <f t="shared" si="60"/>
        <v>0</v>
      </c>
      <c r="V45" s="29">
        <f t="shared" si="60"/>
        <v>0</v>
      </c>
      <c r="W45" s="29">
        <f t="shared" si="60"/>
        <v>0</v>
      </c>
      <c r="X45" s="29">
        <f t="shared" si="60"/>
        <v>0</v>
      </c>
      <c r="Y45" s="29">
        <f t="shared" si="60"/>
        <v>0</v>
      </c>
      <c r="Z45" s="29">
        <f t="shared" si="60"/>
        <v>0</v>
      </c>
      <c r="AA45" s="29">
        <f t="shared" si="60"/>
        <v>0</v>
      </c>
      <c r="AB45" s="29">
        <f t="shared" si="60"/>
        <v>0</v>
      </c>
      <c r="AC45" s="29">
        <f t="shared" si="60"/>
        <v>0</v>
      </c>
      <c r="AD45" s="29">
        <f t="shared" si="60"/>
        <v>0</v>
      </c>
      <c r="AE45" s="29">
        <f t="shared" si="60"/>
        <v>0</v>
      </c>
      <c r="AF45" s="29">
        <f t="shared" si="60"/>
        <v>0</v>
      </c>
      <c r="AG45" s="29">
        <f t="shared" si="60"/>
        <v>0</v>
      </c>
      <c r="AH45" s="29">
        <f t="shared" si="60"/>
        <v>0</v>
      </c>
      <c r="AI45" s="29">
        <f t="shared" si="60"/>
        <v>0</v>
      </c>
      <c r="AJ45" s="29">
        <f t="shared" si="60"/>
        <v>0</v>
      </c>
      <c r="AK45" s="29">
        <f t="shared" si="60"/>
        <v>0</v>
      </c>
      <c r="AL45" s="29">
        <f t="shared" si="60"/>
        <v>0</v>
      </c>
      <c r="AM45" s="29">
        <f t="shared" si="60"/>
        <v>0</v>
      </c>
      <c r="AN45" s="29">
        <f t="shared" si="60"/>
        <v>0</v>
      </c>
      <c r="AO45" s="29">
        <f t="shared" si="60"/>
        <v>0</v>
      </c>
      <c r="AP45" s="29">
        <f t="shared" si="60"/>
        <v>0</v>
      </c>
      <c r="AQ45" s="29">
        <f t="shared" si="60"/>
        <v>0</v>
      </c>
      <c r="AR45" s="29">
        <f t="shared" si="60"/>
        <v>0</v>
      </c>
      <c r="AS45" s="29">
        <f t="shared" si="60"/>
        <v>0</v>
      </c>
      <c r="AT45" s="29">
        <f t="shared" si="60"/>
        <v>0</v>
      </c>
      <c r="AU45" s="29">
        <f t="shared" si="60"/>
        <v>0</v>
      </c>
      <c r="AV45" s="29">
        <f t="shared" si="60"/>
        <v>0</v>
      </c>
      <c r="AW45" s="29">
        <f t="shared" si="60"/>
        <v>0</v>
      </c>
      <c r="AX45" s="29">
        <f t="shared" ref="AX45:BP45" si="61">IF(AX34=0,0,AX$15)</f>
        <v>0</v>
      </c>
      <c r="AY45" s="29">
        <f t="shared" si="61"/>
        <v>0</v>
      </c>
      <c r="AZ45" s="29">
        <f t="shared" si="61"/>
        <v>0</v>
      </c>
      <c r="BA45" s="29">
        <f t="shared" si="61"/>
        <v>0</v>
      </c>
      <c r="BB45" s="29">
        <f t="shared" si="61"/>
        <v>0</v>
      </c>
      <c r="BC45" s="29">
        <f t="shared" si="61"/>
        <v>0</v>
      </c>
      <c r="BD45" s="29">
        <f t="shared" si="61"/>
        <v>0</v>
      </c>
      <c r="BE45" s="29">
        <f t="shared" si="61"/>
        <v>0</v>
      </c>
      <c r="BF45" s="29">
        <f t="shared" si="61"/>
        <v>0</v>
      </c>
      <c r="BG45" s="29">
        <f t="shared" si="61"/>
        <v>0</v>
      </c>
      <c r="BH45" s="29">
        <f t="shared" si="61"/>
        <v>0</v>
      </c>
      <c r="BI45" s="29">
        <f t="shared" si="61"/>
        <v>0</v>
      </c>
      <c r="BJ45" s="29">
        <f t="shared" si="61"/>
        <v>0</v>
      </c>
      <c r="BK45" s="29">
        <f t="shared" si="61"/>
        <v>0</v>
      </c>
      <c r="BL45" s="29">
        <f t="shared" si="61"/>
        <v>0</v>
      </c>
      <c r="BM45" s="29">
        <f t="shared" si="61"/>
        <v>0</v>
      </c>
      <c r="BN45" s="29">
        <f t="shared" si="61"/>
        <v>0</v>
      </c>
      <c r="BO45" s="29">
        <f t="shared" si="61"/>
        <v>0</v>
      </c>
      <c r="BP45" s="29">
        <f t="shared" si="61"/>
        <v>0</v>
      </c>
    </row>
    <row r="46" spans="4:68" ht="10.35" customHeight="1" outlineLevel="1" x14ac:dyDescent="0.2">
      <c r="D46" s="66" t="str">
        <f>Input!$D$84</f>
        <v>Component 3 (if required)</v>
      </c>
      <c r="E46" s="80"/>
      <c r="F46" s="80"/>
      <c r="G46" s="83"/>
      <c r="H46" s="83"/>
      <c r="I46" s="80"/>
      <c r="J46" s="80"/>
      <c r="K46" s="401"/>
      <c r="L46" s="436">
        <f t="shared" si="59"/>
        <v>0</v>
      </c>
      <c r="M46" s="457"/>
      <c r="N46" s="455"/>
      <c r="O46" s="455"/>
      <c r="P46" s="455"/>
      <c r="Q46" s="455"/>
      <c r="R46" s="29">
        <f t="shared" ref="R46:AW46" si="62">IF(R35=0,0,R$15)</f>
        <v>0</v>
      </c>
      <c r="S46" s="29">
        <f t="shared" si="62"/>
        <v>0</v>
      </c>
      <c r="T46" s="29">
        <f t="shared" si="62"/>
        <v>0</v>
      </c>
      <c r="U46" s="29">
        <f t="shared" si="62"/>
        <v>0</v>
      </c>
      <c r="V46" s="29">
        <f t="shared" si="62"/>
        <v>0</v>
      </c>
      <c r="W46" s="29">
        <f t="shared" si="62"/>
        <v>0</v>
      </c>
      <c r="X46" s="29">
        <f t="shared" si="62"/>
        <v>0</v>
      </c>
      <c r="Y46" s="29">
        <f t="shared" si="62"/>
        <v>0</v>
      </c>
      <c r="Z46" s="29">
        <f t="shared" si="62"/>
        <v>0</v>
      </c>
      <c r="AA46" s="29">
        <f t="shared" si="62"/>
        <v>0</v>
      </c>
      <c r="AB46" s="29">
        <f t="shared" si="62"/>
        <v>0</v>
      </c>
      <c r="AC46" s="29">
        <f t="shared" si="62"/>
        <v>0</v>
      </c>
      <c r="AD46" s="29">
        <f t="shared" si="62"/>
        <v>0</v>
      </c>
      <c r="AE46" s="29">
        <f t="shared" si="62"/>
        <v>0</v>
      </c>
      <c r="AF46" s="29">
        <f t="shared" si="62"/>
        <v>0</v>
      </c>
      <c r="AG46" s="29">
        <f t="shared" si="62"/>
        <v>0</v>
      </c>
      <c r="AH46" s="29">
        <f t="shared" si="62"/>
        <v>0</v>
      </c>
      <c r="AI46" s="29">
        <f t="shared" si="62"/>
        <v>0</v>
      </c>
      <c r="AJ46" s="29">
        <f t="shared" si="62"/>
        <v>0</v>
      </c>
      <c r="AK46" s="29">
        <f t="shared" si="62"/>
        <v>0</v>
      </c>
      <c r="AL46" s="29">
        <f t="shared" si="62"/>
        <v>0</v>
      </c>
      <c r="AM46" s="29">
        <f t="shared" si="62"/>
        <v>0</v>
      </c>
      <c r="AN46" s="29">
        <f t="shared" si="62"/>
        <v>0</v>
      </c>
      <c r="AO46" s="29">
        <f t="shared" si="62"/>
        <v>0</v>
      </c>
      <c r="AP46" s="29">
        <f t="shared" si="62"/>
        <v>0</v>
      </c>
      <c r="AQ46" s="29">
        <f t="shared" si="62"/>
        <v>0</v>
      </c>
      <c r="AR46" s="29">
        <f t="shared" si="62"/>
        <v>0</v>
      </c>
      <c r="AS46" s="29">
        <f t="shared" si="62"/>
        <v>0</v>
      </c>
      <c r="AT46" s="29">
        <f t="shared" si="62"/>
        <v>0</v>
      </c>
      <c r="AU46" s="29">
        <f t="shared" si="62"/>
        <v>0</v>
      </c>
      <c r="AV46" s="29">
        <f t="shared" si="62"/>
        <v>0</v>
      </c>
      <c r="AW46" s="29">
        <f t="shared" si="62"/>
        <v>0</v>
      </c>
      <c r="AX46" s="29">
        <f t="shared" ref="AX46:BP46" si="63">IF(AX35=0,0,AX$15)</f>
        <v>0</v>
      </c>
      <c r="AY46" s="29">
        <f t="shared" si="63"/>
        <v>0</v>
      </c>
      <c r="AZ46" s="29">
        <f t="shared" si="63"/>
        <v>0</v>
      </c>
      <c r="BA46" s="29">
        <f t="shared" si="63"/>
        <v>0</v>
      </c>
      <c r="BB46" s="29">
        <f t="shared" si="63"/>
        <v>0</v>
      </c>
      <c r="BC46" s="29">
        <f t="shared" si="63"/>
        <v>0</v>
      </c>
      <c r="BD46" s="29">
        <f t="shared" si="63"/>
        <v>0</v>
      </c>
      <c r="BE46" s="29">
        <f t="shared" si="63"/>
        <v>0</v>
      </c>
      <c r="BF46" s="29">
        <f t="shared" si="63"/>
        <v>0</v>
      </c>
      <c r="BG46" s="29">
        <f t="shared" si="63"/>
        <v>0</v>
      </c>
      <c r="BH46" s="29">
        <f t="shared" si="63"/>
        <v>0</v>
      </c>
      <c r="BI46" s="29">
        <f t="shared" si="63"/>
        <v>0</v>
      </c>
      <c r="BJ46" s="29">
        <f t="shared" si="63"/>
        <v>0</v>
      </c>
      <c r="BK46" s="29">
        <f t="shared" si="63"/>
        <v>0</v>
      </c>
      <c r="BL46" s="29">
        <f t="shared" si="63"/>
        <v>0</v>
      </c>
      <c r="BM46" s="29">
        <f t="shared" si="63"/>
        <v>0</v>
      </c>
      <c r="BN46" s="29">
        <f t="shared" si="63"/>
        <v>0</v>
      </c>
      <c r="BO46" s="29">
        <f t="shared" si="63"/>
        <v>0</v>
      </c>
      <c r="BP46" s="29">
        <f t="shared" si="63"/>
        <v>0</v>
      </c>
    </row>
    <row r="47" spans="4:68" ht="10.35" customHeight="1" outlineLevel="1" x14ac:dyDescent="0.2">
      <c r="D47" s="66" t="str">
        <f>Input!$D$91</f>
        <v>Component 4 (if required)</v>
      </c>
      <c r="E47" s="80"/>
      <c r="F47" s="80"/>
      <c r="G47" s="83"/>
      <c r="H47" s="83"/>
      <c r="I47" s="80"/>
      <c r="J47" s="80"/>
      <c r="K47" s="401"/>
      <c r="L47" s="436">
        <f t="shared" si="59"/>
        <v>0</v>
      </c>
      <c r="M47" s="457"/>
      <c r="N47" s="455"/>
      <c r="O47" s="455"/>
      <c r="P47" s="455"/>
      <c r="Q47" s="455"/>
      <c r="R47" s="29">
        <f t="shared" ref="R47:AW47" si="64">IF(R36=0,0,R$15)</f>
        <v>0</v>
      </c>
      <c r="S47" s="29">
        <f t="shared" si="64"/>
        <v>0</v>
      </c>
      <c r="T47" s="29">
        <f t="shared" si="64"/>
        <v>0</v>
      </c>
      <c r="U47" s="29">
        <f t="shared" si="64"/>
        <v>0</v>
      </c>
      <c r="V47" s="29">
        <f t="shared" si="64"/>
        <v>0</v>
      </c>
      <c r="W47" s="29">
        <f t="shared" si="64"/>
        <v>0</v>
      </c>
      <c r="X47" s="29">
        <f t="shared" si="64"/>
        <v>0</v>
      </c>
      <c r="Y47" s="29">
        <f t="shared" si="64"/>
        <v>0</v>
      </c>
      <c r="Z47" s="29">
        <f t="shared" si="64"/>
        <v>0</v>
      </c>
      <c r="AA47" s="29">
        <f t="shared" si="64"/>
        <v>0</v>
      </c>
      <c r="AB47" s="29">
        <f t="shared" si="64"/>
        <v>0</v>
      </c>
      <c r="AC47" s="29">
        <f t="shared" si="64"/>
        <v>0</v>
      </c>
      <c r="AD47" s="29">
        <f t="shared" si="64"/>
        <v>0</v>
      </c>
      <c r="AE47" s="29">
        <f t="shared" si="64"/>
        <v>0</v>
      </c>
      <c r="AF47" s="29">
        <f t="shared" si="64"/>
        <v>0</v>
      </c>
      <c r="AG47" s="29">
        <f t="shared" si="64"/>
        <v>0</v>
      </c>
      <c r="AH47" s="29">
        <f t="shared" si="64"/>
        <v>0</v>
      </c>
      <c r="AI47" s="29">
        <f t="shared" si="64"/>
        <v>0</v>
      </c>
      <c r="AJ47" s="29">
        <f t="shared" si="64"/>
        <v>0</v>
      </c>
      <c r="AK47" s="29">
        <f t="shared" si="64"/>
        <v>0</v>
      </c>
      <c r="AL47" s="29">
        <f t="shared" si="64"/>
        <v>0</v>
      </c>
      <c r="AM47" s="29">
        <f t="shared" si="64"/>
        <v>0</v>
      </c>
      <c r="AN47" s="29">
        <f t="shared" si="64"/>
        <v>0</v>
      </c>
      <c r="AO47" s="29">
        <f t="shared" si="64"/>
        <v>0</v>
      </c>
      <c r="AP47" s="29">
        <f t="shared" si="64"/>
        <v>0</v>
      </c>
      <c r="AQ47" s="29">
        <f t="shared" si="64"/>
        <v>0</v>
      </c>
      <c r="AR47" s="29">
        <f t="shared" si="64"/>
        <v>0</v>
      </c>
      <c r="AS47" s="29">
        <f t="shared" si="64"/>
        <v>0</v>
      </c>
      <c r="AT47" s="29">
        <f t="shared" si="64"/>
        <v>0</v>
      </c>
      <c r="AU47" s="29">
        <f t="shared" si="64"/>
        <v>0</v>
      </c>
      <c r="AV47" s="29">
        <f t="shared" si="64"/>
        <v>0</v>
      </c>
      <c r="AW47" s="29">
        <f t="shared" si="64"/>
        <v>0</v>
      </c>
      <c r="AX47" s="29">
        <f t="shared" ref="AX47:BP47" si="65">IF(AX36=0,0,AX$15)</f>
        <v>0</v>
      </c>
      <c r="AY47" s="29">
        <f t="shared" si="65"/>
        <v>0</v>
      </c>
      <c r="AZ47" s="29">
        <f t="shared" si="65"/>
        <v>0</v>
      </c>
      <c r="BA47" s="29">
        <f t="shared" si="65"/>
        <v>0</v>
      </c>
      <c r="BB47" s="29">
        <f t="shared" si="65"/>
        <v>0</v>
      </c>
      <c r="BC47" s="29">
        <f t="shared" si="65"/>
        <v>0</v>
      </c>
      <c r="BD47" s="29">
        <f t="shared" si="65"/>
        <v>0</v>
      </c>
      <c r="BE47" s="29">
        <f t="shared" si="65"/>
        <v>0</v>
      </c>
      <c r="BF47" s="29">
        <f t="shared" si="65"/>
        <v>0</v>
      </c>
      <c r="BG47" s="29">
        <f t="shared" si="65"/>
        <v>0</v>
      </c>
      <c r="BH47" s="29">
        <f t="shared" si="65"/>
        <v>0</v>
      </c>
      <c r="BI47" s="29">
        <f t="shared" si="65"/>
        <v>0</v>
      </c>
      <c r="BJ47" s="29">
        <f t="shared" si="65"/>
        <v>0</v>
      </c>
      <c r="BK47" s="29">
        <f t="shared" si="65"/>
        <v>0</v>
      </c>
      <c r="BL47" s="29">
        <f t="shared" si="65"/>
        <v>0</v>
      </c>
      <c r="BM47" s="29">
        <f t="shared" si="65"/>
        <v>0</v>
      </c>
      <c r="BN47" s="29">
        <f t="shared" si="65"/>
        <v>0</v>
      </c>
      <c r="BO47" s="29">
        <f t="shared" si="65"/>
        <v>0</v>
      </c>
      <c r="BP47" s="29">
        <f t="shared" si="65"/>
        <v>0</v>
      </c>
    </row>
    <row r="48" spans="4:68" ht="10.35" customHeight="1" outlineLevel="1" x14ac:dyDescent="0.2">
      <c r="D48" s="66" t="str">
        <f>Input!$D$98</f>
        <v>Proceeds of sale</v>
      </c>
      <c r="E48" s="80"/>
      <c r="F48" s="80"/>
      <c r="G48" s="83"/>
      <c r="H48" s="83"/>
      <c r="I48" s="80"/>
      <c r="J48" s="80"/>
      <c r="K48" s="401"/>
      <c r="L48" s="436">
        <f t="shared" si="59"/>
        <v>0</v>
      </c>
      <c r="M48" s="457"/>
      <c r="N48" s="455"/>
      <c r="O48" s="455"/>
      <c r="P48" s="455"/>
      <c r="Q48" s="455"/>
      <c r="R48" s="29">
        <f t="shared" ref="R48:R49" si="66">IF(R37=0,0,R$15)</f>
        <v>0</v>
      </c>
      <c r="S48" s="29">
        <f t="shared" ref="S48:BP49" si="67">IF(S37=0,0,S$15)</f>
        <v>0</v>
      </c>
      <c r="T48" s="29">
        <f t="shared" si="67"/>
        <v>0</v>
      </c>
      <c r="U48" s="29">
        <f t="shared" si="67"/>
        <v>0</v>
      </c>
      <c r="V48" s="29">
        <f t="shared" si="67"/>
        <v>0</v>
      </c>
      <c r="W48" s="29">
        <f t="shared" si="67"/>
        <v>0</v>
      </c>
      <c r="X48" s="29">
        <f t="shared" si="67"/>
        <v>0</v>
      </c>
      <c r="Y48" s="29">
        <f t="shared" si="67"/>
        <v>0</v>
      </c>
      <c r="Z48" s="29">
        <f t="shared" si="67"/>
        <v>0</v>
      </c>
      <c r="AA48" s="29">
        <f t="shared" si="67"/>
        <v>0</v>
      </c>
      <c r="AB48" s="29">
        <f t="shared" si="67"/>
        <v>0</v>
      </c>
      <c r="AC48" s="29">
        <f t="shared" si="67"/>
        <v>0</v>
      </c>
      <c r="AD48" s="29">
        <f t="shared" si="67"/>
        <v>0</v>
      </c>
      <c r="AE48" s="29">
        <f t="shared" si="67"/>
        <v>0</v>
      </c>
      <c r="AF48" s="29">
        <f t="shared" si="67"/>
        <v>0</v>
      </c>
      <c r="AG48" s="29">
        <f t="shared" si="67"/>
        <v>0</v>
      </c>
      <c r="AH48" s="29">
        <f t="shared" si="67"/>
        <v>0</v>
      </c>
      <c r="AI48" s="29">
        <f t="shared" si="67"/>
        <v>0</v>
      </c>
      <c r="AJ48" s="29">
        <f t="shared" si="67"/>
        <v>0</v>
      </c>
      <c r="AK48" s="29">
        <f t="shared" si="67"/>
        <v>0</v>
      </c>
      <c r="AL48" s="29">
        <f t="shared" si="67"/>
        <v>0</v>
      </c>
      <c r="AM48" s="29">
        <f t="shared" si="67"/>
        <v>0</v>
      </c>
      <c r="AN48" s="29">
        <f t="shared" si="67"/>
        <v>0</v>
      </c>
      <c r="AO48" s="29">
        <f t="shared" si="67"/>
        <v>0</v>
      </c>
      <c r="AP48" s="29">
        <f t="shared" si="67"/>
        <v>0</v>
      </c>
      <c r="AQ48" s="29">
        <f t="shared" si="67"/>
        <v>0</v>
      </c>
      <c r="AR48" s="29">
        <f t="shared" si="67"/>
        <v>0</v>
      </c>
      <c r="AS48" s="29">
        <f t="shared" si="67"/>
        <v>0</v>
      </c>
      <c r="AT48" s="29">
        <f t="shared" si="67"/>
        <v>0</v>
      </c>
      <c r="AU48" s="29">
        <f t="shared" si="67"/>
        <v>0</v>
      </c>
      <c r="AV48" s="29">
        <f t="shared" si="67"/>
        <v>0</v>
      </c>
      <c r="AW48" s="29">
        <f t="shared" si="67"/>
        <v>0</v>
      </c>
      <c r="AX48" s="29">
        <f t="shared" si="67"/>
        <v>0</v>
      </c>
      <c r="AY48" s="29">
        <f t="shared" si="67"/>
        <v>0</v>
      </c>
      <c r="AZ48" s="29">
        <f t="shared" si="67"/>
        <v>0</v>
      </c>
      <c r="BA48" s="29">
        <f t="shared" si="67"/>
        <v>0</v>
      </c>
      <c r="BB48" s="29">
        <f t="shared" si="67"/>
        <v>0</v>
      </c>
      <c r="BC48" s="29">
        <f t="shared" si="67"/>
        <v>0</v>
      </c>
      <c r="BD48" s="29">
        <f t="shared" si="67"/>
        <v>0</v>
      </c>
      <c r="BE48" s="29">
        <f t="shared" si="67"/>
        <v>0</v>
      </c>
      <c r="BF48" s="29">
        <f t="shared" si="67"/>
        <v>0</v>
      </c>
      <c r="BG48" s="29">
        <f t="shared" si="67"/>
        <v>0</v>
      </c>
      <c r="BH48" s="29">
        <f t="shared" si="67"/>
        <v>0</v>
      </c>
      <c r="BI48" s="29">
        <f t="shared" si="67"/>
        <v>0</v>
      </c>
      <c r="BJ48" s="29">
        <f t="shared" si="67"/>
        <v>0</v>
      </c>
      <c r="BK48" s="29">
        <f t="shared" si="67"/>
        <v>0</v>
      </c>
      <c r="BL48" s="29">
        <f t="shared" si="67"/>
        <v>0</v>
      </c>
      <c r="BM48" s="29">
        <f t="shared" si="67"/>
        <v>0</v>
      </c>
      <c r="BN48" s="29">
        <f t="shared" si="67"/>
        <v>0</v>
      </c>
      <c r="BO48" s="29">
        <f t="shared" si="67"/>
        <v>0</v>
      </c>
      <c r="BP48" s="29">
        <f t="shared" si="67"/>
        <v>0</v>
      </c>
    </row>
    <row r="49" spans="2:68" ht="10.35" customHeight="1" outlineLevel="1" x14ac:dyDescent="0.2">
      <c r="B49" s="80"/>
      <c r="C49" s="80"/>
      <c r="D49" s="66" t="str">
        <f>Input!$D$105</f>
        <v>Contingency</v>
      </c>
      <c r="E49" s="80"/>
      <c r="F49" s="80"/>
      <c r="G49" s="83"/>
      <c r="H49" s="83"/>
      <c r="I49" s="80"/>
      <c r="J49" s="80"/>
      <c r="K49" s="401"/>
      <c r="L49" s="436">
        <f t="shared" si="59"/>
        <v>0</v>
      </c>
      <c r="M49" s="457"/>
      <c r="N49" s="455"/>
      <c r="O49" s="455"/>
      <c r="P49" s="455"/>
      <c r="Q49" s="455"/>
      <c r="R49" s="29">
        <f t="shared" si="66"/>
        <v>0</v>
      </c>
      <c r="S49" s="29">
        <f t="shared" si="67"/>
        <v>0</v>
      </c>
      <c r="T49" s="29">
        <f t="shared" si="67"/>
        <v>0</v>
      </c>
      <c r="U49" s="29">
        <f t="shared" si="67"/>
        <v>0</v>
      </c>
      <c r="V49" s="29">
        <f t="shared" si="67"/>
        <v>0</v>
      </c>
      <c r="W49" s="29">
        <f t="shared" si="67"/>
        <v>0</v>
      </c>
      <c r="X49" s="29">
        <f t="shared" si="67"/>
        <v>0</v>
      </c>
      <c r="Y49" s="29">
        <f t="shared" si="67"/>
        <v>0</v>
      </c>
      <c r="Z49" s="29">
        <f t="shared" si="67"/>
        <v>0</v>
      </c>
      <c r="AA49" s="29">
        <f t="shared" si="67"/>
        <v>0</v>
      </c>
      <c r="AB49" s="29">
        <f t="shared" si="67"/>
        <v>0</v>
      </c>
      <c r="AC49" s="29">
        <f t="shared" si="67"/>
        <v>0</v>
      </c>
      <c r="AD49" s="29">
        <f t="shared" si="67"/>
        <v>0</v>
      </c>
      <c r="AE49" s="29">
        <f t="shared" si="67"/>
        <v>0</v>
      </c>
      <c r="AF49" s="29">
        <f t="shared" si="67"/>
        <v>0</v>
      </c>
      <c r="AG49" s="29">
        <f t="shared" si="67"/>
        <v>0</v>
      </c>
      <c r="AH49" s="29">
        <f t="shared" si="67"/>
        <v>0</v>
      </c>
      <c r="AI49" s="29">
        <f t="shared" si="67"/>
        <v>0</v>
      </c>
      <c r="AJ49" s="29">
        <f t="shared" si="67"/>
        <v>0</v>
      </c>
      <c r="AK49" s="29">
        <f t="shared" si="67"/>
        <v>0</v>
      </c>
      <c r="AL49" s="29">
        <f t="shared" si="67"/>
        <v>0</v>
      </c>
      <c r="AM49" s="29">
        <f t="shared" ref="S49:BP50" si="68">IF(AM38=0,0,AM$15)</f>
        <v>0</v>
      </c>
      <c r="AN49" s="29">
        <f t="shared" si="68"/>
        <v>0</v>
      </c>
      <c r="AO49" s="29">
        <f t="shared" si="68"/>
        <v>0</v>
      </c>
      <c r="AP49" s="29">
        <f t="shared" si="68"/>
        <v>0</v>
      </c>
      <c r="AQ49" s="29">
        <f t="shared" si="68"/>
        <v>0</v>
      </c>
      <c r="AR49" s="29">
        <f t="shared" si="68"/>
        <v>0</v>
      </c>
      <c r="AS49" s="29">
        <f t="shared" si="68"/>
        <v>0</v>
      </c>
      <c r="AT49" s="29">
        <f t="shared" si="68"/>
        <v>0</v>
      </c>
      <c r="AU49" s="29">
        <f t="shared" si="68"/>
        <v>0</v>
      </c>
      <c r="AV49" s="29">
        <f t="shared" si="68"/>
        <v>0</v>
      </c>
      <c r="AW49" s="29">
        <f t="shared" si="68"/>
        <v>0</v>
      </c>
      <c r="AX49" s="29">
        <f t="shared" si="68"/>
        <v>0</v>
      </c>
      <c r="AY49" s="29">
        <f t="shared" si="68"/>
        <v>0</v>
      </c>
      <c r="AZ49" s="29">
        <f t="shared" si="68"/>
        <v>0</v>
      </c>
      <c r="BA49" s="29">
        <f t="shared" si="68"/>
        <v>0</v>
      </c>
      <c r="BB49" s="29">
        <f t="shared" si="68"/>
        <v>0</v>
      </c>
      <c r="BC49" s="29">
        <f t="shared" si="68"/>
        <v>0</v>
      </c>
      <c r="BD49" s="29">
        <f t="shared" si="68"/>
        <v>0</v>
      </c>
      <c r="BE49" s="29">
        <f t="shared" si="68"/>
        <v>0</v>
      </c>
      <c r="BF49" s="29">
        <f t="shared" si="68"/>
        <v>0</v>
      </c>
      <c r="BG49" s="29">
        <f t="shared" si="68"/>
        <v>0</v>
      </c>
      <c r="BH49" s="29">
        <f t="shared" si="68"/>
        <v>0</v>
      </c>
      <c r="BI49" s="29">
        <f t="shared" si="68"/>
        <v>0</v>
      </c>
      <c r="BJ49" s="29">
        <f t="shared" si="68"/>
        <v>0</v>
      </c>
      <c r="BK49" s="29">
        <f t="shared" si="68"/>
        <v>0</v>
      </c>
      <c r="BL49" s="29">
        <f t="shared" si="68"/>
        <v>0</v>
      </c>
      <c r="BM49" s="29">
        <f t="shared" si="68"/>
        <v>0</v>
      </c>
      <c r="BN49" s="29">
        <f t="shared" si="68"/>
        <v>0</v>
      </c>
      <c r="BO49" s="29">
        <f t="shared" si="68"/>
        <v>0</v>
      </c>
      <c r="BP49" s="29">
        <f t="shared" si="68"/>
        <v>0</v>
      </c>
    </row>
    <row r="50" spans="2:68" ht="10.35" customHeight="1" outlineLevel="1" x14ac:dyDescent="0.2">
      <c r="B50" s="80"/>
      <c r="C50" s="80"/>
      <c r="D50" s="86" t="s">
        <v>337</v>
      </c>
      <c r="E50" s="458"/>
      <c r="F50" s="458"/>
      <c r="G50" s="459"/>
      <c r="H50" s="459"/>
      <c r="I50" s="458"/>
      <c r="J50" s="458"/>
      <c r="K50" s="460"/>
      <c r="L50" s="461">
        <f t="shared" si="59"/>
        <v>7</v>
      </c>
      <c r="M50" s="462"/>
      <c r="N50" s="463"/>
      <c r="O50" s="463"/>
      <c r="P50" s="463"/>
      <c r="Q50" s="463"/>
      <c r="R50" s="177">
        <f>IF(R39=0,0,R$15)</f>
        <v>0</v>
      </c>
      <c r="S50" s="177">
        <f t="shared" si="68"/>
        <v>0</v>
      </c>
      <c r="T50" s="177">
        <f t="shared" si="68"/>
        <v>0</v>
      </c>
      <c r="U50" s="177">
        <f t="shared" si="68"/>
        <v>3</v>
      </c>
      <c r="V50" s="177">
        <f t="shared" si="68"/>
        <v>4</v>
      </c>
      <c r="W50" s="177">
        <f t="shared" si="68"/>
        <v>5</v>
      </c>
      <c r="X50" s="177">
        <f t="shared" si="68"/>
        <v>6</v>
      </c>
      <c r="Y50" s="177">
        <f t="shared" si="68"/>
        <v>7</v>
      </c>
      <c r="Z50" s="177">
        <f t="shared" si="68"/>
        <v>0</v>
      </c>
      <c r="AA50" s="177">
        <f t="shared" si="68"/>
        <v>0</v>
      </c>
      <c r="AB50" s="177">
        <f t="shared" si="68"/>
        <v>0</v>
      </c>
      <c r="AC50" s="177">
        <f t="shared" si="68"/>
        <v>0</v>
      </c>
      <c r="AD50" s="177">
        <f t="shared" si="68"/>
        <v>0</v>
      </c>
      <c r="AE50" s="177">
        <f t="shared" si="68"/>
        <v>0</v>
      </c>
      <c r="AF50" s="177">
        <f t="shared" si="68"/>
        <v>0</v>
      </c>
      <c r="AG50" s="177">
        <f t="shared" si="68"/>
        <v>0</v>
      </c>
      <c r="AH50" s="177">
        <f t="shared" si="68"/>
        <v>0</v>
      </c>
      <c r="AI50" s="177">
        <f t="shared" si="68"/>
        <v>0</v>
      </c>
      <c r="AJ50" s="177">
        <f t="shared" si="68"/>
        <v>0</v>
      </c>
      <c r="AK50" s="177">
        <f t="shared" si="68"/>
        <v>0</v>
      </c>
      <c r="AL50" s="177">
        <f t="shared" si="68"/>
        <v>0</v>
      </c>
      <c r="AM50" s="177">
        <f t="shared" si="68"/>
        <v>0</v>
      </c>
      <c r="AN50" s="177">
        <f t="shared" si="68"/>
        <v>0</v>
      </c>
      <c r="AO50" s="177">
        <f t="shared" si="68"/>
        <v>0</v>
      </c>
      <c r="AP50" s="177">
        <f t="shared" si="68"/>
        <v>0</v>
      </c>
      <c r="AQ50" s="177">
        <f t="shared" si="68"/>
        <v>0</v>
      </c>
      <c r="AR50" s="177">
        <f t="shared" si="68"/>
        <v>0</v>
      </c>
      <c r="AS50" s="177">
        <f t="shared" si="68"/>
        <v>0</v>
      </c>
      <c r="AT50" s="177">
        <f t="shared" si="68"/>
        <v>0</v>
      </c>
      <c r="AU50" s="177">
        <f t="shared" si="68"/>
        <v>0</v>
      </c>
      <c r="AV50" s="177">
        <f t="shared" si="68"/>
        <v>0</v>
      </c>
      <c r="AW50" s="177">
        <f t="shared" si="68"/>
        <v>0</v>
      </c>
      <c r="AX50" s="177">
        <f t="shared" si="68"/>
        <v>0</v>
      </c>
      <c r="AY50" s="177">
        <f t="shared" si="68"/>
        <v>0</v>
      </c>
      <c r="AZ50" s="177">
        <f t="shared" si="68"/>
        <v>0</v>
      </c>
      <c r="BA50" s="177">
        <f t="shared" si="68"/>
        <v>0</v>
      </c>
      <c r="BB50" s="177">
        <f t="shared" si="68"/>
        <v>0</v>
      </c>
      <c r="BC50" s="177">
        <f t="shared" si="68"/>
        <v>0</v>
      </c>
      <c r="BD50" s="177">
        <f t="shared" si="68"/>
        <v>0</v>
      </c>
      <c r="BE50" s="177">
        <f t="shared" si="68"/>
        <v>0</v>
      </c>
      <c r="BF50" s="177">
        <f t="shared" si="68"/>
        <v>0</v>
      </c>
      <c r="BG50" s="177">
        <f t="shared" si="68"/>
        <v>0</v>
      </c>
      <c r="BH50" s="177">
        <f t="shared" si="68"/>
        <v>0</v>
      </c>
      <c r="BI50" s="177">
        <f t="shared" si="68"/>
        <v>0</v>
      </c>
      <c r="BJ50" s="177">
        <f t="shared" si="68"/>
        <v>0</v>
      </c>
      <c r="BK50" s="177">
        <f t="shared" si="68"/>
        <v>0</v>
      </c>
      <c r="BL50" s="177">
        <f t="shared" si="68"/>
        <v>0</v>
      </c>
      <c r="BM50" s="177">
        <f t="shared" si="68"/>
        <v>0</v>
      </c>
      <c r="BN50" s="177">
        <f t="shared" si="68"/>
        <v>0</v>
      </c>
      <c r="BO50" s="177">
        <f t="shared" si="68"/>
        <v>0</v>
      </c>
      <c r="BP50" s="177">
        <f t="shared" si="68"/>
        <v>0</v>
      </c>
    </row>
    <row r="51" spans="2:68" ht="10.35" customHeight="1" outlineLevel="1" x14ac:dyDescent="0.2">
      <c r="B51" s="80"/>
      <c r="C51" s="80"/>
      <c r="D51" s="81"/>
      <c r="E51" s="80"/>
      <c r="F51" s="80"/>
      <c r="G51" s="80"/>
      <c r="H51" s="80"/>
      <c r="I51" s="80"/>
      <c r="J51" s="432"/>
      <c r="K51" s="80"/>
      <c r="L51" s="436"/>
      <c r="M51" s="437"/>
      <c r="N51" s="401"/>
      <c r="O51" s="401"/>
      <c r="P51" s="401"/>
      <c r="Q51" s="401"/>
      <c r="R51" s="29"/>
      <c r="S51" s="29"/>
      <c r="T51" s="29"/>
      <c r="U51" s="29"/>
      <c r="V51" s="29"/>
      <c r="W51" s="29"/>
      <c r="X51" s="29"/>
      <c r="Y51" s="29"/>
      <c r="Z51" s="29"/>
      <c r="AA51" s="29"/>
      <c r="AB51" s="29"/>
      <c r="AC51" s="29"/>
      <c r="AD51" s="29"/>
      <c r="AE51" s="29"/>
      <c r="AF51" s="29"/>
      <c r="AG51" s="29"/>
      <c r="AH51" s="29"/>
      <c r="AI51" s="29"/>
      <c r="AJ51" s="29"/>
      <c r="AK51" s="29"/>
      <c r="AL51" s="29"/>
      <c r="AM51" s="29"/>
      <c r="AN51" s="29"/>
      <c r="AO51" s="29"/>
      <c r="AP51" s="29"/>
      <c r="AQ51" s="29"/>
      <c r="AR51" s="29"/>
      <c r="AS51" s="29"/>
      <c r="AT51" s="29"/>
      <c r="AU51" s="29"/>
      <c r="AV51" s="29"/>
      <c r="AW51" s="29"/>
      <c r="AX51" s="29"/>
      <c r="AY51" s="29"/>
      <c r="AZ51" s="29"/>
      <c r="BA51" s="29"/>
      <c r="BB51" s="29"/>
      <c r="BC51" s="29"/>
      <c r="BD51" s="29"/>
      <c r="BE51" s="29"/>
      <c r="BF51" s="29"/>
      <c r="BG51" s="29"/>
      <c r="BH51" s="29"/>
      <c r="BI51" s="29"/>
      <c r="BJ51" s="29"/>
      <c r="BK51" s="29"/>
      <c r="BL51" s="29"/>
      <c r="BM51" s="29"/>
      <c r="BN51" s="29"/>
      <c r="BO51" s="29"/>
      <c r="BP51" s="29"/>
    </row>
    <row r="52" spans="2:68" ht="10.35" customHeight="1" outlineLevel="1" x14ac:dyDescent="0.2">
      <c r="B52" s="80"/>
      <c r="C52" s="80"/>
      <c r="D52" s="10" t="str">
        <f>Input!$C$118</f>
        <v>Future capex cost</v>
      </c>
      <c r="E52" s="80"/>
      <c r="F52" s="80"/>
      <c r="G52" s="83"/>
      <c r="H52" s="83"/>
      <c r="I52" s="80"/>
      <c r="J52" s="80"/>
      <c r="K52" s="34"/>
      <c r="L52" s="126"/>
      <c r="M52" s="127"/>
      <c r="N52" s="34"/>
      <c r="O52" s="34"/>
      <c r="P52" s="34"/>
      <c r="Q52" s="34"/>
      <c r="R52" s="33"/>
      <c r="S52" s="33"/>
      <c r="T52" s="33"/>
      <c r="U52" s="33"/>
      <c r="V52" s="33"/>
      <c r="W52" s="33"/>
      <c r="X52" s="33"/>
      <c r="Y52" s="33"/>
      <c r="Z52" s="33"/>
      <c r="AA52" s="33"/>
      <c r="AB52" s="33"/>
      <c r="AC52" s="33"/>
      <c r="AD52" s="33"/>
      <c r="AE52" s="33"/>
      <c r="AF52" s="33"/>
      <c r="AG52" s="33"/>
      <c r="AH52" s="33"/>
      <c r="AI52" s="33"/>
      <c r="AJ52" s="33"/>
      <c r="AK52" s="33"/>
      <c r="AL52" s="33"/>
      <c r="AM52" s="33"/>
      <c r="AN52" s="33"/>
      <c r="AO52" s="33"/>
      <c r="AP52" s="33"/>
      <c r="AQ52" s="33"/>
      <c r="AR52" s="33"/>
      <c r="AS52" s="33"/>
      <c r="AT52" s="33"/>
      <c r="AU52" s="33"/>
      <c r="AV52" s="33"/>
      <c r="AW52" s="33"/>
      <c r="AX52" s="33"/>
      <c r="AY52" s="33"/>
      <c r="AZ52" s="33"/>
      <c r="BA52" s="33"/>
      <c r="BB52" s="33"/>
      <c r="BC52" s="33"/>
      <c r="BD52" s="33"/>
      <c r="BE52" s="33"/>
      <c r="BF52" s="33"/>
      <c r="BG52" s="33"/>
      <c r="BH52" s="33"/>
      <c r="BI52" s="33"/>
      <c r="BJ52" s="33"/>
      <c r="BK52" s="33"/>
      <c r="BL52" s="33"/>
      <c r="BM52" s="33"/>
      <c r="BN52" s="33"/>
      <c r="BO52" s="33"/>
      <c r="BP52" s="33"/>
    </row>
    <row r="53" spans="2:68" outlineLevel="1" x14ac:dyDescent="0.2">
      <c r="B53" s="20"/>
      <c r="C53" s="80"/>
      <c r="D53" s="81" t="str">
        <f>Input!$D$129</f>
        <v>Phase 1</v>
      </c>
      <c r="E53" s="80"/>
      <c r="F53" s="80"/>
      <c r="G53" s="83"/>
      <c r="H53" s="83"/>
      <c r="I53" s="80"/>
      <c r="J53" s="401"/>
      <c r="K53" s="401"/>
      <c r="L53" s="436">
        <f t="shared" ref="L53:L60" si="69">SUM(R53:BP53)</f>
        <v>0</v>
      </c>
      <c r="M53" s="457"/>
      <c r="N53" s="455"/>
      <c r="O53" s="455"/>
      <c r="P53" s="455"/>
      <c r="Q53" s="455"/>
      <c r="R53" s="31">
        <f>Input!R129</f>
        <v>0</v>
      </c>
      <c r="S53" s="31">
        <f>Input!S129</f>
        <v>0</v>
      </c>
      <c r="T53" s="31">
        <f>Input!T129</f>
        <v>0</v>
      </c>
      <c r="U53" s="31">
        <f>Input!U129</f>
        <v>0</v>
      </c>
      <c r="V53" s="31">
        <f>Input!V129</f>
        <v>0</v>
      </c>
      <c r="W53" s="31">
        <f>Input!W129</f>
        <v>0</v>
      </c>
      <c r="X53" s="31">
        <f>Input!X129</f>
        <v>0</v>
      </c>
      <c r="Y53" s="31">
        <f>Input!Y129</f>
        <v>0</v>
      </c>
      <c r="Z53" s="31">
        <f>Input!Z129</f>
        <v>0</v>
      </c>
      <c r="AA53" s="31">
        <f>Input!AA129</f>
        <v>0</v>
      </c>
      <c r="AB53" s="31">
        <f>Input!AB129</f>
        <v>0</v>
      </c>
      <c r="AC53" s="31">
        <f>Input!AC129</f>
        <v>0</v>
      </c>
      <c r="AD53" s="31">
        <f>Input!AD129</f>
        <v>0</v>
      </c>
      <c r="AE53" s="31">
        <f>Input!AE129</f>
        <v>0</v>
      </c>
      <c r="AF53" s="31">
        <f>Input!AF129</f>
        <v>0</v>
      </c>
      <c r="AG53" s="31">
        <f>Input!AG129</f>
        <v>0</v>
      </c>
      <c r="AH53" s="31">
        <f>Input!AH129</f>
        <v>0</v>
      </c>
      <c r="AI53" s="31">
        <f>Input!AI129</f>
        <v>0</v>
      </c>
      <c r="AJ53" s="31">
        <f>Input!AJ129</f>
        <v>0</v>
      </c>
      <c r="AK53" s="31">
        <f>Input!AK129</f>
        <v>0</v>
      </c>
      <c r="AL53" s="31">
        <f>Input!AL129</f>
        <v>0</v>
      </c>
      <c r="AM53" s="31">
        <f>Input!AM129</f>
        <v>0</v>
      </c>
      <c r="AN53" s="31">
        <f>Input!AN129</f>
        <v>0</v>
      </c>
      <c r="AO53" s="31">
        <f>Input!AO129</f>
        <v>0</v>
      </c>
      <c r="AP53" s="31">
        <f>Input!AP129</f>
        <v>0</v>
      </c>
      <c r="AQ53" s="31">
        <f>Input!AQ129</f>
        <v>0</v>
      </c>
      <c r="AR53" s="31">
        <f>Input!AR129</f>
        <v>0</v>
      </c>
      <c r="AS53" s="31">
        <f>Input!AS129</f>
        <v>0</v>
      </c>
      <c r="AT53" s="31">
        <f>Input!AT129</f>
        <v>0</v>
      </c>
      <c r="AU53" s="31">
        <f>Input!AU129</f>
        <v>0</v>
      </c>
      <c r="AV53" s="31">
        <f>Input!AV129</f>
        <v>0</v>
      </c>
      <c r="AW53" s="31">
        <f>Input!AW129</f>
        <v>0</v>
      </c>
      <c r="AX53" s="31">
        <f>Input!AX129</f>
        <v>0</v>
      </c>
      <c r="AY53" s="31">
        <f>Input!AY129</f>
        <v>0</v>
      </c>
      <c r="AZ53" s="31">
        <f>Input!AZ129</f>
        <v>0</v>
      </c>
      <c r="BA53" s="31">
        <f>Input!BA129</f>
        <v>0</v>
      </c>
      <c r="BB53" s="31">
        <f>Input!BB129</f>
        <v>0</v>
      </c>
      <c r="BC53" s="31">
        <f>Input!BC129</f>
        <v>0</v>
      </c>
      <c r="BD53" s="31">
        <f>Input!BD129</f>
        <v>0</v>
      </c>
      <c r="BE53" s="31">
        <f>Input!BE129</f>
        <v>0</v>
      </c>
      <c r="BF53" s="31">
        <f>Input!BF129</f>
        <v>0</v>
      </c>
      <c r="BG53" s="31">
        <f>Input!BG129</f>
        <v>0</v>
      </c>
      <c r="BH53" s="31">
        <f>Input!BH129</f>
        <v>0</v>
      </c>
      <c r="BI53" s="31">
        <f>Input!BI129</f>
        <v>0</v>
      </c>
      <c r="BJ53" s="31">
        <f>Input!BJ129</f>
        <v>0</v>
      </c>
      <c r="BK53" s="31">
        <f>Input!BK129</f>
        <v>0</v>
      </c>
      <c r="BL53" s="31">
        <f>Input!BL129</f>
        <v>0</v>
      </c>
      <c r="BM53" s="31">
        <f>Input!BM129</f>
        <v>0</v>
      </c>
      <c r="BN53" s="31">
        <f>Input!BN129</f>
        <v>0</v>
      </c>
      <c r="BO53" s="31">
        <f>Input!BO129</f>
        <v>0</v>
      </c>
      <c r="BP53" s="31">
        <f>Input!BP129</f>
        <v>0</v>
      </c>
    </row>
    <row r="54" spans="2:68" outlineLevel="1" x14ac:dyDescent="0.2">
      <c r="B54" s="20"/>
      <c r="C54" s="80"/>
      <c r="D54" s="81" t="str">
        <f>Input!$D$130</f>
        <v>Phase 2 (if required)</v>
      </c>
      <c r="E54" s="80"/>
      <c r="F54" s="80"/>
      <c r="G54" s="83"/>
      <c r="H54" s="83"/>
      <c r="I54" s="80"/>
      <c r="J54" s="401"/>
      <c r="K54" s="401"/>
      <c r="L54" s="436">
        <f t="shared" si="69"/>
        <v>0</v>
      </c>
      <c r="M54" s="457"/>
      <c r="N54" s="455"/>
      <c r="O54" s="455"/>
      <c r="P54" s="455"/>
      <c r="Q54" s="455"/>
      <c r="R54" s="31">
        <f>Input!R130</f>
        <v>0</v>
      </c>
      <c r="S54" s="31">
        <f>Input!S130</f>
        <v>0</v>
      </c>
      <c r="T54" s="31">
        <f>Input!T130</f>
        <v>0</v>
      </c>
      <c r="U54" s="31">
        <f>Input!U130</f>
        <v>0</v>
      </c>
      <c r="V54" s="31">
        <f>Input!V130</f>
        <v>0</v>
      </c>
      <c r="W54" s="31">
        <f>Input!W130</f>
        <v>0</v>
      </c>
      <c r="X54" s="31">
        <f>Input!X130</f>
        <v>0</v>
      </c>
      <c r="Y54" s="31">
        <f>Input!Y130</f>
        <v>0</v>
      </c>
      <c r="Z54" s="31">
        <f>Input!Z130</f>
        <v>0</v>
      </c>
      <c r="AA54" s="31">
        <f>Input!AA130</f>
        <v>0</v>
      </c>
      <c r="AB54" s="31">
        <f>Input!AB130</f>
        <v>0</v>
      </c>
      <c r="AC54" s="31">
        <f>Input!AC130</f>
        <v>0</v>
      </c>
      <c r="AD54" s="31">
        <f>Input!AD130</f>
        <v>0</v>
      </c>
      <c r="AE54" s="31">
        <f>Input!AE130</f>
        <v>0</v>
      </c>
      <c r="AF54" s="31">
        <f>Input!AF130</f>
        <v>0</v>
      </c>
      <c r="AG54" s="31">
        <f>Input!AG130</f>
        <v>0</v>
      </c>
      <c r="AH54" s="31">
        <f>Input!AH130</f>
        <v>0</v>
      </c>
      <c r="AI54" s="31">
        <f>Input!AI130</f>
        <v>0</v>
      </c>
      <c r="AJ54" s="31">
        <f>Input!AJ130</f>
        <v>0</v>
      </c>
      <c r="AK54" s="31">
        <f>Input!AK130</f>
        <v>0</v>
      </c>
      <c r="AL54" s="31">
        <f>Input!AL130</f>
        <v>0</v>
      </c>
      <c r="AM54" s="31">
        <f>Input!AM130</f>
        <v>0</v>
      </c>
      <c r="AN54" s="31">
        <f>Input!AN130</f>
        <v>0</v>
      </c>
      <c r="AO54" s="31">
        <f>Input!AO130</f>
        <v>0</v>
      </c>
      <c r="AP54" s="31">
        <f>Input!AP130</f>
        <v>0</v>
      </c>
      <c r="AQ54" s="31">
        <f>Input!AQ130</f>
        <v>0</v>
      </c>
      <c r="AR54" s="31">
        <f>Input!AR130</f>
        <v>0</v>
      </c>
      <c r="AS54" s="31">
        <f>Input!AS130</f>
        <v>0</v>
      </c>
      <c r="AT54" s="31">
        <f>Input!AT130</f>
        <v>0</v>
      </c>
      <c r="AU54" s="31">
        <f>Input!AU130</f>
        <v>0</v>
      </c>
      <c r="AV54" s="31">
        <f>Input!AV130</f>
        <v>0</v>
      </c>
      <c r="AW54" s="31">
        <f>Input!AW130</f>
        <v>0</v>
      </c>
      <c r="AX54" s="31">
        <f>Input!AX130</f>
        <v>0</v>
      </c>
      <c r="AY54" s="31">
        <f>Input!AY130</f>
        <v>0</v>
      </c>
      <c r="AZ54" s="31">
        <f>Input!AZ130</f>
        <v>0</v>
      </c>
      <c r="BA54" s="31">
        <f>Input!BA130</f>
        <v>0</v>
      </c>
      <c r="BB54" s="31">
        <f>Input!BB130</f>
        <v>0</v>
      </c>
      <c r="BC54" s="31">
        <f>Input!BC130</f>
        <v>0</v>
      </c>
      <c r="BD54" s="31">
        <f>Input!BD130</f>
        <v>0</v>
      </c>
      <c r="BE54" s="31">
        <f>Input!BE130</f>
        <v>0</v>
      </c>
      <c r="BF54" s="31">
        <f>Input!BF130</f>
        <v>0</v>
      </c>
      <c r="BG54" s="31">
        <f>Input!BG130</f>
        <v>0</v>
      </c>
      <c r="BH54" s="31">
        <f>Input!BH130</f>
        <v>0</v>
      </c>
      <c r="BI54" s="31">
        <f>Input!BI130</f>
        <v>0</v>
      </c>
      <c r="BJ54" s="31">
        <f>Input!BJ130</f>
        <v>0</v>
      </c>
      <c r="BK54" s="31">
        <f>Input!BK130</f>
        <v>0</v>
      </c>
      <c r="BL54" s="31">
        <f>Input!BL130</f>
        <v>0</v>
      </c>
      <c r="BM54" s="31">
        <f>Input!BM130</f>
        <v>0</v>
      </c>
      <c r="BN54" s="31">
        <f>Input!BN130</f>
        <v>0</v>
      </c>
      <c r="BO54" s="31">
        <f>Input!BO130</f>
        <v>0</v>
      </c>
      <c r="BP54" s="31">
        <f>Input!BP130</f>
        <v>0</v>
      </c>
    </row>
    <row r="55" spans="2:68" outlineLevel="1" x14ac:dyDescent="0.2">
      <c r="B55" s="20"/>
      <c r="C55" s="80"/>
      <c r="D55" s="81" t="str">
        <f>Input!$D$131</f>
        <v>Phase 3 (if required)</v>
      </c>
      <c r="E55" s="80"/>
      <c r="F55" s="80"/>
      <c r="G55" s="83"/>
      <c r="H55" s="83"/>
      <c r="I55" s="80"/>
      <c r="J55" s="401"/>
      <c r="K55" s="401"/>
      <c r="L55" s="436">
        <f t="shared" si="69"/>
        <v>0</v>
      </c>
      <c r="M55" s="457"/>
      <c r="N55" s="455"/>
      <c r="O55" s="455"/>
      <c r="P55" s="455"/>
      <c r="Q55" s="455"/>
      <c r="R55" s="31">
        <f>Input!R131</f>
        <v>0</v>
      </c>
      <c r="S55" s="31">
        <f>Input!S131</f>
        <v>0</v>
      </c>
      <c r="T55" s="31">
        <f>Input!T131</f>
        <v>0</v>
      </c>
      <c r="U55" s="31">
        <f>Input!U131</f>
        <v>0</v>
      </c>
      <c r="V55" s="31">
        <f>Input!V131</f>
        <v>0</v>
      </c>
      <c r="W55" s="31">
        <f>Input!W131</f>
        <v>0</v>
      </c>
      <c r="X55" s="31">
        <f>Input!X131</f>
        <v>0</v>
      </c>
      <c r="Y55" s="31">
        <f>Input!Y131</f>
        <v>0</v>
      </c>
      <c r="Z55" s="31">
        <f>Input!Z131</f>
        <v>0</v>
      </c>
      <c r="AA55" s="31">
        <f>Input!AA131</f>
        <v>0</v>
      </c>
      <c r="AB55" s="31">
        <f>Input!AB131</f>
        <v>0</v>
      </c>
      <c r="AC55" s="31">
        <f>Input!AC131</f>
        <v>0</v>
      </c>
      <c r="AD55" s="31">
        <f>Input!AD131</f>
        <v>0</v>
      </c>
      <c r="AE55" s="31">
        <f>Input!AE131</f>
        <v>0</v>
      </c>
      <c r="AF55" s="31">
        <f>Input!AF131</f>
        <v>0</v>
      </c>
      <c r="AG55" s="31">
        <f>Input!AG131</f>
        <v>0</v>
      </c>
      <c r="AH55" s="31">
        <f>Input!AH131</f>
        <v>0</v>
      </c>
      <c r="AI55" s="31">
        <f>Input!AI131</f>
        <v>0</v>
      </c>
      <c r="AJ55" s="31">
        <f>Input!AJ131</f>
        <v>0</v>
      </c>
      <c r="AK55" s="31">
        <f>Input!AK131</f>
        <v>0</v>
      </c>
      <c r="AL55" s="31">
        <f>Input!AL131</f>
        <v>0</v>
      </c>
      <c r="AM55" s="31">
        <f>Input!AM131</f>
        <v>0</v>
      </c>
      <c r="AN55" s="31">
        <f>Input!AN131</f>
        <v>0</v>
      </c>
      <c r="AO55" s="31">
        <f>Input!AO131</f>
        <v>0</v>
      </c>
      <c r="AP55" s="31">
        <f>Input!AP131</f>
        <v>0</v>
      </c>
      <c r="AQ55" s="31">
        <f>Input!AQ131</f>
        <v>0</v>
      </c>
      <c r="AR55" s="31">
        <f>Input!AR131</f>
        <v>0</v>
      </c>
      <c r="AS55" s="31">
        <f>Input!AS131</f>
        <v>0</v>
      </c>
      <c r="AT55" s="31">
        <f>Input!AT131</f>
        <v>0</v>
      </c>
      <c r="AU55" s="31">
        <f>Input!AU131</f>
        <v>0</v>
      </c>
      <c r="AV55" s="31">
        <f>Input!AV131</f>
        <v>0</v>
      </c>
      <c r="AW55" s="31">
        <f>Input!AW131</f>
        <v>0</v>
      </c>
      <c r="AX55" s="31">
        <f>Input!AX131</f>
        <v>0</v>
      </c>
      <c r="AY55" s="31">
        <f>Input!AY131</f>
        <v>0</v>
      </c>
      <c r="AZ55" s="31">
        <f>Input!AZ131</f>
        <v>0</v>
      </c>
      <c r="BA55" s="31">
        <f>Input!BA131</f>
        <v>0</v>
      </c>
      <c r="BB55" s="31">
        <f>Input!BB131</f>
        <v>0</v>
      </c>
      <c r="BC55" s="31">
        <f>Input!BC131</f>
        <v>0</v>
      </c>
      <c r="BD55" s="31">
        <f>Input!BD131</f>
        <v>0</v>
      </c>
      <c r="BE55" s="31">
        <f>Input!BE131</f>
        <v>0</v>
      </c>
      <c r="BF55" s="31">
        <f>Input!BF131</f>
        <v>0</v>
      </c>
      <c r="BG55" s="31">
        <f>Input!BG131</f>
        <v>0</v>
      </c>
      <c r="BH55" s="31">
        <f>Input!BH131</f>
        <v>0</v>
      </c>
      <c r="BI55" s="31">
        <f>Input!BI131</f>
        <v>0</v>
      </c>
      <c r="BJ55" s="31">
        <f>Input!BJ131</f>
        <v>0</v>
      </c>
      <c r="BK55" s="31">
        <f>Input!BK131</f>
        <v>0</v>
      </c>
      <c r="BL55" s="31">
        <f>Input!BL131</f>
        <v>0</v>
      </c>
      <c r="BM55" s="31">
        <f>Input!BM131</f>
        <v>0</v>
      </c>
      <c r="BN55" s="31">
        <f>Input!BN131</f>
        <v>0</v>
      </c>
      <c r="BO55" s="31">
        <f>Input!BO131</f>
        <v>0</v>
      </c>
      <c r="BP55" s="31">
        <f>Input!BP131</f>
        <v>0</v>
      </c>
    </row>
    <row r="56" spans="2:68" outlineLevel="1" x14ac:dyDescent="0.2">
      <c r="B56" s="20"/>
      <c r="C56" s="80"/>
      <c r="D56" s="81" t="str">
        <f>Input!$D$132</f>
        <v>Phase 4 (if required)</v>
      </c>
      <c r="E56" s="80"/>
      <c r="F56" s="80"/>
      <c r="G56" s="83"/>
      <c r="H56" s="83"/>
      <c r="I56" s="80"/>
      <c r="J56" s="401"/>
      <c r="K56" s="401"/>
      <c r="L56" s="436">
        <f t="shared" si="69"/>
        <v>0</v>
      </c>
      <c r="M56" s="457"/>
      <c r="N56" s="455"/>
      <c r="O56" s="455"/>
      <c r="P56" s="455"/>
      <c r="Q56" s="455"/>
      <c r="R56" s="31">
        <f>Input!R132</f>
        <v>0</v>
      </c>
      <c r="S56" s="31">
        <f>Input!S132</f>
        <v>0</v>
      </c>
      <c r="T56" s="31">
        <f>Input!T132</f>
        <v>0</v>
      </c>
      <c r="U56" s="31">
        <f>Input!U132</f>
        <v>0</v>
      </c>
      <c r="V56" s="31">
        <f>Input!V132</f>
        <v>0</v>
      </c>
      <c r="W56" s="31">
        <f>Input!W132</f>
        <v>0</v>
      </c>
      <c r="X56" s="31">
        <f>Input!X132</f>
        <v>0</v>
      </c>
      <c r="Y56" s="31">
        <f>Input!Y132</f>
        <v>0</v>
      </c>
      <c r="Z56" s="31">
        <f>Input!Z132</f>
        <v>0</v>
      </c>
      <c r="AA56" s="31">
        <f>Input!AA132</f>
        <v>0</v>
      </c>
      <c r="AB56" s="31">
        <f>Input!AB132</f>
        <v>0</v>
      </c>
      <c r="AC56" s="31">
        <f>Input!AC132</f>
        <v>0</v>
      </c>
      <c r="AD56" s="31">
        <f>Input!AD132</f>
        <v>0</v>
      </c>
      <c r="AE56" s="31">
        <f>Input!AE132</f>
        <v>0</v>
      </c>
      <c r="AF56" s="31">
        <f>Input!AF132</f>
        <v>0</v>
      </c>
      <c r="AG56" s="31">
        <f>Input!AG132</f>
        <v>0</v>
      </c>
      <c r="AH56" s="31">
        <f>Input!AH132</f>
        <v>0</v>
      </c>
      <c r="AI56" s="31">
        <f>Input!AI132</f>
        <v>0</v>
      </c>
      <c r="AJ56" s="31">
        <f>Input!AJ132</f>
        <v>0</v>
      </c>
      <c r="AK56" s="31">
        <f>Input!AK132</f>
        <v>0</v>
      </c>
      <c r="AL56" s="31">
        <f>Input!AL132</f>
        <v>0</v>
      </c>
      <c r="AM56" s="31">
        <f>Input!AM132</f>
        <v>0</v>
      </c>
      <c r="AN56" s="31">
        <f>Input!AN132</f>
        <v>0</v>
      </c>
      <c r="AO56" s="31">
        <f>Input!AO132</f>
        <v>0</v>
      </c>
      <c r="AP56" s="31">
        <f>Input!AP132</f>
        <v>0</v>
      </c>
      <c r="AQ56" s="31">
        <f>Input!AQ132</f>
        <v>0</v>
      </c>
      <c r="AR56" s="31">
        <f>Input!AR132</f>
        <v>0</v>
      </c>
      <c r="AS56" s="31">
        <f>Input!AS132</f>
        <v>0</v>
      </c>
      <c r="AT56" s="31">
        <f>Input!AT132</f>
        <v>0</v>
      </c>
      <c r="AU56" s="31">
        <f>Input!AU132</f>
        <v>0</v>
      </c>
      <c r="AV56" s="31">
        <f>Input!AV132</f>
        <v>0</v>
      </c>
      <c r="AW56" s="31">
        <f>Input!AW132</f>
        <v>0</v>
      </c>
      <c r="AX56" s="31">
        <f>Input!AX132</f>
        <v>0</v>
      </c>
      <c r="AY56" s="31">
        <f>Input!AY132</f>
        <v>0</v>
      </c>
      <c r="AZ56" s="31">
        <f>Input!AZ132</f>
        <v>0</v>
      </c>
      <c r="BA56" s="31">
        <f>Input!BA132</f>
        <v>0</v>
      </c>
      <c r="BB56" s="31">
        <f>Input!BB132</f>
        <v>0</v>
      </c>
      <c r="BC56" s="31">
        <f>Input!BC132</f>
        <v>0</v>
      </c>
      <c r="BD56" s="31">
        <f>Input!BD132</f>
        <v>0</v>
      </c>
      <c r="BE56" s="31">
        <f>Input!BE132</f>
        <v>0</v>
      </c>
      <c r="BF56" s="31">
        <f>Input!BF132</f>
        <v>0</v>
      </c>
      <c r="BG56" s="31">
        <f>Input!BG132</f>
        <v>0</v>
      </c>
      <c r="BH56" s="31">
        <f>Input!BH132</f>
        <v>0</v>
      </c>
      <c r="BI56" s="31">
        <f>Input!BI132</f>
        <v>0</v>
      </c>
      <c r="BJ56" s="31">
        <f>Input!BJ132</f>
        <v>0</v>
      </c>
      <c r="BK56" s="31">
        <f>Input!BK132</f>
        <v>0</v>
      </c>
      <c r="BL56" s="31">
        <f>Input!BL132</f>
        <v>0</v>
      </c>
      <c r="BM56" s="31">
        <f>Input!BM132</f>
        <v>0</v>
      </c>
      <c r="BN56" s="31">
        <f>Input!BN132</f>
        <v>0</v>
      </c>
      <c r="BO56" s="31">
        <f>Input!BO132</f>
        <v>0</v>
      </c>
      <c r="BP56" s="31">
        <f>Input!BP132</f>
        <v>0</v>
      </c>
    </row>
    <row r="57" spans="2:68" outlineLevel="1" x14ac:dyDescent="0.2">
      <c r="B57" s="20"/>
      <c r="C57" s="80"/>
      <c r="D57" s="81" t="str">
        <f>Input!$D$133</f>
        <v>Phase 5 (if required)</v>
      </c>
      <c r="E57" s="80"/>
      <c r="F57" s="80"/>
      <c r="G57" s="83"/>
      <c r="H57" s="83"/>
      <c r="I57" s="80"/>
      <c r="J57" s="401"/>
      <c r="K57" s="464"/>
      <c r="L57" s="436">
        <f t="shared" si="69"/>
        <v>0</v>
      </c>
      <c r="M57" s="457"/>
      <c r="N57" s="455"/>
      <c r="O57" s="455"/>
      <c r="P57" s="455"/>
      <c r="Q57" s="455"/>
      <c r="R57" s="31">
        <f>Input!R133</f>
        <v>0</v>
      </c>
      <c r="S57" s="31">
        <f>Input!S133</f>
        <v>0</v>
      </c>
      <c r="T57" s="31">
        <f>Input!T133</f>
        <v>0</v>
      </c>
      <c r="U57" s="31" t="str">
        <f>Input!U133</f>
        <v/>
      </c>
      <c r="V57" s="31" t="str">
        <f>Input!V133</f>
        <v/>
      </c>
      <c r="W57" s="31" t="str">
        <f>Input!W133</f>
        <v/>
      </c>
      <c r="X57" s="31" t="str">
        <f>Input!X133</f>
        <v/>
      </c>
      <c r="Y57" s="31" t="str">
        <f>Input!Y133</f>
        <v/>
      </c>
      <c r="Z57" s="31">
        <f>Input!Z133</f>
        <v>0</v>
      </c>
      <c r="AA57" s="31">
        <f>Input!AA133</f>
        <v>0</v>
      </c>
      <c r="AB57" s="31">
        <f>Input!AB133</f>
        <v>0</v>
      </c>
      <c r="AC57" s="31">
        <f>Input!AC133</f>
        <v>0</v>
      </c>
      <c r="AD57" s="31">
        <f>Input!AD133</f>
        <v>0</v>
      </c>
      <c r="AE57" s="31">
        <f>Input!AE133</f>
        <v>0</v>
      </c>
      <c r="AF57" s="31">
        <f>Input!AF133</f>
        <v>0</v>
      </c>
      <c r="AG57" s="31">
        <f>Input!AG133</f>
        <v>0</v>
      </c>
      <c r="AH57" s="31">
        <f>Input!AH133</f>
        <v>0</v>
      </c>
      <c r="AI57" s="31">
        <f>Input!AI133</f>
        <v>0</v>
      </c>
      <c r="AJ57" s="31">
        <f>Input!AJ133</f>
        <v>0</v>
      </c>
      <c r="AK57" s="31">
        <f>Input!AK133</f>
        <v>0</v>
      </c>
      <c r="AL57" s="31">
        <f>Input!AL133</f>
        <v>0</v>
      </c>
      <c r="AM57" s="31">
        <f>Input!AM133</f>
        <v>0</v>
      </c>
      <c r="AN57" s="31">
        <f>Input!AN133</f>
        <v>0</v>
      </c>
      <c r="AO57" s="31">
        <f>Input!AO133</f>
        <v>0</v>
      </c>
      <c r="AP57" s="31">
        <f>Input!AP133</f>
        <v>0</v>
      </c>
      <c r="AQ57" s="31">
        <f>Input!AQ133</f>
        <v>0</v>
      </c>
      <c r="AR57" s="31">
        <f>Input!AR133</f>
        <v>0</v>
      </c>
      <c r="AS57" s="31">
        <f>Input!AS133</f>
        <v>0</v>
      </c>
      <c r="AT57" s="31">
        <f>Input!AT133</f>
        <v>0</v>
      </c>
      <c r="AU57" s="31">
        <f>Input!AU133</f>
        <v>0</v>
      </c>
      <c r="AV57" s="31">
        <f>Input!AV133</f>
        <v>0</v>
      </c>
      <c r="AW57" s="31">
        <f>Input!AW133</f>
        <v>0</v>
      </c>
      <c r="AX57" s="31">
        <f>Input!AX133</f>
        <v>0</v>
      </c>
      <c r="AY57" s="31">
        <f>Input!AY133</f>
        <v>0</v>
      </c>
      <c r="AZ57" s="31">
        <f>Input!AZ133</f>
        <v>0</v>
      </c>
      <c r="BA57" s="31">
        <f>Input!BA133</f>
        <v>0</v>
      </c>
      <c r="BB57" s="31">
        <f>Input!BB133</f>
        <v>0</v>
      </c>
      <c r="BC57" s="31">
        <f>Input!BC133</f>
        <v>0</v>
      </c>
      <c r="BD57" s="31">
        <f>Input!BD133</f>
        <v>0</v>
      </c>
      <c r="BE57" s="31">
        <f>Input!BE133</f>
        <v>0</v>
      </c>
      <c r="BF57" s="31">
        <f>Input!BF133</f>
        <v>0</v>
      </c>
      <c r="BG57" s="31">
        <f>Input!BG133</f>
        <v>0</v>
      </c>
      <c r="BH57" s="31">
        <f>Input!BH133</f>
        <v>0</v>
      </c>
      <c r="BI57" s="31">
        <f>Input!BI133</f>
        <v>0</v>
      </c>
      <c r="BJ57" s="31">
        <f>Input!BJ133</f>
        <v>0</v>
      </c>
      <c r="BK57" s="31">
        <f>Input!BK133</f>
        <v>0</v>
      </c>
      <c r="BL57" s="31">
        <f>Input!BL133</f>
        <v>0</v>
      </c>
      <c r="BM57" s="31">
        <f>Input!BM133</f>
        <v>0</v>
      </c>
      <c r="BN57" s="31">
        <f>Input!BN133</f>
        <v>0</v>
      </c>
      <c r="BO57" s="31">
        <f>Input!BO133</f>
        <v>0</v>
      </c>
      <c r="BP57" s="31">
        <f>Input!BP133</f>
        <v>0</v>
      </c>
    </row>
    <row r="58" spans="2:68" outlineLevel="1" x14ac:dyDescent="0.2">
      <c r="B58" s="20"/>
      <c r="C58" s="80"/>
      <c r="D58" s="88" t="s">
        <v>337</v>
      </c>
      <c r="E58" s="458"/>
      <c r="F58" s="458"/>
      <c r="G58" s="459"/>
      <c r="H58" s="459"/>
      <c r="I58" s="458"/>
      <c r="J58" s="460"/>
      <c r="K58" s="460">
        <f>SUMPRODUCT(R58:BP58,$R$20:$BP$20)</f>
        <v>0</v>
      </c>
      <c r="L58" s="461">
        <f t="shared" ref="L58" si="70">SUM(R58:BP58)</f>
        <v>0</v>
      </c>
      <c r="M58" s="462"/>
      <c r="N58" s="463"/>
      <c r="O58" s="463"/>
      <c r="P58" s="463"/>
      <c r="Q58" s="463"/>
      <c r="R58" s="460">
        <f>SUM(R53:R57)</f>
        <v>0</v>
      </c>
      <c r="S58" s="460">
        <f t="shared" ref="S58:BP58" si="71">SUM(S53:S57)</f>
        <v>0</v>
      </c>
      <c r="T58" s="460">
        <f t="shared" si="71"/>
        <v>0</v>
      </c>
      <c r="U58" s="460">
        <f t="shared" si="71"/>
        <v>0</v>
      </c>
      <c r="V58" s="460">
        <f t="shared" si="71"/>
        <v>0</v>
      </c>
      <c r="W58" s="460">
        <f t="shared" si="71"/>
        <v>0</v>
      </c>
      <c r="X58" s="460">
        <f t="shared" si="71"/>
        <v>0</v>
      </c>
      <c r="Y58" s="460">
        <f t="shared" si="71"/>
        <v>0</v>
      </c>
      <c r="Z58" s="460">
        <f t="shared" si="71"/>
        <v>0</v>
      </c>
      <c r="AA58" s="460">
        <f t="shared" si="71"/>
        <v>0</v>
      </c>
      <c r="AB58" s="460">
        <f t="shared" si="71"/>
        <v>0</v>
      </c>
      <c r="AC58" s="460">
        <f t="shared" si="71"/>
        <v>0</v>
      </c>
      <c r="AD58" s="460">
        <f t="shared" si="71"/>
        <v>0</v>
      </c>
      <c r="AE58" s="460">
        <f t="shared" si="71"/>
        <v>0</v>
      </c>
      <c r="AF58" s="460">
        <f t="shared" si="71"/>
        <v>0</v>
      </c>
      <c r="AG58" s="460">
        <f t="shared" si="71"/>
        <v>0</v>
      </c>
      <c r="AH58" s="460">
        <f t="shared" si="71"/>
        <v>0</v>
      </c>
      <c r="AI58" s="460">
        <f t="shared" si="71"/>
        <v>0</v>
      </c>
      <c r="AJ58" s="460">
        <f t="shared" si="71"/>
        <v>0</v>
      </c>
      <c r="AK58" s="460">
        <f t="shared" si="71"/>
        <v>0</v>
      </c>
      <c r="AL58" s="460">
        <f t="shared" si="71"/>
        <v>0</v>
      </c>
      <c r="AM58" s="460">
        <f t="shared" si="71"/>
        <v>0</v>
      </c>
      <c r="AN58" s="460">
        <f t="shared" si="71"/>
        <v>0</v>
      </c>
      <c r="AO58" s="460">
        <f t="shared" si="71"/>
        <v>0</v>
      </c>
      <c r="AP58" s="460">
        <f t="shared" si="71"/>
        <v>0</v>
      </c>
      <c r="AQ58" s="460">
        <f t="shared" si="71"/>
        <v>0</v>
      </c>
      <c r="AR58" s="460">
        <f t="shared" si="71"/>
        <v>0</v>
      </c>
      <c r="AS58" s="460">
        <f t="shared" si="71"/>
        <v>0</v>
      </c>
      <c r="AT58" s="460">
        <f t="shared" si="71"/>
        <v>0</v>
      </c>
      <c r="AU58" s="460">
        <f t="shared" si="71"/>
        <v>0</v>
      </c>
      <c r="AV58" s="460">
        <f t="shared" si="71"/>
        <v>0</v>
      </c>
      <c r="AW58" s="460">
        <f t="shared" si="71"/>
        <v>0</v>
      </c>
      <c r="AX58" s="460">
        <f t="shared" si="71"/>
        <v>0</v>
      </c>
      <c r="AY58" s="460">
        <f t="shared" si="71"/>
        <v>0</v>
      </c>
      <c r="AZ58" s="460">
        <f t="shared" si="71"/>
        <v>0</v>
      </c>
      <c r="BA58" s="460">
        <f t="shared" si="71"/>
        <v>0</v>
      </c>
      <c r="BB58" s="460">
        <f t="shared" si="71"/>
        <v>0</v>
      </c>
      <c r="BC58" s="460">
        <f t="shared" si="71"/>
        <v>0</v>
      </c>
      <c r="BD58" s="460">
        <f t="shared" si="71"/>
        <v>0</v>
      </c>
      <c r="BE58" s="460">
        <f t="shared" si="71"/>
        <v>0</v>
      </c>
      <c r="BF58" s="460">
        <f t="shared" si="71"/>
        <v>0</v>
      </c>
      <c r="BG58" s="460">
        <f t="shared" si="71"/>
        <v>0</v>
      </c>
      <c r="BH58" s="460">
        <f t="shared" si="71"/>
        <v>0</v>
      </c>
      <c r="BI58" s="460">
        <f t="shared" si="71"/>
        <v>0</v>
      </c>
      <c r="BJ58" s="460">
        <f t="shared" si="71"/>
        <v>0</v>
      </c>
      <c r="BK58" s="460">
        <f t="shared" si="71"/>
        <v>0</v>
      </c>
      <c r="BL58" s="460">
        <f t="shared" si="71"/>
        <v>0</v>
      </c>
      <c r="BM58" s="460">
        <f t="shared" si="71"/>
        <v>0</v>
      </c>
      <c r="BN58" s="460">
        <f t="shared" si="71"/>
        <v>0</v>
      </c>
      <c r="BO58" s="460">
        <f t="shared" si="71"/>
        <v>0</v>
      </c>
      <c r="BP58" s="460">
        <f t="shared" si="71"/>
        <v>0</v>
      </c>
    </row>
    <row r="59" spans="2:68" outlineLevel="1" x14ac:dyDescent="0.2">
      <c r="B59" s="20"/>
      <c r="C59" s="80"/>
      <c r="D59" s="81" t="str">
        <f>Input!$D$135</f>
        <v>Land</v>
      </c>
      <c r="E59" s="80"/>
      <c r="F59" s="80"/>
      <c r="G59" s="83"/>
      <c r="H59" s="83"/>
      <c r="I59" s="80"/>
      <c r="J59" s="80"/>
      <c r="K59" s="401">
        <f>SUMPRODUCT(R59:BP59,$R$20:$BP$20)</f>
        <v>0</v>
      </c>
      <c r="L59" s="436">
        <f t="shared" si="69"/>
        <v>0</v>
      </c>
      <c r="M59" s="457"/>
      <c r="N59" s="455"/>
      <c r="O59" s="455"/>
      <c r="P59" s="455"/>
      <c r="Q59" s="455"/>
      <c r="R59" s="31">
        <f>Input!R135</f>
        <v>0</v>
      </c>
      <c r="S59" s="31">
        <f>Input!S135</f>
        <v>0</v>
      </c>
      <c r="T59" s="31">
        <f>Input!T135</f>
        <v>0</v>
      </c>
      <c r="U59" s="31">
        <f>Input!U135</f>
        <v>0</v>
      </c>
      <c r="V59" s="31">
        <f>Input!V135</f>
        <v>0</v>
      </c>
      <c r="W59" s="31">
        <f>Input!W135</f>
        <v>0</v>
      </c>
      <c r="X59" s="31">
        <f>Input!X135</f>
        <v>0</v>
      </c>
      <c r="Y59" s="31">
        <f>Input!Y135</f>
        <v>0</v>
      </c>
      <c r="Z59" s="31">
        <f>Input!Z135</f>
        <v>0</v>
      </c>
      <c r="AA59" s="31">
        <f>Input!AA135</f>
        <v>0</v>
      </c>
      <c r="AB59" s="31">
        <f>Input!AB135</f>
        <v>0</v>
      </c>
      <c r="AC59" s="31">
        <f>Input!AC135</f>
        <v>0</v>
      </c>
      <c r="AD59" s="31">
        <f>Input!AD135</f>
        <v>0</v>
      </c>
      <c r="AE59" s="31">
        <f>Input!AE135</f>
        <v>0</v>
      </c>
      <c r="AF59" s="31">
        <f>Input!AF135</f>
        <v>0</v>
      </c>
      <c r="AG59" s="31">
        <f>Input!AG135</f>
        <v>0</v>
      </c>
      <c r="AH59" s="31">
        <f>Input!AH135</f>
        <v>0</v>
      </c>
      <c r="AI59" s="31">
        <f>Input!AI135</f>
        <v>0</v>
      </c>
      <c r="AJ59" s="31">
        <f>Input!AJ135</f>
        <v>0</v>
      </c>
      <c r="AK59" s="31">
        <f>Input!AK135</f>
        <v>0</v>
      </c>
      <c r="AL59" s="31">
        <f>Input!AL135</f>
        <v>0</v>
      </c>
      <c r="AM59" s="31">
        <f>Input!AM135</f>
        <v>0</v>
      </c>
      <c r="AN59" s="31">
        <f>Input!AN135</f>
        <v>0</v>
      </c>
      <c r="AO59" s="31">
        <f>Input!AO135</f>
        <v>0</v>
      </c>
      <c r="AP59" s="31">
        <f>Input!AP135</f>
        <v>0</v>
      </c>
      <c r="AQ59" s="31">
        <f>Input!AQ135</f>
        <v>0</v>
      </c>
      <c r="AR59" s="31">
        <f>Input!AR135</f>
        <v>0</v>
      </c>
      <c r="AS59" s="31">
        <f>Input!AS135</f>
        <v>0</v>
      </c>
      <c r="AT59" s="31">
        <f>Input!AT135</f>
        <v>0</v>
      </c>
      <c r="AU59" s="31">
        <f>Input!AU135</f>
        <v>0</v>
      </c>
      <c r="AV59" s="31">
        <f>Input!AV135</f>
        <v>0</v>
      </c>
      <c r="AW59" s="31">
        <f>Input!AW135</f>
        <v>0</v>
      </c>
      <c r="AX59" s="31">
        <f>Input!AX135</f>
        <v>0</v>
      </c>
      <c r="AY59" s="31">
        <f>Input!AY135</f>
        <v>0</v>
      </c>
      <c r="AZ59" s="31">
        <f>Input!AZ135</f>
        <v>0</v>
      </c>
      <c r="BA59" s="31">
        <f>Input!BA135</f>
        <v>0</v>
      </c>
      <c r="BB59" s="31">
        <f>Input!BB135</f>
        <v>0</v>
      </c>
      <c r="BC59" s="31">
        <f>Input!BC135</f>
        <v>0</v>
      </c>
      <c r="BD59" s="31">
        <f>Input!BD135</f>
        <v>0</v>
      </c>
      <c r="BE59" s="31">
        <f>Input!BE135</f>
        <v>0</v>
      </c>
      <c r="BF59" s="31">
        <f>Input!BF135</f>
        <v>0</v>
      </c>
      <c r="BG59" s="31">
        <f>Input!BG135</f>
        <v>0</v>
      </c>
      <c r="BH59" s="31">
        <f>Input!BH135</f>
        <v>0</v>
      </c>
      <c r="BI59" s="31">
        <f>Input!BI135</f>
        <v>0</v>
      </c>
      <c r="BJ59" s="31">
        <f>Input!BJ135</f>
        <v>0</v>
      </c>
      <c r="BK59" s="31">
        <f>Input!BK135</f>
        <v>0</v>
      </c>
      <c r="BL59" s="31">
        <f>Input!BL135</f>
        <v>0</v>
      </c>
      <c r="BM59" s="31">
        <f>Input!BM135</f>
        <v>0</v>
      </c>
      <c r="BN59" s="31">
        <f>Input!BN135</f>
        <v>0</v>
      </c>
      <c r="BO59" s="31">
        <f>Input!BO135</f>
        <v>0</v>
      </c>
      <c r="BP59" s="31">
        <f>Input!BP135</f>
        <v>0</v>
      </c>
    </row>
    <row r="60" spans="2:68" outlineLevel="1" x14ac:dyDescent="0.2">
      <c r="B60" s="20"/>
      <c r="C60" s="80"/>
      <c r="D60" s="88" t="s">
        <v>340</v>
      </c>
      <c r="E60" s="458"/>
      <c r="F60" s="458"/>
      <c r="G60" s="459"/>
      <c r="H60" s="459"/>
      <c r="I60" s="458"/>
      <c r="J60" s="458"/>
      <c r="K60" s="460"/>
      <c r="L60" s="461">
        <f t="shared" si="69"/>
        <v>0</v>
      </c>
      <c r="M60" s="462"/>
      <c r="N60" s="463"/>
      <c r="O60" s="463"/>
      <c r="P60" s="463"/>
      <c r="Q60" s="463"/>
      <c r="R60" s="460">
        <f>SUM(R58:R59)</f>
        <v>0</v>
      </c>
      <c r="S60" s="460">
        <f t="shared" ref="S60:BP60" si="72">SUM(S58:S59)</f>
        <v>0</v>
      </c>
      <c r="T60" s="460">
        <f t="shared" si="72"/>
        <v>0</v>
      </c>
      <c r="U60" s="460">
        <f t="shared" si="72"/>
        <v>0</v>
      </c>
      <c r="V60" s="460">
        <f t="shared" si="72"/>
        <v>0</v>
      </c>
      <c r="W60" s="460">
        <f t="shared" si="72"/>
        <v>0</v>
      </c>
      <c r="X60" s="460">
        <f t="shared" si="72"/>
        <v>0</v>
      </c>
      <c r="Y60" s="460">
        <f t="shared" si="72"/>
        <v>0</v>
      </c>
      <c r="Z60" s="460">
        <f t="shared" si="72"/>
        <v>0</v>
      </c>
      <c r="AA60" s="460">
        <f t="shared" si="72"/>
        <v>0</v>
      </c>
      <c r="AB60" s="460">
        <f t="shared" si="72"/>
        <v>0</v>
      </c>
      <c r="AC60" s="460">
        <f t="shared" si="72"/>
        <v>0</v>
      </c>
      <c r="AD60" s="460">
        <f t="shared" si="72"/>
        <v>0</v>
      </c>
      <c r="AE60" s="460">
        <f t="shared" si="72"/>
        <v>0</v>
      </c>
      <c r="AF60" s="460">
        <f t="shared" si="72"/>
        <v>0</v>
      </c>
      <c r="AG60" s="460">
        <f t="shared" si="72"/>
        <v>0</v>
      </c>
      <c r="AH60" s="460">
        <f t="shared" si="72"/>
        <v>0</v>
      </c>
      <c r="AI60" s="460">
        <f t="shared" si="72"/>
        <v>0</v>
      </c>
      <c r="AJ60" s="460">
        <f t="shared" si="72"/>
        <v>0</v>
      </c>
      <c r="AK60" s="460">
        <f t="shared" si="72"/>
        <v>0</v>
      </c>
      <c r="AL60" s="460">
        <f t="shared" si="72"/>
        <v>0</v>
      </c>
      <c r="AM60" s="460">
        <f t="shared" si="72"/>
        <v>0</v>
      </c>
      <c r="AN60" s="460">
        <f t="shared" si="72"/>
        <v>0</v>
      </c>
      <c r="AO60" s="460">
        <f t="shared" si="72"/>
        <v>0</v>
      </c>
      <c r="AP60" s="460">
        <f t="shared" si="72"/>
        <v>0</v>
      </c>
      <c r="AQ60" s="460">
        <f t="shared" si="72"/>
        <v>0</v>
      </c>
      <c r="AR60" s="460">
        <f t="shared" si="72"/>
        <v>0</v>
      </c>
      <c r="AS60" s="460">
        <f t="shared" si="72"/>
        <v>0</v>
      </c>
      <c r="AT60" s="460">
        <f t="shared" si="72"/>
        <v>0</v>
      </c>
      <c r="AU60" s="460">
        <f t="shared" si="72"/>
        <v>0</v>
      </c>
      <c r="AV60" s="460">
        <f t="shared" si="72"/>
        <v>0</v>
      </c>
      <c r="AW60" s="460">
        <f t="shared" si="72"/>
        <v>0</v>
      </c>
      <c r="AX60" s="460">
        <f t="shared" si="72"/>
        <v>0</v>
      </c>
      <c r="AY60" s="460">
        <f t="shared" si="72"/>
        <v>0</v>
      </c>
      <c r="AZ60" s="460">
        <f t="shared" si="72"/>
        <v>0</v>
      </c>
      <c r="BA60" s="460">
        <f t="shared" si="72"/>
        <v>0</v>
      </c>
      <c r="BB60" s="460">
        <f t="shared" si="72"/>
        <v>0</v>
      </c>
      <c r="BC60" s="460">
        <f t="shared" si="72"/>
        <v>0</v>
      </c>
      <c r="BD60" s="460">
        <f t="shared" si="72"/>
        <v>0</v>
      </c>
      <c r="BE60" s="460">
        <f t="shared" si="72"/>
        <v>0</v>
      </c>
      <c r="BF60" s="460">
        <f t="shared" si="72"/>
        <v>0</v>
      </c>
      <c r="BG60" s="460">
        <f t="shared" si="72"/>
        <v>0</v>
      </c>
      <c r="BH60" s="460">
        <f t="shared" si="72"/>
        <v>0</v>
      </c>
      <c r="BI60" s="460">
        <f t="shared" si="72"/>
        <v>0</v>
      </c>
      <c r="BJ60" s="460">
        <f t="shared" si="72"/>
        <v>0</v>
      </c>
      <c r="BK60" s="460">
        <f t="shared" si="72"/>
        <v>0</v>
      </c>
      <c r="BL60" s="460">
        <f t="shared" si="72"/>
        <v>0</v>
      </c>
      <c r="BM60" s="460">
        <f t="shared" si="72"/>
        <v>0</v>
      </c>
      <c r="BN60" s="460">
        <f t="shared" si="72"/>
        <v>0</v>
      </c>
      <c r="BO60" s="460">
        <f t="shared" si="72"/>
        <v>0</v>
      </c>
      <c r="BP60" s="460">
        <f t="shared" si="72"/>
        <v>0</v>
      </c>
    </row>
    <row r="61" spans="2:68" outlineLevel="1" x14ac:dyDescent="0.2">
      <c r="B61" s="20"/>
      <c r="C61" s="80"/>
      <c r="D61" s="123"/>
      <c r="E61" s="80"/>
      <c r="F61" s="80"/>
      <c r="G61" s="83"/>
      <c r="H61" s="83"/>
      <c r="I61" s="80"/>
      <c r="J61" s="80"/>
      <c r="K61" s="401"/>
      <c r="L61" s="436"/>
      <c r="M61" s="457"/>
      <c r="N61" s="455"/>
      <c r="O61" s="455"/>
      <c r="P61" s="455"/>
      <c r="Q61" s="455"/>
      <c r="R61" s="401"/>
      <c r="S61" s="401"/>
      <c r="T61" s="401"/>
      <c r="U61" s="401"/>
      <c r="V61" s="401"/>
      <c r="W61" s="401"/>
      <c r="X61" s="401"/>
      <c r="Y61" s="401"/>
      <c r="Z61" s="401"/>
      <c r="AA61" s="401"/>
      <c r="AB61" s="401"/>
      <c r="AC61" s="401"/>
      <c r="AD61" s="401"/>
      <c r="AE61" s="401"/>
      <c r="AF61" s="401"/>
      <c r="AG61" s="401"/>
      <c r="AH61" s="401"/>
      <c r="AI61" s="401"/>
      <c r="AJ61" s="401"/>
      <c r="AK61" s="401"/>
      <c r="AL61" s="401"/>
      <c r="AM61" s="401"/>
      <c r="AN61" s="401"/>
      <c r="AO61" s="401"/>
      <c r="AP61" s="401"/>
      <c r="AQ61" s="401"/>
      <c r="AR61" s="401"/>
      <c r="AS61" s="401"/>
      <c r="AT61" s="401"/>
      <c r="AU61" s="401"/>
      <c r="AV61" s="401"/>
      <c r="AW61" s="401"/>
      <c r="AX61" s="401"/>
      <c r="AY61" s="401"/>
      <c r="AZ61" s="401"/>
      <c r="BA61" s="401"/>
      <c r="BB61" s="401"/>
      <c r="BC61" s="401"/>
      <c r="BD61" s="401"/>
      <c r="BE61" s="401"/>
      <c r="BF61" s="401"/>
      <c r="BG61" s="401"/>
      <c r="BH61" s="401"/>
      <c r="BI61" s="401"/>
      <c r="BJ61" s="401"/>
      <c r="BK61" s="401"/>
      <c r="BL61" s="401"/>
      <c r="BM61" s="401"/>
      <c r="BN61" s="401"/>
      <c r="BO61" s="401"/>
      <c r="BP61" s="401"/>
    </row>
    <row r="62" spans="2:68" ht="10.35" customHeight="1" outlineLevel="1" x14ac:dyDescent="0.2">
      <c r="B62" s="80"/>
      <c r="C62" s="80"/>
      <c r="D62" s="123" t="s">
        <v>341</v>
      </c>
      <c r="E62" s="80"/>
      <c r="F62" s="80"/>
      <c r="G62" s="83"/>
      <c r="H62" s="83"/>
      <c r="I62" s="80"/>
      <c r="J62" s="80"/>
      <c r="K62" s="401"/>
      <c r="L62" s="436"/>
      <c r="M62" s="457"/>
      <c r="N62" s="455"/>
      <c r="O62" s="455"/>
      <c r="P62" s="455"/>
      <c r="Q62" s="455"/>
      <c r="R62" s="401"/>
      <c r="S62" s="401"/>
      <c r="T62" s="401"/>
      <c r="U62" s="401"/>
      <c r="V62" s="401"/>
      <c r="W62" s="401"/>
      <c r="X62" s="401"/>
      <c r="Y62" s="401"/>
      <c r="Z62" s="401"/>
      <c r="AA62" s="401"/>
      <c r="AB62" s="401"/>
      <c r="AC62" s="401"/>
      <c r="AD62" s="401"/>
      <c r="AE62" s="401"/>
      <c r="AF62" s="401"/>
      <c r="AG62" s="401"/>
      <c r="AH62" s="401"/>
      <c r="AI62" s="401"/>
      <c r="AJ62" s="401"/>
      <c r="AK62" s="401"/>
      <c r="AL62" s="401"/>
      <c r="AM62" s="401"/>
      <c r="AN62" s="401"/>
      <c r="AO62" s="401"/>
      <c r="AP62" s="401"/>
      <c r="AQ62" s="401"/>
      <c r="AR62" s="401"/>
      <c r="AS62" s="401"/>
      <c r="AT62" s="401"/>
      <c r="AU62" s="401"/>
      <c r="AV62" s="401"/>
      <c r="AW62" s="401"/>
      <c r="AX62" s="401"/>
      <c r="AY62" s="401"/>
      <c r="AZ62" s="401"/>
      <c r="BA62" s="401"/>
      <c r="BB62" s="401"/>
      <c r="BC62" s="401"/>
      <c r="BD62" s="401"/>
      <c r="BE62" s="401"/>
      <c r="BF62" s="401"/>
      <c r="BG62" s="401"/>
      <c r="BH62" s="401"/>
      <c r="BI62" s="401"/>
      <c r="BJ62" s="401"/>
      <c r="BK62" s="401"/>
      <c r="BL62" s="401"/>
      <c r="BM62" s="401"/>
      <c r="BN62" s="401"/>
      <c r="BO62" s="401"/>
      <c r="BP62" s="401"/>
    </row>
    <row r="63" spans="2:68" ht="10.35" customHeight="1" outlineLevel="1" x14ac:dyDescent="0.2">
      <c r="B63" s="80"/>
      <c r="C63" s="80"/>
      <c r="D63" s="66" t="str">
        <f>Input!$D$129</f>
        <v>Phase 1</v>
      </c>
      <c r="E63" s="80"/>
      <c r="F63" s="80"/>
      <c r="G63" s="83"/>
      <c r="H63" s="83"/>
      <c r="I63" s="80"/>
      <c r="J63" s="80"/>
      <c r="K63" s="401"/>
      <c r="L63" s="436">
        <f>MAX(R63:BP63)</f>
        <v>0</v>
      </c>
      <c r="M63" s="457"/>
      <c r="N63" s="455"/>
      <c r="O63" s="455"/>
      <c r="P63" s="455"/>
      <c r="Q63" s="455"/>
      <c r="R63" s="29">
        <f>IF(R53=0,0,R$15)</f>
        <v>0</v>
      </c>
      <c r="S63" s="29">
        <f t="shared" ref="S63:BP66" si="73">IF(S53=0,0,S$15)</f>
        <v>0</v>
      </c>
      <c r="T63" s="29">
        <f t="shared" si="73"/>
        <v>0</v>
      </c>
      <c r="U63" s="29">
        <f t="shared" si="73"/>
        <v>0</v>
      </c>
      <c r="V63" s="29">
        <f t="shared" si="73"/>
        <v>0</v>
      </c>
      <c r="W63" s="29">
        <f t="shared" si="73"/>
        <v>0</v>
      </c>
      <c r="X63" s="29">
        <f t="shared" si="73"/>
        <v>0</v>
      </c>
      <c r="Y63" s="29">
        <f t="shared" si="73"/>
        <v>0</v>
      </c>
      <c r="Z63" s="29">
        <f t="shared" si="73"/>
        <v>0</v>
      </c>
      <c r="AA63" s="29">
        <f t="shared" si="73"/>
        <v>0</v>
      </c>
      <c r="AB63" s="29">
        <f t="shared" si="73"/>
        <v>0</v>
      </c>
      <c r="AC63" s="29">
        <f t="shared" si="73"/>
        <v>0</v>
      </c>
      <c r="AD63" s="29">
        <f t="shared" si="73"/>
        <v>0</v>
      </c>
      <c r="AE63" s="29">
        <f t="shared" si="73"/>
        <v>0</v>
      </c>
      <c r="AF63" s="29">
        <f t="shared" si="73"/>
        <v>0</v>
      </c>
      <c r="AG63" s="29">
        <f t="shared" si="73"/>
        <v>0</v>
      </c>
      <c r="AH63" s="29">
        <f t="shared" si="73"/>
        <v>0</v>
      </c>
      <c r="AI63" s="29">
        <f t="shared" si="73"/>
        <v>0</v>
      </c>
      <c r="AJ63" s="29">
        <f t="shared" si="73"/>
        <v>0</v>
      </c>
      <c r="AK63" s="29">
        <f t="shared" si="73"/>
        <v>0</v>
      </c>
      <c r="AL63" s="29">
        <f t="shared" si="73"/>
        <v>0</v>
      </c>
      <c r="AM63" s="29">
        <f t="shared" si="73"/>
        <v>0</v>
      </c>
      <c r="AN63" s="29">
        <f t="shared" si="73"/>
        <v>0</v>
      </c>
      <c r="AO63" s="29">
        <f t="shared" si="73"/>
        <v>0</v>
      </c>
      <c r="AP63" s="29">
        <f t="shared" si="73"/>
        <v>0</v>
      </c>
      <c r="AQ63" s="29">
        <f t="shared" si="73"/>
        <v>0</v>
      </c>
      <c r="AR63" s="29">
        <f t="shared" si="73"/>
        <v>0</v>
      </c>
      <c r="AS63" s="29">
        <f t="shared" si="73"/>
        <v>0</v>
      </c>
      <c r="AT63" s="29">
        <f t="shared" si="73"/>
        <v>0</v>
      </c>
      <c r="AU63" s="29">
        <f t="shared" si="73"/>
        <v>0</v>
      </c>
      <c r="AV63" s="29">
        <f t="shared" si="73"/>
        <v>0</v>
      </c>
      <c r="AW63" s="29">
        <f t="shared" si="73"/>
        <v>0</v>
      </c>
      <c r="AX63" s="29">
        <f t="shared" si="73"/>
        <v>0</v>
      </c>
      <c r="AY63" s="29">
        <f t="shared" si="73"/>
        <v>0</v>
      </c>
      <c r="AZ63" s="29">
        <f t="shared" si="73"/>
        <v>0</v>
      </c>
      <c r="BA63" s="29">
        <f t="shared" si="73"/>
        <v>0</v>
      </c>
      <c r="BB63" s="29">
        <f t="shared" si="73"/>
        <v>0</v>
      </c>
      <c r="BC63" s="29">
        <f t="shared" si="73"/>
        <v>0</v>
      </c>
      <c r="BD63" s="29">
        <f t="shared" si="73"/>
        <v>0</v>
      </c>
      <c r="BE63" s="29">
        <f t="shared" si="73"/>
        <v>0</v>
      </c>
      <c r="BF63" s="29">
        <f t="shared" si="73"/>
        <v>0</v>
      </c>
      <c r="BG63" s="29">
        <f t="shared" si="73"/>
        <v>0</v>
      </c>
      <c r="BH63" s="29">
        <f t="shared" si="73"/>
        <v>0</v>
      </c>
      <c r="BI63" s="29">
        <f t="shared" si="73"/>
        <v>0</v>
      </c>
      <c r="BJ63" s="29">
        <f t="shared" si="73"/>
        <v>0</v>
      </c>
      <c r="BK63" s="29">
        <f t="shared" si="73"/>
        <v>0</v>
      </c>
      <c r="BL63" s="29">
        <f t="shared" si="73"/>
        <v>0</v>
      </c>
      <c r="BM63" s="29">
        <f t="shared" si="73"/>
        <v>0</v>
      </c>
      <c r="BN63" s="29">
        <f t="shared" si="73"/>
        <v>0</v>
      </c>
      <c r="BO63" s="29">
        <f t="shared" si="73"/>
        <v>0</v>
      </c>
      <c r="BP63" s="29">
        <f t="shared" si="73"/>
        <v>0</v>
      </c>
    </row>
    <row r="64" spans="2:68" ht="10.35" customHeight="1" outlineLevel="1" x14ac:dyDescent="0.2">
      <c r="B64" s="80"/>
      <c r="C64" s="80"/>
      <c r="D64" s="66" t="str">
        <f>Input!$D$130</f>
        <v>Phase 2 (if required)</v>
      </c>
      <c r="E64" s="80"/>
      <c r="F64" s="80"/>
      <c r="G64" s="83"/>
      <c r="H64" s="83"/>
      <c r="I64" s="80"/>
      <c r="J64" s="80"/>
      <c r="K64" s="401"/>
      <c r="L64" s="436">
        <f t="shared" ref="L64:L68" si="74">MAX(R64:BP64)</f>
        <v>0</v>
      </c>
      <c r="M64" s="457"/>
      <c r="N64" s="455"/>
      <c r="O64" s="455"/>
      <c r="P64" s="455"/>
      <c r="Q64" s="455"/>
      <c r="R64" s="29">
        <f t="shared" ref="R64:AG67" si="75">IF(R54=0,0,R$15)</f>
        <v>0</v>
      </c>
      <c r="S64" s="29">
        <f t="shared" si="75"/>
        <v>0</v>
      </c>
      <c r="T64" s="29">
        <f t="shared" si="75"/>
        <v>0</v>
      </c>
      <c r="U64" s="29">
        <f t="shared" si="75"/>
        <v>0</v>
      </c>
      <c r="V64" s="29">
        <f t="shared" si="75"/>
        <v>0</v>
      </c>
      <c r="W64" s="29">
        <f t="shared" si="75"/>
        <v>0</v>
      </c>
      <c r="X64" s="29">
        <f t="shared" si="75"/>
        <v>0</v>
      </c>
      <c r="Y64" s="29">
        <f t="shared" si="75"/>
        <v>0</v>
      </c>
      <c r="Z64" s="29">
        <f t="shared" si="75"/>
        <v>0</v>
      </c>
      <c r="AA64" s="29">
        <f t="shared" si="75"/>
        <v>0</v>
      </c>
      <c r="AB64" s="29">
        <f t="shared" si="75"/>
        <v>0</v>
      </c>
      <c r="AC64" s="29">
        <f t="shared" si="75"/>
        <v>0</v>
      </c>
      <c r="AD64" s="29">
        <f t="shared" si="75"/>
        <v>0</v>
      </c>
      <c r="AE64" s="29">
        <f t="shared" si="75"/>
        <v>0</v>
      </c>
      <c r="AF64" s="29">
        <f t="shared" si="75"/>
        <v>0</v>
      </c>
      <c r="AG64" s="29">
        <f t="shared" si="75"/>
        <v>0</v>
      </c>
      <c r="AH64" s="29">
        <f t="shared" si="73"/>
        <v>0</v>
      </c>
      <c r="AI64" s="29">
        <f t="shared" si="73"/>
        <v>0</v>
      </c>
      <c r="AJ64" s="29">
        <f t="shared" si="73"/>
        <v>0</v>
      </c>
      <c r="AK64" s="29">
        <f t="shared" si="73"/>
        <v>0</v>
      </c>
      <c r="AL64" s="29">
        <f t="shared" si="73"/>
        <v>0</v>
      </c>
      <c r="AM64" s="29">
        <f t="shared" si="73"/>
        <v>0</v>
      </c>
      <c r="AN64" s="29">
        <f t="shared" si="73"/>
        <v>0</v>
      </c>
      <c r="AO64" s="29">
        <f t="shared" si="73"/>
        <v>0</v>
      </c>
      <c r="AP64" s="29">
        <f t="shared" si="73"/>
        <v>0</v>
      </c>
      <c r="AQ64" s="29">
        <f t="shared" si="73"/>
        <v>0</v>
      </c>
      <c r="AR64" s="29">
        <f t="shared" si="73"/>
        <v>0</v>
      </c>
      <c r="AS64" s="29">
        <f t="shared" si="73"/>
        <v>0</v>
      </c>
      <c r="AT64" s="29">
        <f t="shared" si="73"/>
        <v>0</v>
      </c>
      <c r="AU64" s="29">
        <f t="shared" si="73"/>
        <v>0</v>
      </c>
      <c r="AV64" s="29">
        <f t="shared" si="73"/>
        <v>0</v>
      </c>
      <c r="AW64" s="29">
        <f t="shared" si="73"/>
        <v>0</v>
      </c>
      <c r="AX64" s="29">
        <f t="shared" si="73"/>
        <v>0</v>
      </c>
      <c r="AY64" s="29">
        <f t="shared" si="73"/>
        <v>0</v>
      </c>
      <c r="AZ64" s="29">
        <f t="shared" si="73"/>
        <v>0</v>
      </c>
      <c r="BA64" s="29">
        <f t="shared" si="73"/>
        <v>0</v>
      </c>
      <c r="BB64" s="29">
        <f t="shared" si="73"/>
        <v>0</v>
      </c>
      <c r="BC64" s="29">
        <f t="shared" si="73"/>
        <v>0</v>
      </c>
      <c r="BD64" s="29">
        <f t="shared" si="73"/>
        <v>0</v>
      </c>
      <c r="BE64" s="29">
        <f t="shared" si="73"/>
        <v>0</v>
      </c>
      <c r="BF64" s="29">
        <f t="shared" si="73"/>
        <v>0</v>
      </c>
      <c r="BG64" s="29">
        <f t="shared" si="73"/>
        <v>0</v>
      </c>
      <c r="BH64" s="29">
        <f t="shared" si="73"/>
        <v>0</v>
      </c>
      <c r="BI64" s="29">
        <f t="shared" si="73"/>
        <v>0</v>
      </c>
      <c r="BJ64" s="29">
        <f t="shared" si="73"/>
        <v>0</v>
      </c>
      <c r="BK64" s="29">
        <f t="shared" si="73"/>
        <v>0</v>
      </c>
      <c r="BL64" s="29">
        <f t="shared" si="73"/>
        <v>0</v>
      </c>
      <c r="BM64" s="29">
        <f t="shared" si="73"/>
        <v>0</v>
      </c>
      <c r="BN64" s="29">
        <f t="shared" si="73"/>
        <v>0</v>
      </c>
      <c r="BO64" s="29">
        <f t="shared" si="73"/>
        <v>0</v>
      </c>
      <c r="BP64" s="29">
        <f t="shared" si="73"/>
        <v>0</v>
      </c>
    </row>
    <row r="65" spans="2:68" ht="10.35" customHeight="1" outlineLevel="1" x14ac:dyDescent="0.2">
      <c r="B65" s="80"/>
      <c r="C65" s="80"/>
      <c r="D65" s="66" t="str">
        <f>Input!$D$131</f>
        <v>Phase 3 (if required)</v>
      </c>
      <c r="E65" s="80"/>
      <c r="F65" s="80"/>
      <c r="G65" s="83"/>
      <c r="H65" s="83"/>
      <c r="I65" s="80"/>
      <c r="J65" s="80"/>
      <c r="K65" s="401"/>
      <c r="L65" s="436">
        <f t="shared" si="74"/>
        <v>0</v>
      </c>
      <c r="M65" s="457"/>
      <c r="N65" s="455"/>
      <c r="O65" s="455"/>
      <c r="P65" s="455"/>
      <c r="Q65" s="455"/>
      <c r="R65" s="29">
        <f t="shared" si="75"/>
        <v>0</v>
      </c>
      <c r="S65" s="29">
        <f t="shared" si="73"/>
        <v>0</v>
      </c>
      <c r="T65" s="29">
        <f t="shared" si="73"/>
        <v>0</v>
      </c>
      <c r="U65" s="29">
        <f t="shared" si="73"/>
        <v>0</v>
      </c>
      <c r="V65" s="29">
        <f t="shared" si="73"/>
        <v>0</v>
      </c>
      <c r="W65" s="29">
        <f t="shared" si="73"/>
        <v>0</v>
      </c>
      <c r="X65" s="29">
        <f t="shared" si="73"/>
        <v>0</v>
      </c>
      <c r="Y65" s="29">
        <f t="shared" si="73"/>
        <v>0</v>
      </c>
      <c r="Z65" s="29">
        <f t="shared" si="73"/>
        <v>0</v>
      </c>
      <c r="AA65" s="29">
        <f t="shared" si="73"/>
        <v>0</v>
      </c>
      <c r="AB65" s="29">
        <f t="shared" si="73"/>
        <v>0</v>
      </c>
      <c r="AC65" s="29">
        <f t="shared" si="73"/>
        <v>0</v>
      </c>
      <c r="AD65" s="29">
        <f t="shared" si="73"/>
        <v>0</v>
      </c>
      <c r="AE65" s="29">
        <f t="shared" si="73"/>
        <v>0</v>
      </c>
      <c r="AF65" s="29">
        <f t="shared" si="73"/>
        <v>0</v>
      </c>
      <c r="AG65" s="29">
        <f t="shared" si="73"/>
        <v>0</v>
      </c>
      <c r="AH65" s="29">
        <f t="shared" si="73"/>
        <v>0</v>
      </c>
      <c r="AI65" s="29">
        <f t="shared" si="73"/>
        <v>0</v>
      </c>
      <c r="AJ65" s="29">
        <f t="shared" si="73"/>
        <v>0</v>
      </c>
      <c r="AK65" s="29">
        <f t="shared" si="73"/>
        <v>0</v>
      </c>
      <c r="AL65" s="29">
        <f t="shared" si="73"/>
        <v>0</v>
      </c>
      <c r="AM65" s="29">
        <f t="shared" si="73"/>
        <v>0</v>
      </c>
      <c r="AN65" s="29">
        <f t="shared" si="73"/>
        <v>0</v>
      </c>
      <c r="AO65" s="29">
        <f t="shared" si="73"/>
        <v>0</v>
      </c>
      <c r="AP65" s="29">
        <f t="shared" si="73"/>
        <v>0</v>
      </c>
      <c r="AQ65" s="29">
        <f t="shared" si="73"/>
        <v>0</v>
      </c>
      <c r="AR65" s="29">
        <f t="shared" si="73"/>
        <v>0</v>
      </c>
      <c r="AS65" s="29">
        <f t="shared" si="73"/>
        <v>0</v>
      </c>
      <c r="AT65" s="29">
        <f t="shared" si="73"/>
        <v>0</v>
      </c>
      <c r="AU65" s="29">
        <f t="shared" si="73"/>
        <v>0</v>
      </c>
      <c r="AV65" s="29">
        <f t="shared" si="73"/>
        <v>0</v>
      </c>
      <c r="AW65" s="29">
        <f t="shared" si="73"/>
        <v>0</v>
      </c>
      <c r="AX65" s="29">
        <f t="shared" si="73"/>
        <v>0</v>
      </c>
      <c r="AY65" s="29">
        <f t="shared" si="73"/>
        <v>0</v>
      </c>
      <c r="AZ65" s="29">
        <f t="shared" si="73"/>
        <v>0</v>
      </c>
      <c r="BA65" s="29">
        <f t="shared" si="73"/>
        <v>0</v>
      </c>
      <c r="BB65" s="29">
        <f t="shared" si="73"/>
        <v>0</v>
      </c>
      <c r="BC65" s="29">
        <f t="shared" si="73"/>
        <v>0</v>
      </c>
      <c r="BD65" s="29">
        <f t="shared" si="73"/>
        <v>0</v>
      </c>
      <c r="BE65" s="29">
        <f t="shared" si="73"/>
        <v>0</v>
      </c>
      <c r="BF65" s="29">
        <f t="shared" si="73"/>
        <v>0</v>
      </c>
      <c r="BG65" s="29">
        <f t="shared" si="73"/>
        <v>0</v>
      </c>
      <c r="BH65" s="29">
        <f t="shared" si="73"/>
        <v>0</v>
      </c>
      <c r="BI65" s="29">
        <f t="shared" si="73"/>
        <v>0</v>
      </c>
      <c r="BJ65" s="29">
        <f t="shared" si="73"/>
        <v>0</v>
      </c>
      <c r="BK65" s="29">
        <f t="shared" si="73"/>
        <v>0</v>
      </c>
      <c r="BL65" s="29">
        <f t="shared" si="73"/>
        <v>0</v>
      </c>
      <c r="BM65" s="29">
        <f t="shared" si="73"/>
        <v>0</v>
      </c>
      <c r="BN65" s="29">
        <f t="shared" si="73"/>
        <v>0</v>
      </c>
      <c r="BO65" s="29">
        <f t="shared" si="73"/>
        <v>0</v>
      </c>
      <c r="BP65" s="29">
        <f t="shared" si="73"/>
        <v>0</v>
      </c>
    </row>
    <row r="66" spans="2:68" ht="10.35" customHeight="1" outlineLevel="1" x14ac:dyDescent="0.2">
      <c r="B66" s="80"/>
      <c r="C66" s="80"/>
      <c r="D66" s="66" t="str">
        <f>Input!$D$132</f>
        <v>Phase 4 (if required)</v>
      </c>
      <c r="E66" s="80"/>
      <c r="F66" s="80"/>
      <c r="G66" s="83"/>
      <c r="H66" s="83"/>
      <c r="I66" s="80"/>
      <c r="J66" s="80"/>
      <c r="K66" s="401"/>
      <c r="L66" s="436">
        <f t="shared" si="74"/>
        <v>0</v>
      </c>
      <c r="M66" s="457"/>
      <c r="N66" s="455"/>
      <c r="O66" s="455"/>
      <c r="P66" s="455"/>
      <c r="Q66" s="455"/>
      <c r="R66" s="29">
        <f t="shared" si="75"/>
        <v>0</v>
      </c>
      <c r="S66" s="29">
        <f t="shared" si="73"/>
        <v>0</v>
      </c>
      <c r="T66" s="29">
        <f t="shared" si="73"/>
        <v>0</v>
      </c>
      <c r="U66" s="29">
        <f t="shared" si="73"/>
        <v>0</v>
      </c>
      <c r="V66" s="29">
        <f t="shared" si="73"/>
        <v>0</v>
      </c>
      <c r="W66" s="29">
        <f t="shared" si="73"/>
        <v>0</v>
      </c>
      <c r="X66" s="29">
        <f t="shared" si="73"/>
        <v>0</v>
      </c>
      <c r="Y66" s="29">
        <f t="shared" si="73"/>
        <v>0</v>
      </c>
      <c r="Z66" s="29">
        <f t="shared" si="73"/>
        <v>0</v>
      </c>
      <c r="AA66" s="29">
        <f t="shared" si="73"/>
        <v>0</v>
      </c>
      <c r="AB66" s="29">
        <f t="shared" si="73"/>
        <v>0</v>
      </c>
      <c r="AC66" s="29">
        <f t="shared" si="73"/>
        <v>0</v>
      </c>
      <c r="AD66" s="29">
        <f t="shared" si="73"/>
        <v>0</v>
      </c>
      <c r="AE66" s="29">
        <f t="shared" si="73"/>
        <v>0</v>
      </c>
      <c r="AF66" s="29">
        <f t="shared" si="73"/>
        <v>0</v>
      </c>
      <c r="AG66" s="29">
        <f t="shared" si="73"/>
        <v>0</v>
      </c>
      <c r="AH66" s="29">
        <f t="shared" si="73"/>
        <v>0</v>
      </c>
      <c r="AI66" s="29">
        <f t="shared" si="73"/>
        <v>0</v>
      </c>
      <c r="AJ66" s="29">
        <f t="shared" si="73"/>
        <v>0</v>
      </c>
      <c r="AK66" s="29">
        <f t="shared" si="73"/>
        <v>0</v>
      </c>
      <c r="AL66" s="29">
        <f t="shared" si="73"/>
        <v>0</v>
      </c>
      <c r="AM66" s="29">
        <f t="shared" si="73"/>
        <v>0</v>
      </c>
      <c r="AN66" s="29">
        <f t="shared" si="73"/>
        <v>0</v>
      </c>
      <c r="AO66" s="29">
        <f t="shared" si="73"/>
        <v>0</v>
      </c>
      <c r="AP66" s="29">
        <f t="shared" si="73"/>
        <v>0</v>
      </c>
      <c r="AQ66" s="29">
        <f t="shared" si="73"/>
        <v>0</v>
      </c>
      <c r="AR66" s="29">
        <f t="shared" si="73"/>
        <v>0</v>
      </c>
      <c r="AS66" s="29">
        <f t="shared" si="73"/>
        <v>0</v>
      </c>
      <c r="AT66" s="29">
        <f t="shared" si="73"/>
        <v>0</v>
      </c>
      <c r="AU66" s="29">
        <f t="shared" si="73"/>
        <v>0</v>
      </c>
      <c r="AV66" s="29">
        <f t="shared" si="73"/>
        <v>0</v>
      </c>
      <c r="AW66" s="29">
        <f t="shared" si="73"/>
        <v>0</v>
      </c>
      <c r="AX66" s="29">
        <f t="shared" si="73"/>
        <v>0</v>
      </c>
      <c r="AY66" s="29">
        <f t="shared" si="73"/>
        <v>0</v>
      </c>
      <c r="AZ66" s="29">
        <f t="shared" si="73"/>
        <v>0</v>
      </c>
      <c r="BA66" s="29">
        <f t="shared" si="73"/>
        <v>0</v>
      </c>
      <c r="BB66" s="29">
        <f t="shared" si="73"/>
        <v>0</v>
      </c>
      <c r="BC66" s="29">
        <f t="shared" si="73"/>
        <v>0</v>
      </c>
      <c r="BD66" s="29">
        <f t="shared" si="73"/>
        <v>0</v>
      </c>
      <c r="BE66" s="29">
        <f t="shared" si="73"/>
        <v>0</v>
      </c>
      <c r="BF66" s="29">
        <f t="shared" si="73"/>
        <v>0</v>
      </c>
      <c r="BG66" s="29">
        <f t="shared" si="73"/>
        <v>0</v>
      </c>
      <c r="BH66" s="29">
        <f t="shared" si="73"/>
        <v>0</v>
      </c>
      <c r="BI66" s="29">
        <f t="shared" si="73"/>
        <v>0</v>
      </c>
      <c r="BJ66" s="29">
        <f t="shared" si="73"/>
        <v>0</v>
      </c>
      <c r="BK66" s="29">
        <f t="shared" si="73"/>
        <v>0</v>
      </c>
      <c r="BL66" s="29">
        <f t="shared" si="73"/>
        <v>0</v>
      </c>
      <c r="BM66" s="29">
        <f t="shared" si="73"/>
        <v>0</v>
      </c>
      <c r="BN66" s="29">
        <f t="shared" si="73"/>
        <v>0</v>
      </c>
      <c r="BO66" s="29">
        <f t="shared" si="73"/>
        <v>0</v>
      </c>
      <c r="BP66" s="29">
        <f t="shared" si="73"/>
        <v>0</v>
      </c>
    </row>
    <row r="67" spans="2:68" ht="10.35" customHeight="1" outlineLevel="1" x14ac:dyDescent="0.2">
      <c r="B67" s="80"/>
      <c r="C67" s="80"/>
      <c r="D67" s="66" t="str">
        <f>Input!$D$133</f>
        <v>Phase 5 (if required)</v>
      </c>
      <c r="E67" s="80"/>
      <c r="F67" s="80"/>
      <c r="G67" s="83"/>
      <c r="H67" s="83"/>
      <c r="I67" s="80"/>
      <c r="J67" s="80"/>
      <c r="K67" s="401"/>
      <c r="L67" s="436">
        <f t="shared" si="74"/>
        <v>7</v>
      </c>
      <c r="M67" s="457"/>
      <c r="N67" s="455"/>
      <c r="O67" s="455"/>
      <c r="P67" s="455"/>
      <c r="Q67" s="455"/>
      <c r="R67" s="29">
        <f t="shared" si="75"/>
        <v>0</v>
      </c>
      <c r="S67" s="29">
        <f t="shared" ref="S67:BP67" si="76">IF(S57=0,0,S$15)</f>
        <v>0</v>
      </c>
      <c r="T67" s="29">
        <f t="shared" si="76"/>
        <v>0</v>
      </c>
      <c r="U67" s="29">
        <f t="shared" si="76"/>
        <v>3</v>
      </c>
      <c r="V67" s="29">
        <f t="shared" si="76"/>
        <v>4</v>
      </c>
      <c r="W67" s="29">
        <f t="shared" si="76"/>
        <v>5</v>
      </c>
      <c r="X67" s="29">
        <f t="shared" si="76"/>
        <v>6</v>
      </c>
      <c r="Y67" s="29">
        <f t="shared" si="76"/>
        <v>7</v>
      </c>
      <c r="Z67" s="29">
        <f t="shared" si="76"/>
        <v>0</v>
      </c>
      <c r="AA67" s="29">
        <f t="shared" si="76"/>
        <v>0</v>
      </c>
      <c r="AB67" s="29">
        <f t="shared" si="76"/>
        <v>0</v>
      </c>
      <c r="AC67" s="29">
        <f t="shared" si="76"/>
        <v>0</v>
      </c>
      <c r="AD67" s="29">
        <f t="shared" si="76"/>
        <v>0</v>
      </c>
      <c r="AE67" s="29">
        <f t="shared" si="76"/>
        <v>0</v>
      </c>
      <c r="AF67" s="29">
        <f t="shared" si="76"/>
        <v>0</v>
      </c>
      <c r="AG67" s="29">
        <f t="shared" si="76"/>
        <v>0</v>
      </c>
      <c r="AH67" s="29">
        <f t="shared" si="76"/>
        <v>0</v>
      </c>
      <c r="AI67" s="29">
        <f t="shared" si="76"/>
        <v>0</v>
      </c>
      <c r="AJ67" s="29">
        <f t="shared" si="76"/>
        <v>0</v>
      </c>
      <c r="AK67" s="29">
        <f t="shared" si="76"/>
        <v>0</v>
      </c>
      <c r="AL67" s="29">
        <f t="shared" si="76"/>
        <v>0</v>
      </c>
      <c r="AM67" s="29">
        <f t="shared" si="76"/>
        <v>0</v>
      </c>
      <c r="AN67" s="29">
        <f t="shared" si="76"/>
        <v>0</v>
      </c>
      <c r="AO67" s="29">
        <f t="shared" si="76"/>
        <v>0</v>
      </c>
      <c r="AP67" s="29">
        <f t="shared" si="76"/>
        <v>0</v>
      </c>
      <c r="AQ67" s="29">
        <f t="shared" si="76"/>
        <v>0</v>
      </c>
      <c r="AR67" s="29">
        <f t="shared" si="76"/>
        <v>0</v>
      </c>
      <c r="AS67" s="29">
        <f t="shared" si="76"/>
        <v>0</v>
      </c>
      <c r="AT67" s="29">
        <f t="shared" si="76"/>
        <v>0</v>
      </c>
      <c r="AU67" s="29">
        <f t="shared" si="76"/>
        <v>0</v>
      </c>
      <c r="AV67" s="29">
        <f t="shared" si="76"/>
        <v>0</v>
      </c>
      <c r="AW67" s="29">
        <f t="shared" si="76"/>
        <v>0</v>
      </c>
      <c r="AX67" s="29">
        <f t="shared" si="76"/>
        <v>0</v>
      </c>
      <c r="AY67" s="29">
        <f t="shared" si="76"/>
        <v>0</v>
      </c>
      <c r="AZ67" s="29">
        <f t="shared" si="76"/>
        <v>0</v>
      </c>
      <c r="BA67" s="29">
        <f t="shared" si="76"/>
        <v>0</v>
      </c>
      <c r="BB67" s="29">
        <f t="shared" si="76"/>
        <v>0</v>
      </c>
      <c r="BC67" s="29">
        <f t="shared" si="76"/>
        <v>0</v>
      </c>
      <c r="BD67" s="29">
        <f t="shared" si="76"/>
        <v>0</v>
      </c>
      <c r="BE67" s="29">
        <f t="shared" si="76"/>
        <v>0</v>
      </c>
      <c r="BF67" s="29">
        <f t="shared" si="76"/>
        <v>0</v>
      </c>
      <c r="BG67" s="29">
        <f t="shared" si="76"/>
        <v>0</v>
      </c>
      <c r="BH67" s="29">
        <f t="shared" si="76"/>
        <v>0</v>
      </c>
      <c r="BI67" s="29">
        <f t="shared" si="76"/>
        <v>0</v>
      </c>
      <c r="BJ67" s="29">
        <f t="shared" si="76"/>
        <v>0</v>
      </c>
      <c r="BK67" s="29">
        <f t="shared" si="76"/>
        <v>0</v>
      </c>
      <c r="BL67" s="29">
        <f t="shared" si="76"/>
        <v>0</v>
      </c>
      <c r="BM67" s="29">
        <f t="shared" si="76"/>
        <v>0</v>
      </c>
      <c r="BN67" s="29">
        <f t="shared" si="76"/>
        <v>0</v>
      </c>
      <c r="BO67" s="29">
        <f t="shared" si="76"/>
        <v>0</v>
      </c>
      <c r="BP67" s="29">
        <f t="shared" si="76"/>
        <v>0</v>
      </c>
    </row>
    <row r="68" spans="2:68" ht="10.35" customHeight="1" outlineLevel="1" x14ac:dyDescent="0.2">
      <c r="B68" s="80"/>
      <c r="C68" s="80"/>
      <c r="D68" s="86" t="s">
        <v>66</v>
      </c>
      <c r="E68" s="458"/>
      <c r="F68" s="458"/>
      <c r="G68" s="459"/>
      <c r="H68" s="459"/>
      <c r="I68" s="458"/>
      <c r="J68" s="458"/>
      <c r="K68" s="460"/>
      <c r="L68" s="461">
        <f t="shared" si="74"/>
        <v>0</v>
      </c>
      <c r="M68" s="462"/>
      <c r="N68" s="463"/>
      <c r="O68" s="463"/>
      <c r="P68" s="463"/>
      <c r="Q68" s="463"/>
      <c r="R68" s="177">
        <f>IF(R58=0,0,R$15)</f>
        <v>0</v>
      </c>
      <c r="S68" s="177">
        <f t="shared" ref="S68:BP68" si="77">IF(S58=0,0,S$15)</f>
        <v>0</v>
      </c>
      <c r="T68" s="177">
        <f t="shared" si="77"/>
        <v>0</v>
      </c>
      <c r="U68" s="177">
        <f t="shared" si="77"/>
        <v>0</v>
      </c>
      <c r="V68" s="177">
        <f t="shared" si="77"/>
        <v>0</v>
      </c>
      <c r="W68" s="177">
        <f t="shared" si="77"/>
        <v>0</v>
      </c>
      <c r="X68" s="177">
        <f t="shared" si="77"/>
        <v>0</v>
      </c>
      <c r="Y68" s="177">
        <f t="shared" si="77"/>
        <v>0</v>
      </c>
      <c r="Z68" s="177">
        <f t="shared" si="77"/>
        <v>0</v>
      </c>
      <c r="AA68" s="177">
        <f t="shared" si="77"/>
        <v>0</v>
      </c>
      <c r="AB68" s="177">
        <f t="shared" si="77"/>
        <v>0</v>
      </c>
      <c r="AC68" s="177">
        <f t="shared" si="77"/>
        <v>0</v>
      </c>
      <c r="AD68" s="177">
        <f t="shared" si="77"/>
        <v>0</v>
      </c>
      <c r="AE68" s="177">
        <f t="shared" si="77"/>
        <v>0</v>
      </c>
      <c r="AF68" s="177">
        <f t="shared" si="77"/>
        <v>0</v>
      </c>
      <c r="AG68" s="177">
        <f t="shared" si="77"/>
        <v>0</v>
      </c>
      <c r="AH68" s="177">
        <f t="shared" si="77"/>
        <v>0</v>
      </c>
      <c r="AI68" s="177">
        <f t="shared" si="77"/>
        <v>0</v>
      </c>
      <c r="AJ68" s="177">
        <f t="shared" si="77"/>
        <v>0</v>
      </c>
      <c r="AK68" s="177">
        <f t="shared" si="77"/>
        <v>0</v>
      </c>
      <c r="AL68" s="177">
        <f t="shared" si="77"/>
        <v>0</v>
      </c>
      <c r="AM68" s="177">
        <f t="shared" si="77"/>
        <v>0</v>
      </c>
      <c r="AN68" s="177">
        <f t="shared" si="77"/>
        <v>0</v>
      </c>
      <c r="AO68" s="177">
        <f t="shared" si="77"/>
        <v>0</v>
      </c>
      <c r="AP68" s="177">
        <f t="shared" si="77"/>
        <v>0</v>
      </c>
      <c r="AQ68" s="177">
        <f t="shared" si="77"/>
        <v>0</v>
      </c>
      <c r="AR68" s="177">
        <f t="shared" si="77"/>
        <v>0</v>
      </c>
      <c r="AS68" s="177">
        <f t="shared" si="77"/>
        <v>0</v>
      </c>
      <c r="AT68" s="177">
        <f t="shared" si="77"/>
        <v>0</v>
      </c>
      <c r="AU68" s="177">
        <f t="shared" si="77"/>
        <v>0</v>
      </c>
      <c r="AV68" s="177">
        <f t="shared" si="77"/>
        <v>0</v>
      </c>
      <c r="AW68" s="177">
        <f t="shared" si="77"/>
        <v>0</v>
      </c>
      <c r="AX68" s="177">
        <f t="shared" si="77"/>
        <v>0</v>
      </c>
      <c r="AY68" s="177">
        <f t="shared" si="77"/>
        <v>0</v>
      </c>
      <c r="AZ68" s="177">
        <f t="shared" si="77"/>
        <v>0</v>
      </c>
      <c r="BA68" s="177">
        <f t="shared" si="77"/>
        <v>0</v>
      </c>
      <c r="BB68" s="177">
        <f t="shared" si="77"/>
        <v>0</v>
      </c>
      <c r="BC68" s="177">
        <f t="shared" si="77"/>
        <v>0</v>
      </c>
      <c r="BD68" s="177">
        <f t="shared" si="77"/>
        <v>0</v>
      </c>
      <c r="BE68" s="177">
        <f t="shared" si="77"/>
        <v>0</v>
      </c>
      <c r="BF68" s="177">
        <f t="shared" si="77"/>
        <v>0</v>
      </c>
      <c r="BG68" s="177">
        <f t="shared" si="77"/>
        <v>0</v>
      </c>
      <c r="BH68" s="177">
        <f t="shared" si="77"/>
        <v>0</v>
      </c>
      <c r="BI68" s="177">
        <f t="shared" si="77"/>
        <v>0</v>
      </c>
      <c r="BJ68" s="177">
        <f t="shared" si="77"/>
        <v>0</v>
      </c>
      <c r="BK68" s="177">
        <f t="shared" si="77"/>
        <v>0</v>
      </c>
      <c r="BL68" s="177">
        <f t="shared" si="77"/>
        <v>0</v>
      </c>
      <c r="BM68" s="177">
        <f t="shared" si="77"/>
        <v>0</v>
      </c>
      <c r="BN68" s="177">
        <f t="shared" si="77"/>
        <v>0</v>
      </c>
      <c r="BO68" s="177">
        <f t="shared" si="77"/>
        <v>0</v>
      </c>
      <c r="BP68" s="177">
        <f t="shared" si="77"/>
        <v>0</v>
      </c>
    </row>
    <row r="69" spans="2:68" ht="10.35" customHeight="1" outlineLevel="1" x14ac:dyDescent="0.2">
      <c r="B69" s="80"/>
      <c r="C69" s="80"/>
      <c r="D69" s="81"/>
      <c r="E69" s="80"/>
      <c r="F69" s="80"/>
      <c r="G69" s="80"/>
      <c r="H69" s="80"/>
      <c r="I69" s="80"/>
      <c r="J69" s="432"/>
      <c r="K69" s="80"/>
      <c r="L69" s="436"/>
      <c r="M69" s="437"/>
      <c r="N69" s="401"/>
      <c r="O69" s="401"/>
      <c r="P69" s="401"/>
      <c r="Q69" s="401"/>
      <c r="R69" s="29"/>
      <c r="S69" s="29"/>
      <c r="T69" s="29"/>
      <c r="U69" s="29"/>
      <c r="V69" s="29"/>
      <c r="W69" s="29"/>
      <c r="X69" s="29"/>
      <c r="Y69" s="29"/>
      <c r="Z69" s="29"/>
      <c r="AA69" s="29"/>
      <c r="AB69" s="29"/>
      <c r="AC69" s="29"/>
      <c r="AD69" s="29"/>
      <c r="AE69" s="29"/>
      <c r="AF69" s="29"/>
      <c r="AG69" s="29"/>
      <c r="AH69" s="29"/>
      <c r="AI69" s="29"/>
      <c r="AJ69" s="29"/>
      <c r="AK69" s="29"/>
      <c r="AL69" s="29"/>
      <c r="AM69" s="29"/>
      <c r="AN69" s="29"/>
      <c r="AO69" s="29"/>
      <c r="AP69" s="29"/>
      <c r="AQ69" s="29"/>
      <c r="AR69" s="29"/>
      <c r="AS69" s="29"/>
      <c r="AT69" s="29"/>
      <c r="AU69" s="29"/>
      <c r="AV69" s="29"/>
      <c r="AW69" s="29"/>
      <c r="AX69" s="29"/>
      <c r="AY69" s="29"/>
      <c r="AZ69" s="29"/>
      <c r="BA69" s="29"/>
      <c r="BB69" s="29"/>
      <c r="BC69" s="29"/>
      <c r="BD69" s="29"/>
      <c r="BE69" s="29"/>
      <c r="BF69" s="29"/>
      <c r="BG69" s="29"/>
      <c r="BH69" s="29"/>
      <c r="BI69" s="29"/>
      <c r="BJ69" s="29"/>
      <c r="BK69" s="29"/>
      <c r="BL69" s="29"/>
      <c r="BM69" s="29"/>
      <c r="BN69" s="29"/>
      <c r="BO69" s="29"/>
      <c r="BP69" s="29"/>
    </row>
    <row r="70" spans="2:68" ht="10.35" customHeight="1" outlineLevel="1" x14ac:dyDescent="0.2">
      <c r="B70" s="80"/>
      <c r="C70" s="80"/>
      <c r="D70" s="10" t="str">
        <f>Input!$C$137</f>
        <v>Capex benefits</v>
      </c>
      <c r="E70" s="80"/>
      <c r="F70" s="80"/>
      <c r="G70" s="83"/>
      <c r="H70" s="83"/>
      <c r="I70" s="80"/>
      <c r="J70" s="80"/>
      <c r="K70" s="34"/>
      <c r="L70" s="126"/>
      <c r="M70" s="127"/>
      <c r="N70" s="34"/>
      <c r="O70" s="34"/>
      <c r="P70" s="34"/>
      <c r="Q70" s="34"/>
      <c r="R70" s="33"/>
      <c r="S70" s="33"/>
      <c r="T70" s="33"/>
      <c r="U70" s="33"/>
      <c r="V70" s="33"/>
      <c r="W70" s="33"/>
      <c r="X70" s="33"/>
      <c r="Y70" s="33"/>
      <c r="Z70" s="33"/>
      <c r="AA70" s="33"/>
      <c r="AB70" s="33"/>
      <c r="AC70" s="33"/>
      <c r="AD70" s="33"/>
      <c r="AE70" s="33"/>
      <c r="AF70" s="33"/>
      <c r="AG70" s="33"/>
      <c r="AH70" s="33"/>
      <c r="AI70" s="33"/>
      <c r="AJ70" s="33"/>
      <c r="AK70" s="33"/>
      <c r="AL70" s="33"/>
      <c r="AM70" s="33"/>
      <c r="AN70" s="33"/>
      <c r="AO70" s="33"/>
      <c r="AP70" s="33"/>
      <c r="AQ70" s="33"/>
      <c r="AR70" s="33"/>
      <c r="AS70" s="33"/>
      <c r="AT70" s="33"/>
      <c r="AU70" s="33"/>
      <c r="AV70" s="33"/>
      <c r="AW70" s="33"/>
      <c r="AX70" s="33"/>
      <c r="AY70" s="33"/>
      <c r="AZ70" s="33"/>
      <c r="BA70" s="33"/>
      <c r="BB70" s="33"/>
      <c r="BC70" s="33"/>
      <c r="BD70" s="33"/>
      <c r="BE70" s="33"/>
      <c r="BF70" s="33"/>
      <c r="BG70" s="33"/>
      <c r="BH70" s="33"/>
      <c r="BI70" s="33"/>
      <c r="BJ70" s="33"/>
      <c r="BK70" s="33"/>
      <c r="BL70" s="33"/>
      <c r="BM70" s="33"/>
      <c r="BN70" s="33"/>
      <c r="BO70" s="33"/>
      <c r="BP70" s="33"/>
    </row>
    <row r="71" spans="2:68" outlineLevel="1" x14ac:dyDescent="0.2">
      <c r="B71" s="20"/>
      <c r="C71" s="80"/>
      <c r="D71" s="81" t="str">
        <f>Input!$D$145</f>
        <v>Benefit 1</v>
      </c>
      <c r="E71" s="80"/>
      <c r="F71" s="80"/>
      <c r="G71" s="83"/>
      <c r="H71" s="83"/>
      <c r="I71" s="80"/>
      <c r="J71" s="401"/>
      <c r="K71" s="401"/>
      <c r="L71" s="436">
        <f t="shared" ref="L71:L73" si="78">SUM(R71:BP71)</f>
        <v>0</v>
      </c>
      <c r="M71" s="457"/>
      <c r="N71" s="455"/>
      <c r="O71" s="455"/>
      <c r="P71" s="455"/>
      <c r="Q71" s="455"/>
      <c r="R71" s="31">
        <f>Input!R145</f>
        <v>0</v>
      </c>
      <c r="S71" s="31">
        <f>Input!S145</f>
        <v>0</v>
      </c>
      <c r="T71" s="31">
        <f>Input!T145</f>
        <v>0</v>
      </c>
      <c r="U71" s="31">
        <f>Input!U145</f>
        <v>0</v>
      </c>
      <c r="V71" s="31">
        <f>Input!V145</f>
        <v>0</v>
      </c>
      <c r="W71" s="31">
        <f>Input!W145</f>
        <v>0</v>
      </c>
      <c r="X71" s="31">
        <f>Input!X145</f>
        <v>0</v>
      </c>
      <c r="Y71" s="31">
        <f>Input!Y145</f>
        <v>0</v>
      </c>
      <c r="Z71" s="31">
        <f>Input!Z145</f>
        <v>0</v>
      </c>
      <c r="AA71" s="31">
        <f>Input!AA145</f>
        <v>0</v>
      </c>
      <c r="AB71" s="31">
        <f>Input!AB145</f>
        <v>0</v>
      </c>
      <c r="AC71" s="31">
        <f>Input!AC145</f>
        <v>0</v>
      </c>
      <c r="AD71" s="31">
        <f>Input!AD145</f>
        <v>0</v>
      </c>
      <c r="AE71" s="31">
        <f>Input!AE145</f>
        <v>0</v>
      </c>
      <c r="AF71" s="31">
        <f>Input!AF145</f>
        <v>0</v>
      </c>
      <c r="AG71" s="31">
        <f>Input!AG145</f>
        <v>0</v>
      </c>
      <c r="AH71" s="31">
        <f>Input!AH145</f>
        <v>0</v>
      </c>
      <c r="AI71" s="31">
        <f>Input!AI145</f>
        <v>0</v>
      </c>
      <c r="AJ71" s="31">
        <f>Input!AJ145</f>
        <v>0</v>
      </c>
      <c r="AK71" s="31">
        <f>Input!AK145</f>
        <v>0</v>
      </c>
      <c r="AL71" s="31">
        <f>Input!AL145</f>
        <v>0</v>
      </c>
      <c r="AM71" s="31">
        <f>Input!AM145</f>
        <v>0</v>
      </c>
      <c r="AN71" s="31">
        <f>Input!AN145</f>
        <v>0</v>
      </c>
      <c r="AO71" s="31">
        <f>Input!AO145</f>
        <v>0</v>
      </c>
      <c r="AP71" s="31">
        <f>Input!AP145</f>
        <v>0</v>
      </c>
      <c r="AQ71" s="31">
        <f>Input!AQ145</f>
        <v>0</v>
      </c>
      <c r="AR71" s="31">
        <f>Input!AR145</f>
        <v>0</v>
      </c>
      <c r="AS71" s="31">
        <f>Input!AS145</f>
        <v>0</v>
      </c>
      <c r="AT71" s="31">
        <f>Input!AT145</f>
        <v>0</v>
      </c>
      <c r="AU71" s="31">
        <f>Input!AU145</f>
        <v>0</v>
      </c>
      <c r="AV71" s="31">
        <f>Input!AV145</f>
        <v>0</v>
      </c>
      <c r="AW71" s="31">
        <f>Input!AW145</f>
        <v>0</v>
      </c>
      <c r="AX71" s="31">
        <f>Input!AX145</f>
        <v>0</v>
      </c>
      <c r="AY71" s="31">
        <f>Input!AY145</f>
        <v>0</v>
      </c>
      <c r="AZ71" s="31">
        <f>Input!AZ145</f>
        <v>0</v>
      </c>
      <c r="BA71" s="31">
        <f>Input!BA145</f>
        <v>0</v>
      </c>
      <c r="BB71" s="31">
        <f>Input!BB145</f>
        <v>0</v>
      </c>
      <c r="BC71" s="31">
        <f>Input!BC145</f>
        <v>0</v>
      </c>
      <c r="BD71" s="31">
        <f>Input!BD145</f>
        <v>0</v>
      </c>
      <c r="BE71" s="31">
        <f>Input!BE145</f>
        <v>0</v>
      </c>
      <c r="BF71" s="31">
        <f>Input!BF145</f>
        <v>0</v>
      </c>
      <c r="BG71" s="31">
        <f>Input!BG145</f>
        <v>0</v>
      </c>
      <c r="BH71" s="31">
        <f>Input!BH145</f>
        <v>0</v>
      </c>
      <c r="BI71" s="31">
        <f>Input!BI145</f>
        <v>0</v>
      </c>
      <c r="BJ71" s="31">
        <f>Input!BJ145</f>
        <v>0</v>
      </c>
      <c r="BK71" s="31">
        <f>Input!BK145</f>
        <v>0</v>
      </c>
      <c r="BL71" s="31">
        <f>Input!BL145</f>
        <v>0</v>
      </c>
      <c r="BM71" s="31">
        <f>Input!BM145</f>
        <v>0</v>
      </c>
      <c r="BN71" s="31">
        <f>Input!BN145</f>
        <v>0</v>
      </c>
      <c r="BO71" s="31">
        <f>Input!BO145</f>
        <v>0</v>
      </c>
      <c r="BP71" s="31">
        <f>Input!BP145</f>
        <v>0</v>
      </c>
    </row>
    <row r="72" spans="2:68" outlineLevel="1" x14ac:dyDescent="0.2">
      <c r="B72" s="20"/>
      <c r="C72" s="80"/>
      <c r="D72" s="81" t="str">
        <f>Input!$D$146</f>
        <v>Benefit 2</v>
      </c>
      <c r="E72" s="80"/>
      <c r="F72" s="80"/>
      <c r="G72" s="83"/>
      <c r="H72" s="83"/>
      <c r="I72" s="80"/>
      <c r="J72" s="401"/>
      <c r="K72" s="401"/>
      <c r="L72" s="436">
        <f>SUM(R72:BP72)</f>
        <v>0</v>
      </c>
      <c r="M72" s="457"/>
      <c r="N72" s="455"/>
      <c r="O72" s="455"/>
      <c r="P72" s="455"/>
      <c r="Q72" s="455"/>
      <c r="R72" s="31">
        <f>Input!R146</f>
        <v>0</v>
      </c>
      <c r="S72" s="31">
        <f>Input!S146</f>
        <v>0</v>
      </c>
      <c r="T72" s="31">
        <f>Input!T146</f>
        <v>0</v>
      </c>
      <c r="U72" s="31">
        <f>Input!U146</f>
        <v>0</v>
      </c>
      <c r="V72" s="31">
        <f>Input!V146</f>
        <v>0</v>
      </c>
      <c r="W72" s="31">
        <f>Input!W146</f>
        <v>0</v>
      </c>
      <c r="X72" s="31">
        <f>Input!X146</f>
        <v>0</v>
      </c>
      <c r="Y72" s="31">
        <f>Input!Y146</f>
        <v>0</v>
      </c>
      <c r="Z72" s="31">
        <f>Input!Z146</f>
        <v>0</v>
      </c>
      <c r="AA72" s="31">
        <f>Input!AA146</f>
        <v>0</v>
      </c>
      <c r="AB72" s="31">
        <f>Input!AB146</f>
        <v>0</v>
      </c>
      <c r="AC72" s="31">
        <f>Input!AC146</f>
        <v>0</v>
      </c>
      <c r="AD72" s="31">
        <f>Input!AD146</f>
        <v>0</v>
      </c>
      <c r="AE72" s="31">
        <f>Input!AE146</f>
        <v>0</v>
      </c>
      <c r="AF72" s="31">
        <f>Input!AF146</f>
        <v>0</v>
      </c>
      <c r="AG72" s="31">
        <f>Input!AG146</f>
        <v>0</v>
      </c>
      <c r="AH72" s="31">
        <f>Input!AH146</f>
        <v>0</v>
      </c>
      <c r="AI72" s="31">
        <f>Input!AI146</f>
        <v>0</v>
      </c>
      <c r="AJ72" s="31">
        <f>Input!AJ146</f>
        <v>0</v>
      </c>
      <c r="AK72" s="31">
        <f>Input!AK146</f>
        <v>0</v>
      </c>
      <c r="AL72" s="31">
        <f>Input!AL146</f>
        <v>0</v>
      </c>
      <c r="AM72" s="31">
        <f>Input!AM146</f>
        <v>0</v>
      </c>
      <c r="AN72" s="31">
        <f>Input!AN146</f>
        <v>0</v>
      </c>
      <c r="AO72" s="31">
        <f>Input!AO146</f>
        <v>0</v>
      </c>
      <c r="AP72" s="31">
        <f>Input!AP146</f>
        <v>0</v>
      </c>
      <c r="AQ72" s="31">
        <f>Input!AQ146</f>
        <v>0</v>
      </c>
      <c r="AR72" s="31">
        <f>Input!AR146</f>
        <v>0</v>
      </c>
      <c r="AS72" s="31">
        <f>Input!AS146</f>
        <v>0</v>
      </c>
      <c r="AT72" s="31">
        <f>Input!AT146</f>
        <v>0</v>
      </c>
      <c r="AU72" s="31">
        <f>Input!AU146</f>
        <v>0</v>
      </c>
      <c r="AV72" s="31">
        <f>Input!AV146</f>
        <v>0</v>
      </c>
      <c r="AW72" s="31">
        <f>Input!AW146</f>
        <v>0</v>
      </c>
      <c r="AX72" s="31">
        <f>Input!AX146</f>
        <v>0</v>
      </c>
      <c r="AY72" s="31">
        <f>Input!AY146</f>
        <v>0</v>
      </c>
      <c r="AZ72" s="31">
        <f>Input!AZ146</f>
        <v>0</v>
      </c>
      <c r="BA72" s="31">
        <f>Input!BA146</f>
        <v>0</v>
      </c>
      <c r="BB72" s="31">
        <f>Input!BB146</f>
        <v>0</v>
      </c>
      <c r="BC72" s="31">
        <f>Input!BC146</f>
        <v>0</v>
      </c>
      <c r="BD72" s="31">
        <f>Input!BD146</f>
        <v>0</v>
      </c>
      <c r="BE72" s="31">
        <f>Input!BE146</f>
        <v>0</v>
      </c>
      <c r="BF72" s="31">
        <f>Input!BF146</f>
        <v>0</v>
      </c>
      <c r="BG72" s="31">
        <f>Input!BG146</f>
        <v>0</v>
      </c>
      <c r="BH72" s="31">
        <f>Input!BH146</f>
        <v>0</v>
      </c>
      <c r="BI72" s="31">
        <f>Input!BI146</f>
        <v>0</v>
      </c>
      <c r="BJ72" s="31">
        <f>Input!BJ146</f>
        <v>0</v>
      </c>
      <c r="BK72" s="31">
        <f>Input!BK146</f>
        <v>0</v>
      </c>
      <c r="BL72" s="31">
        <f>Input!BL146</f>
        <v>0</v>
      </c>
      <c r="BM72" s="31">
        <f>Input!BM146</f>
        <v>0</v>
      </c>
      <c r="BN72" s="31">
        <f>Input!BN146</f>
        <v>0</v>
      </c>
      <c r="BO72" s="31">
        <f>Input!BO146</f>
        <v>0</v>
      </c>
      <c r="BP72" s="31">
        <f>Input!BP146</f>
        <v>0</v>
      </c>
    </row>
    <row r="73" spans="2:68" outlineLevel="1" x14ac:dyDescent="0.2">
      <c r="B73" s="20"/>
      <c r="C73" s="80"/>
      <c r="D73" s="81" t="str">
        <f>Input!$D$147</f>
        <v>Benefit 3</v>
      </c>
      <c r="E73" s="80"/>
      <c r="F73" s="80"/>
      <c r="G73" s="83"/>
      <c r="H73" s="83"/>
      <c r="I73" s="80"/>
      <c r="J73" s="401"/>
      <c r="K73" s="401"/>
      <c r="L73" s="436">
        <f t="shared" si="78"/>
        <v>674885.50411962823</v>
      </c>
      <c r="M73" s="457"/>
      <c r="N73" s="455"/>
      <c r="O73" s="455"/>
      <c r="P73" s="455"/>
      <c r="Q73" s="455"/>
      <c r="R73" s="31">
        <f>Input!R147</f>
        <v>0</v>
      </c>
      <c r="S73" s="31">
        <f>Input!S147</f>
        <v>0</v>
      </c>
      <c r="T73" s="31">
        <f>Input!T147</f>
        <v>0</v>
      </c>
      <c r="U73" s="31">
        <f>Input!U147</f>
        <v>82215.499612420273</v>
      </c>
      <c r="V73" s="31">
        <f>Input!V147</f>
        <v>83418.633341835346</v>
      </c>
      <c r="W73" s="31">
        <f>Input!W147</f>
        <v>83981.778737012559</v>
      </c>
      <c r="X73" s="31">
        <f>Input!X147</f>
        <v>84039.932594823957</v>
      </c>
      <c r="Y73" s="31">
        <f>Input!Y147</f>
        <v>85307.414958384019</v>
      </c>
      <c r="Z73" s="31">
        <f>Input!Z147</f>
        <v>85307.414958384019</v>
      </c>
      <c r="AA73" s="31">
        <f>Input!AA147</f>
        <v>85307.414958384019</v>
      </c>
      <c r="AB73" s="31">
        <f>Input!AB147</f>
        <v>85307.414958384019</v>
      </c>
      <c r="AC73" s="31">
        <f>Input!AC147</f>
        <v>0</v>
      </c>
      <c r="AD73" s="31">
        <f>Input!AD147</f>
        <v>0</v>
      </c>
      <c r="AE73" s="31">
        <f>Input!AE147</f>
        <v>0</v>
      </c>
      <c r="AF73" s="31">
        <f>Input!AF147</f>
        <v>0</v>
      </c>
      <c r="AG73" s="31">
        <f>Input!AG147</f>
        <v>0</v>
      </c>
      <c r="AH73" s="31">
        <f>Input!AH147</f>
        <v>0</v>
      </c>
      <c r="AI73" s="31">
        <f>Input!AI147</f>
        <v>0</v>
      </c>
      <c r="AJ73" s="31">
        <f>Input!AJ147</f>
        <v>0</v>
      </c>
      <c r="AK73" s="31">
        <f>Input!AK147</f>
        <v>0</v>
      </c>
      <c r="AL73" s="31">
        <f>Input!AL147</f>
        <v>0</v>
      </c>
      <c r="AM73" s="31">
        <f>Input!AM147</f>
        <v>0</v>
      </c>
      <c r="AN73" s="31">
        <f>Input!AN147</f>
        <v>0</v>
      </c>
      <c r="AO73" s="31">
        <f>Input!AO147</f>
        <v>0</v>
      </c>
      <c r="AP73" s="31">
        <f>Input!AP147</f>
        <v>0</v>
      </c>
      <c r="AQ73" s="31">
        <f>Input!AQ147</f>
        <v>0</v>
      </c>
      <c r="AR73" s="31">
        <f>Input!AR147</f>
        <v>0</v>
      </c>
      <c r="AS73" s="31">
        <f>Input!AS147</f>
        <v>0</v>
      </c>
      <c r="AT73" s="31">
        <f>Input!AT147</f>
        <v>0</v>
      </c>
      <c r="AU73" s="31">
        <f>Input!AU147</f>
        <v>0</v>
      </c>
      <c r="AV73" s="31">
        <f>Input!AV147</f>
        <v>0</v>
      </c>
      <c r="AW73" s="31">
        <f>Input!AW147</f>
        <v>0</v>
      </c>
      <c r="AX73" s="31">
        <f>Input!AX147</f>
        <v>0</v>
      </c>
      <c r="AY73" s="31">
        <f>Input!AY147</f>
        <v>0</v>
      </c>
      <c r="AZ73" s="31">
        <f>Input!AZ147</f>
        <v>0</v>
      </c>
      <c r="BA73" s="31">
        <f>Input!BA147</f>
        <v>0</v>
      </c>
      <c r="BB73" s="31">
        <f>Input!BB147</f>
        <v>0</v>
      </c>
      <c r="BC73" s="31">
        <f>Input!BC147</f>
        <v>0</v>
      </c>
      <c r="BD73" s="31">
        <f>Input!BD147</f>
        <v>0</v>
      </c>
      <c r="BE73" s="31">
        <f>Input!BE147</f>
        <v>0</v>
      </c>
      <c r="BF73" s="31">
        <f>Input!BF147</f>
        <v>0</v>
      </c>
      <c r="BG73" s="31">
        <f>Input!BG147</f>
        <v>0</v>
      </c>
      <c r="BH73" s="31">
        <f>Input!BH147</f>
        <v>0</v>
      </c>
      <c r="BI73" s="31">
        <f>Input!BI147</f>
        <v>0</v>
      </c>
      <c r="BJ73" s="31">
        <f>Input!BJ147</f>
        <v>0</v>
      </c>
      <c r="BK73" s="31">
        <f>Input!BK147</f>
        <v>0</v>
      </c>
      <c r="BL73" s="31">
        <f>Input!BL147</f>
        <v>0</v>
      </c>
      <c r="BM73" s="31">
        <f>Input!BM147</f>
        <v>0</v>
      </c>
      <c r="BN73" s="31">
        <f>Input!BN147</f>
        <v>0</v>
      </c>
      <c r="BO73" s="31">
        <f>Input!BO147</f>
        <v>0</v>
      </c>
      <c r="BP73" s="31">
        <f>Input!BP147</f>
        <v>0</v>
      </c>
    </row>
    <row r="74" spans="2:68" outlineLevel="1" x14ac:dyDescent="0.2">
      <c r="B74" s="20"/>
      <c r="C74" s="80"/>
      <c r="D74" s="88" t="s">
        <v>66</v>
      </c>
      <c r="E74" s="458"/>
      <c r="F74" s="458"/>
      <c r="G74" s="459"/>
      <c r="H74" s="459"/>
      <c r="I74" s="458"/>
      <c r="J74" s="460"/>
      <c r="K74" s="460">
        <f>SUMPRODUCT(R74:BP74,$R$20:$BP$20)</f>
        <v>542822.84767942876</v>
      </c>
      <c r="L74" s="461">
        <f>SUM(R74:BP74)</f>
        <v>674885.50411962823</v>
      </c>
      <c r="M74" s="462"/>
      <c r="N74" s="463"/>
      <c r="O74" s="463"/>
      <c r="P74" s="463"/>
      <c r="Q74" s="463"/>
      <c r="R74" s="460">
        <f t="shared" ref="R74:AW74" si="79">SUM(R71:R73)</f>
        <v>0</v>
      </c>
      <c r="S74" s="460">
        <f t="shared" si="79"/>
        <v>0</v>
      </c>
      <c r="T74" s="460">
        <f t="shared" si="79"/>
        <v>0</v>
      </c>
      <c r="U74" s="460">
        <f t="shared" si="79"/>
        <v>82215.499612420273</v>
      </c>
      <c r="V74" s="460">
        <f t="shared" si="79"/>
        <v>83418.633341835346</v>
      </c>
      <c r="W74" s="460">
        <f t="shared" si="79"/>
        <v>83981.778737012559</v>
      </c>
      <c r="X74" s="460">
        <f t="shared" si="79"/>
        <v>84039.932594823957</v>
      </c>
      <c r="Y74" s="460">
        <f t="shared" si="79"/>
        <v>85307.414958384019</v>
      </c>
      <c r="Z74" s="460">
        <f t="shared" si="79"/>
        <v>85307.414958384019</v>
      </c>
      <c r="AA74" s="460">
        <f t="shared" si="79"/>
        <v>85307.414958384019</v>
      </c>
      <c r="AB74" s="460">
        <f t="shared" si="79"/>
        <v>85307.414958384019</v>
      </c>
      <c r="AC74" s="460">
        <f t="shared" si="79"/>
        <v>0</v>
      </c>
      <c r="AD74" s="460">
        <f t="shared" si="79"/>
        <v>0</v>
      </c>
      <c r="AE74" s="460">
        <f t="shared" si="79"/>
        <v>0</v>
      </c>
      <c r="AF74" s="460">
        <f t="shared" si="79"/>
        <v>0</v>
      </c>
      <c r="AG74" s="460">
        <f t="shared" si="79"/>
        <v>0</v>
      </c>
      <c r="AH74" s="460">
        <f t="shared" si="79"/>
        <v>0</v>
      </c>
      <c r="AI74" s="460">
        <f t="shared" si="79"/>
        <v>0</v>
      </c>
      <c r="AJ74" s="460">
        <f t="shared" si="79"/>
        <v>0</v>
      </c>
      <c r="AK74" s="460">
        <f t="shared" si="79"/>
        <v>0</v>
      </c>
      <c r="AL74" s="460">
        <f t="shared" si="79"/>
        <v>0</v>
      </c>
      <c r="AM74" s="460">
        <f t="shared" si="79"/>
        <v>0</v>
      </c>
      <c r="AN74" s="460">
        <f t="shared" si="79"/>
        <v>0</v>
      </c>
      <c r="AO74" s="460">
        <f t="shared" si="79"/>
        <v>0</v>
      </c>
      <c r="AP74" s="460">
        <f t="shared" si="79"/>
        <v>0</v>
      </c>
      <c r="AQ74" s="460">
        <f t="shared" si="79"/>
        <v>0</v>
      </c>
      <c r="AR74" s="460">
        <f t="shared" si="79"/>
        <v>0</v>
      </c>
      <c r="AS74" s="460">
        <f t="shared" si="79"/>
        <v>0</v>
      </c>
      <c r="AT74" s="460">
        <f t="shared" si="79"/>
        <v>0</v>
      </c>
      <c r="AU74" s="460">
        <f t="shared" si="79"/>
        <v>0</v>
      </c>
      <c r="AV74" s="460">
        <f t="shared" si="79"/>
        <v>0</v>
      </c>
      <c r="AW74" s="460">
        <f t="shared" si="79"/>
        <v>0</v>
      </c>
      <c r="AX74" s="460">
        <f t="shared" ref="AX74:BP74" si="80">SUM(AX71:AX73)</f>
        <v>0</v>
      </c>
      <c r="AY74" s="460">
        <f t="shared" si="80"/>
        <v>0</v>
      </c>
      <c r="AZ74" s="460">
        <f t="shared" si="80"/>
        <v>0</v>
      </c>
      <c r="BA74" s="460">
        <f t="shared" si="80"/>
        <v>0</v>
      </c>
      <c r="BB74" s="460">
        <f t="shared" si="80"/>
        <v>0</v>
      </c>
      <c r="BC74" s="460">
        <f t="shared" si="80"/>
        <v>0</v>
      </c>
      <c r="BD74" s="460">
        <f t="shared" si="80"/>
        <v>0</v>
      </c>
      <c r="BE74" s="460">
        <f t="shared" si="80"/>
        <v>0</v>
      </c>
      <c r="BF74" s="460">
        <f t="shared" si="80"/>
        <v>0</v>
      </c>
      <c r="BG74" s="460">
        <f t="shared" si="80"/>
        <v>0</v>
      </c>
      <c r="BH74" s="460">
        <f t="shared" si="80"/>
        <v>0</v>
      </c>
      <c r="BI74" s="460">
        <f t="shared" si="80"/>
        <v>0</v>
      </c>
      <c r="BJ74" s="460">
        <f t="shared" si="80"/>
        <v>0</v>
      </c>
      <c r="BK74" s="460">
        <f t="shared" si="80"/>
        <v>0</v>
      </c>
      <c r="BL74" s="460">
        <f t="shared" si="80"/>
        <v>0</v>
      </c>
      <c r="BM74" s="460">
        <f t="shared" si="80"/>
        <v>0</v>
      </c>
      <c r="BN74" s="460">
        <f t="shared" si="80"/>
        <v>0</v>
      </c>
      <c r="BO74" s="460">
        <f t="shared" si="80"/>
        <v>0</v>
      </c>
      <c r="BP74" s="460">
        <f t="shared" si="80"/>
        <v>0</v>
      </c>
    </row>
    <row r="75" spans="2:68" outlineLevel="1" x14ac:dyDescent="0.2">
      <c r="B75" s="20"/>
      <c r="C75" s="80"/>
      <c r="D75" s="123"/>
      <c r="E75" s="80"/>
      <c r="F75" s="80"/>
      <c r="G75" s="83"/>
      <c r="H75" s="83"/>
      <c r="I75" s="80"/>
      <c r="J75" s="80"/>
      <c r="K75" s="401"/>
      <c r="L75" s="436"/>
      <c r="M75" s="457"/>
      <c r="N75" s="455"/>
      <c r="O75" s="455"/>
      <c r="P75" s="455"/>
      <c r="Q75" s="455"/>
      <c r="R75" s="401"/>
      <c r="S75" s="401"/>
      <c r="T75" s="401"/>
      <c r="U75" s="401"/>
      <c r="V75" s="401"/>
      <c r="W75" s="401"/>
      <c r="X75" s="401"/>
      <c r="Y75" s="401"/>
      <c r="Z75" s="401"/>
      <c r="AA75" s="401"/>
      <c r="AB75" s="401"/>
      <c r="AC75" s="401"/>
      <c r="AD75" s="401"/>
      <c r="AE75" s="401"/>
      <c r="AF75" s="401"/>
      <c r="AG75" s="401"/>
      <c r="AH75" s="401"/>
      <c r="AI75" s="401"/>
      <c r="AJ75" s="401"/>
      <c r="AK75" s="401"/>
      <c r="AL75" s="401"/>
      <c r="AM75" s="401"/>
      <c r="AN75" s="401"/>
      <c r="AO75" s="401"/>
      <c r="AP75" s="401"/>
      <c r="AQ75" s="401"/>
      <c r="AR75" s="401"/>
      <c r="AS75" s="401"/>
      <c r="AT75" s="401"/>
      <c r="AU75" s="401"/>
      <c r="AV75" s="401"/>
      <c r="AW75" s="401"/>
      <c r="AX75" s="401"/>
      <c r="AY75" s="401"/>
      <c r="AZ75" s="401"/>
      <c r="BA75" s="401"/>
      <c r="BB75" s="401"/>
      <c r="BC75" s="401"/>
      <c r="BD75" s="401"/>
      <c r="BE75" s="401"/>
      <c r="BF75" s="401"/>
      <c r="BG75" s="401"/>
      <c r="BH75" s="401"/>
      <c r="BI75" s="401"/>
      <c r="BJ75" s="401"/>
      <c r="BK75" s="401"/>
      <c r="BL75" s="401"/>
      <c r="BM75" s="401"/>
      <c r="BN75" s="401"/>
      <c r="BO75" s="401"/>
      <c r="BP75" s="401"/>
    </row>
    <row r="76" spans="2:68" ht="10.35" customHeight="1" outlineLevel="1" x14ac:dyDescent="0.2">
      <c r="B76" s="80"/>
      <c r="C76" s="80"/>
      <c r="D76" s="123" t="s">
        <v>342</v>
      </c>
      <c r="E76" s="80"/>
      <c r="F76" s="80"/>
      <c r="G76" s="83"/>
      <c r="H76" s="83"/>
      <c r="I76" s="80"/>
      <c r="J76" s="80"/>
      <c r="K76" s="401"/>
      <c r="L76" s="436"/>
      <c r="M76" s="457"/>
      <c r="N76" s="455"/>
      <c r="O76" s="455"/>
      <c r="P76" s="455"/>
      <c r="Q76" s="455"/>
      <c r="R76" s="401"/>
      <c r="S76" s="401"/>
      <c r="T76" s="401"/>
      <c r="U76" s="401"/>
      <c r="V76" s="401"/>
      <c r="W76" s="401"/>
      <c r="X76" s="401"/>
      <c r="Y76" s="401"/>
      <c r="Z76" s="401"/>
      <c r="AA76" s="401"/>
      <c r="AB76" s="401"/>
      <c r="AC76" s="401"/>
      <c r="AD76" s="401"/>
      <c r="AE76" s="401"/>
      <c r="AF76" s="401"/>
      <c r="AG76" s="401"/>
      <c r="AH76" s="401"/>
      <c r="AI76" s="401"/>
      <c r="AJ76" s="401"/>
      <c r="AK76" s="401"/>
      <c r="AL76" s="401"/>
      <c r="AM76" s="401"/>
      <c r="AN76" s="401"/>
      <c r="AO76" s="401"/>
      <c r="AP76" s="401"/>
      <c r="AQ76" s="401"/>
      <c r="AR76" s="401"/>
      <c r="AS76" s="401"/>
      <c r="AT76" s="401"/>
      <c r="AU76" s="401"/>
      <c r="AV76" s="401"/>
      <c r="AW76" s="401"/>
      <c r="AX76" s="401"/>
      <c r="AY76" s="401"/>
      <c r="AZ76" s="401"/>
      <c r="BA76" s="401"/>
      <c r="BB76" s="401"/>
      <c r="BC76" s="401"/>
      <c r="BD76" s="401"/>
      <c r="BE76" s="401"/>
      <c r="BF76" s="401"/>
      <c r="BG76" s="401"/>
      <c r="BH76" s="401"/>
      <c r="BI76" s="401"/>
      <c r="BJ76" s="401"/>
      <c r="BK76" s="401"/>
      <c r="BL76" s="401"/>
      <c r="BM76" s="401"/>
      <c r="BN76" s="401"/>
      <c r="BO76" s="401"/>
      <c r="BP76" s="401"/>
    </row>
    <row r="77" spans="2:68" ht="10.35" customHeight="1" outlineLevel="1" x14ac:dyDescent="0.2">
      <c r="B77" s="80"/>
      <c r="C77" s="80"/>
      <c r="D77" s="66" t="str">
        <f>Input!$D$145</f>
        <v>Benefit 1</v>
      </c>
      <c r="E77" s="80"/>
      <c r="F77" s="80"/>
      <c r="G77" s="83"/>
      <c r="H77" s="83"/>
      <c r="I77" s="80"/>
      <c r="J77" s="80"/>
      <c r="K77" s="401"/>
      <c r="L77" s="436">
        <f>MAX(R77:BP77)</f>
        <v>0</v>
      </c>
      <c r="M77" s="457"/>
      <c r="N77" s="455"/>
      <c r="O77" s="455"/>
      <c r="P77" s="455"/>
      <c r="Q77" s="455"/>
      <c r="R77" s="29">
        <f t="shared" ref="R77:AW77" si="81">IF(R71=0,0,R$15)</f>
        <v>0</v>
      </c>
      <c r="S77" s="29">
        <f t="shared" si="81"/>
        <v>0</v>
      </c>
      <c r="T77" s="29">
        <f t="shared" si="81"/>
        <v>0</v>
      </c>
      <c r="U77" s="29">
        <f t="shared" si="81"/>
        <v>0</v>
      </c>
      <c r="V77" s="29">
        <f t="shared" si="81"/>
        <v>0</v>
      </c>
      <c r="W77" s="29">
        <f t="shared" si="81"/>
        <v>0</v>
      </c>
      <c r="X77" s="29">
        <f t="shared" si="81"/>
        <v>0</v>
      </c>
      <c r="Y77" s="29">
        <f t="shared" si="81"/>
        <v>0</v>
      </c>
      <c r="Z77" s="29">
        <f t="shared" si="81"/>
        <v>0</v>
      </c>
      <c r="AA77" s="29">
        <f t="shared" si="81"/>
        <v>0</v>
      </c>
      <c r="AB77" s="29">
        <f t="shared" si="81"/>
        <v>0</v>
      </c>
      <c r="AC77" s="29">
        <f t="shared" si="81"/>
        <v>0</v>
      </c>
      <c r="AD77" s="29">
        <f t="shared" si="81"/>
        <v>0</v>
      </c>
      <c r="AE77" s="29">
        <f t="shared" si="81"/>
        <v>0</v>
      </c>
      <c r="AF77" s="29">
        <f t="shared" si="81"/>
        <v>0</v>
      </c>
      <c r="AG77" s="29">
        <f t="shared" si="81"/>
        <v>0</v>
      </c>
      <c r="AH77" s="29">
        <f t="shared" si="81"/>
        <v>0</v>
      </c>
      <c r="AI77" s="29">
        <f t="shared" si="81"/>
        <v>0</v>
      </c>
      <c r="AJ77" s="29">
        <f t="shared" si="81"/>
        <v>0</v>
      </c>
      <c r="AK77" s="29">
        <f t="shared" si="81"/>
        <v>0</v>
      </c>
      <c r="AL77" s="29">
        <f t="shared" si="81"/>
        <v>0</v>
      </c>
      <c r="AM77" s="29">
        <f t="shared" si="81"/>
        <v>0</v>
      </c>
      <c r="AN77" s="29">
        <f t="shared" si="81"/>
        <v>0</v>
      </c>
      <c r="AO77" s="29">
        <f t="shared" si="81"/>
        <v>0</v>
      </c>
      <c r="AP77" s="29">
        <f t="shared" si="81"/>
        <v>0</v>
      </c>
      <c r="AQ77" s="29">
        <f t="shared" si="81"/>
        <v>0</v>
      </c>
      <c r="AR77" s="29">
        <f t="shared" si="81"/>
        <v>0</v>
      </c>
      <c r="AS77" s="29">
        <f t="shared" si="81"/>
        <v>0</v>
      </c>
      <c r="AT77" s="29">
        <f t="shared" si="81"/>
        <v>0</v>
      </c>
      <c r="AU77" s="29">
        <f t="shared" si="81"/>
        <v>0</v>
      </c>
      <c r="AV77" s="29">
        <f t="shared" si="81"/>
        <v>0</v>
      </c>
      <c r="AW77" s="29">
        <f t="shared" si="81"/>
        <v>0</v>
      </c>
      <c r="AX77" s="29">
        <f t="shared" ref="AX77:BP77" si="82">IF(AX71=0,0,AX$15)</f>
        <v>0</v>
      </c>
      <c r="AY77" s="29">
        <f t="shared" si="82"/>
        <v>0</v>
      </c>
      <c r="AZ77" s="29">
        <f t="shared" si="82"/>
        <v>0</v>
      </c>
      <c r="BA77" s="29">
        <f t="shared" si="82"/>
        <v>0</v>
      </c>
      <c r="BB77" s="29">
        <f t="shared" si="82"/>
        <v>0</v>
      </c>
      <c r="BC77" s="29">
        <f t="shared" si="82"/>
        <v>0</v>
      </c>
      <c r="BD77" s="29">
        <f t="shared" si="82"/>
        <v>0</v>
      </c>
      <c r="BE77" s="29">
        <f t="shared" si="82"/>
        <v>0</v>
      </c>
      <c r="BF77" s="29">
        <f t="shared" si="82"/>
        <v>0</v>
      </c>
      <c r="BG77" s="29">
        <f t="shared" si="82"/>
        <v>0</v>
      </c>
      <c r="BH77" s="29">
        <f t="shared" si="82"/>
        <v>0</v>
      </c>
      <c r="BI77" s="29">
        <f t="shared" si="82"/>
        <v>0</v>
      </c>
      <c r="BJ77" s="29">
        <f t="shared" si="82"/>
        <v>0</v>
      </c>
      <c r="BK77" s="29">
        <f t="shared" si="82"/>
        <v>0</v>
      </c>
      <c r="BL77" s="29">
        <f t="shared" si="82"/>
        <v>0</v>
      </c>
      <c r="BM77" s="29">
        <f t="shared" si="82"/>
        <v>0</v>
      </c>
      <c r="BN77" s="29">
        <f t="shared" si="82"/>
        <v>0</v>
      </c>
      <c r="BO77" s="29">
        <f t="shared" si="82"/>
        <v>0</v>
      </c>
      <c r="BP77" s="29">
        <f t="shared" si="82"/>
        <v>0</v>
      </c>
    </row>
    <row r="78" spans="2:68" ht="10.35" customHeight="1" outlineLevel="1" x14ac:dyDescent="0.2">
      <c r="B78" s="80"/>
      <c r="C78" s="80"/>
      <c r="D78" s="66" t="str">
        <f>Input!$D$146</f>
        <v>Benefit 2</v>
      </c>
      <c r="E78" s="80"/>
      <c r="F78" s="80"/>
      <c r="G78" s="83"/>
      <c r="H78" s="83"/>
      <c r="I78" s="80"/>
      <c r="J78" s="80"/>
      <c r="K78" s="401"/>
      <c r="L78" s="436">
        <f t="shared" ref="L78:L80" si="83">MAX(R78:BP78)</f>
        <v>0</v>
      </c>
      <c r="M78" s="457"/>
      <c r="N78" s="455"/>
      <c r="O78" s="455"/>
      <c r="P78" s="455"/>
      <c r="Q78" s="455"/>
      <c r="R78" s="29">
        <f t="shared" ref="R78:AW78" si="84">IF(R72=0,0,R$15)</f>
        <v>0</v>
      </c>
      <c r="S78" s="29">
        <f t="shared" si="84"/>
        <v>0</v>
      </c>
      <c r="T78" s="29">
        <f t="shared" si="84"/>
        <v>0</v>
      </c>
      <c r="U78" s="29">
        <f t="shared" si="84"/>
        <v>0</v>
      </c>
      <c r="V78" s="29">
        <f t="shared" si="84"/>
        <v>0</v>
      </c>
      <c r="W78" s="29">
        <f t="shared" si="84"/>
        <v>0</v>
      </c>
      <c r="X78" s="29">
        <f t="shared" si="84"/>
        <v>0</v>
      </c>
      <c r="Y78" s="29">
        <f t="shared" si="84"/>
        <v>0</v>
      </c>
      <c r="Z78" s="29">
        <f t="shared" si="84"/>
        <v>0</v>
      </c>
      <c r="AA78" s="29">
        <f t="shared" si="84"/>
        <v>0</v>
      </c>
      <c r="AB78" s="29">
        <f t="shared" si="84"/>
        <v>0</v>
      </c>
      <c r="AC78" s="29">
        <f t="shared" si="84"/>
        <v>0</v>
      </c>
      <c r="AD78" s="29">
        <f t="shared" si="84"/>
        <v>0</v>
      </c>
      <c r="AE78" s="29">
        <f t="shared" si="84"/>
        <v>0</v>
      </c>
      <c r="AF78" s="29">
        <f t="shared" si="84"/>
        <v>0</v>
      </c>
      <c r="AG78" s="29">
        <f t="shared" si="84"/>
        <v>0</v>
      </c>
      <c r="AH78" s="29">
        <f t="shared" si="84"/>
        <v>0</v>
      </c>
      <c r="AI78" s="29">
        <f t="shared" si="84"/>
        <v>0</v>
      </c>
      <c r="AJ78" s="29">
        <f t="shared" si="84"/>
        <v>0</v>
      </c>
      <c r="AK78" s="29">
        <f t="shared" si="84"/>
        <v>0</v>
      </c>
      <c r="AL78" s="29">
        <f t="shared" si="84"/>
        <v>0</v>
      </c>
      <c r="AM78" s="29">
        <f t="shared" si="84"/>
        <v>0</v>
      </c>
      <c r="AN78" s="29">
        <f t="shared" si="84"/>
        <v>0</v>
      </c>
      <c r="AO78" s="29">
        <f t="shared" si="84"/>
        <v>0</v>
      </c>
      <c r="AP78" s="29">
        <f t="shared" si="84"/>
        <v>0</v>
      </c>
      <c r="AQ78" s="29">
        <f t="shared" si="84"/>
        <v>0</v>
      </c>
      <c r="AR78" s="29">
        <f t="shared" si="84"/>
        <v>0</v>
      </c>
      <c r="AS78" s="29">
        <f t="shared" si="84"/>
        <v>0</v>
      </c>
      <c r="AT78" s="29">
        <f t="shared" si="84"/>
        <v>0</v>
      </c>
      <c r="AU78" s="29">
        <f t="shared" si="84"/>
        <v>0</v>
      </c>
      <c r="AV78" s="29">
        <f t="shared" si="84"/>
        <v>0</v>
      </c>
      <c r="AW78" s="29">
        <f t="shared" si="84"/>
        <v>0</v>
      </c>
      <c r="AX78" s="29">
        <f t="shared" ref="AX78:BP78" si="85">IF(AX72=0,0,AX$15)</f>
        <v>0</v>
      </c>
      <c r="AY78" s="29">
        <f t="shared" si="85"/>
        <v>0</v>
      </c>
      <c r="AZ78" s="29">
        <f t="shared" si="85"/>
        <v>0</v>
      </c>
      <c r="BA78" s="29">
        <f t="shared" si="85"/>
        <v>0</v>
      </c>
      <c r="BB78" s="29">
        <f t="shared" si="85"/>
        <v>0</v>
      </c>
      <c r="BC78" s="29">
        <f t="shared" si="85"/>
        <v>0</v>
      </c>
      <c r="BD78" s="29">
        <f t="shared" si="85"/>
        <v>0</v>
      </c>
      <c r="BE78" s="29">
        <f t="shared" si="85"/>
        <v>0</v>
      </c>
      <c r="BF78" s="29">
        <f t="shared" si="85"/>
        <v>0</v>
      </c>
      <c r="BG78" s="29">
        <f t="shared" si="85"/>
        <v>0</v>
      </c>
      <c r="BH78" s="29">
        <f t="shared" si="85"/>
        <v>0</v>
      </c>
      <c r="BI78" s="29">
        <f t="shared" si="85"/>
        <v>0</v>
      </c>
      <c r="BJ78" s="29">
        <f t="shared" si="85"/>
        <v>0</v>
      </c>
      <c r="BK78" s="29">
        <f t="shared" si="85"/>
        <v>0</v>
      </c>
      <c r="BL78" s="29">
        <f t="shared" si="85"/>
        <v>0</v>
      </c>
      <c r="BM78" s="29">
        <f t="shared" si="85"/>
        <v>0</v>
      </c>
      <c r="BN78" s="29">
        <f t="shared" si="85"/>
        <v>0</v>
      </c>
      <c r="BO78" s="29">
        <f t="shared" si="85"/>
        <v>0</v>
      </c>
      <c r="BP78" s="29">
        <f t="shared" si="85"/>
        <v>0</v>
      </c>
    </row>
    <row r="79" spans="2:68" ht="10.35" customHeight="1" outlineLevel="1" x14ac:dyDescent="0.2">
      <c r="B79" s="80"/>
      <c r="C79" s="80"/>
      <c r="D79" s="66" t="str">
        <f>Input!$D$147</f>
        <v>Benefit 3</v>
      </c>
      <c r="E79" s="80"/>
      <c r="F79" s="80"/>
      <c r="G79" s="83"/>
      <c r="H79" s="83"/>
      <c r="I79" s="80"/>
      <c r="J79" s="80"/>
      <c r="K79" s="401"/>
      <c r="L79" s="436">
        <f t="shared" si="83"/>
        <v>10</v>
      </c>
      <c r="M79" s="457"/>
      <c r="N79" s="455"/>
      <c r="O79" s="455"/>
      <c r="P79" s="455"/>
      <c r="Q79" s="455"/>
      <c r="R79" s="29">
        <f t="shared" ref="R79:AW79" si="86">IF(R73=0,0,R$15)</f>
        <v>0</v>
      </c>
      <c r="S79" s="29">
        <f t="shared" si="86"/>
        <v>0</v>
      </c>
      <c r="T79" s="29">
        <f t="shared" si="86"/>
        <v>0</v>
      </c>
      <c r="U79" s="29">
        <f t="shared" si="86"/>
        <v>3</v>
      </c>
      <c r="V79" s="29">
        <f t="shared" si="86"/>
        <v>4</v>
      </c>
      <c r="W79" s="29">
        <f t="shared" si="86"/>
        <v>5</v>
      </c>
      <c r="X79" s="29">
        <f t="shared" si="86"/>
        <v>6</v>
      </c>
      <c r="Y79" s="29">
        <f t="shared" si="86"/>
        <v>7</v>
      </c>
      <c r="Z79" s="29">
        <f t="shared" si="86"/>
        <v>8</v>
      </c>
      <c r="AA79" s="29">
        <f t="shared" si="86"/>
        <v>9</v>
      </c>
      <c r="AB79" s="29">
        <f t="shared" si="86"/>
        <v>10</v>
      </c>
      <c r="AC79" s="29">
        <f t="shared" si="86"/>
        <v>0</v>
      </c>
      <c r="AD79" s="29">
        <f t="shared" si="86"/>
        <v>0</v>
      </c>
      <c r="AE79" s="29">
        <f t="shared" si="86"/>
        <v>0</v>
      </c>
      <c r="AF79" s="29">
        <f t="shared" si="86"/>
        <v>0</v>
      </c>
      <c r="AG79" s="29">
        <f t="shared" si="86"/>
        <v>0</v>
      </c>
      <c r="AH79" s="29">
        <f t="shared" si="86"/>
        <v>0</v>
      </c>
      <c r="AI79" s="29">
        <f t="shared" si="86"/>
        <v>0</v>
      </c>
      <c r="AJ79" s="29">
        <f t="shared" si="86"/>
        <v>0</v>
      </c>
      <c r="AK79" s="29">
        <f t="shared" si="86"/>
        <v>0</v>
      </c>
      <c r="AL79" s="29">
        <f t="shared" si="86"/>
        <v>0</v>
      </c>
      <c r="AM79" s="29">
        <f t="shared" si="86"/>
        <v>0</v>
      </c>
      <c r="AN79" s="29">
        <f t="shared" si="86"/>
        <v>0</v>
      </c>
      <c r="AO79" s="29">
        <f t="shared" si="86"/>
        <v>0</v>
      </c>
      <c r="AP79" s="29">
        <f t="shared" si="86"/>
        <v>0</v>
      </c>
      <c r="AQ79" s="29">
        <f t="shared" si="86"/>
        <v>0</v>
      </c>
      <c r="AR79" s="29">
        <f t="shared" si="86"/>
        <v>0</v>
      </c>
      <c r="AS79" s="29">
        <f t="shared" si="86"/>
        <v>0</v>
      </c>
      <c r="AT79" s="29">
        <f t="shared" si="86"/>
        <v>0</v>
      </c>
      <c r="AU79" s="29">
        <f t="shared" si="86"/>
        <v>0</v>
      </c>
      <c r="AV79" s="29">
        <f t="shared" si="86"/>
        <v>0</v>
      </c>
      <c r="AW79" s="29">
        <f t="shared" si="86"/>
        <v>0</v>
      </c>
      <c r="AX79" s="29">
        <f t="shared" ref="AX79:BP79" si="87">IF(AX73=0,0,AX$15)</f>
        <v>0</v>
      </c>
      <c r="AY79" s="29">
        <f t="shared" si="87"/>
        <v>0</v>
      </c>
      <c r="AZ79" s="29">
        <f t="shared" si="87"/>
        <v>0</v>
      </c>
      <c r="BA79" s="29">
        <f t="shared" si="87"/>
        <v>0</v>
      </c>
      <c r="BB79" s="29">
        <f t="shared" si="87"/>
        <v>0</v>
      </c>
      <c r="BC79" s="29">
        <f t="shared" si="87"/>
        <v>0</v>
      </c>
      <c r="BD79" s="29">
        <f t="shared" si="87"/>
        <v>0</v>
      </c>
      <c r="BE79" s="29">
        <f t="shared" si="87"/>
        <v>0</v>
      </c>
      <c r="BF79" s="29">
        <f t="shared" si="87"/>
        <v>0</v>
      </c>
      <c r="BG79" s="29">
        <f t="shared" si="87"/>
        <v>0</v>
      </c>
      <c r="BH79" s="29">
        <f t="shared" si="87"/>
        <v>0</v>
      </c>
      <c r="BI79" s="29">
        <f t="shared" si="87"/>
        <v>0</v>
      </c>
      <c r="BJ79" s="29">
        <f t="shared" si="87"/>
        <v>0</v>
      </c>
      <c r="BK79" s="29">
        <f t="shared" si="87"/>
        <v>0</v>
      </c>
      <c r="BL79" s="29">
        <f t="shared" si="87"/>
        <v>0</v>
      </c>
      <c r="BM79" s="29">
        <f t="shared" si="87"/>
        <v>0</v>
      </c>
      <c r="BN79" s="29">
        <f t="shared" si="87"/>
        <v>0</v>
      </c>
      <c r="BO79" s="29">
        <f t="shared" si="87"/>
        <v>0</v>
      </c>
      <c r="BP79" s="29">
        <f t="shared" si="87"/>
        <v>0</v>
      </c>
    </row>
    <row r="80" spans="2:68" ht="10.35" customHeight="1" outlineLevel="1" x14ac:dyDescent="0.2">
      <c r="B80" s="80"/>
      <c r="C80" s="80"/>
      <c r="D80" s="86" t="s">
        <v>66</v>
      </c>
      <c r="E80" s="458"/>
      <c r="F80" s="458"/>
      <c r="G80" s="459"/>
      <c r="H80" s="459"/>
      <c r="I80" s="458"/>
      <c r="J80" s="458"/>
      <c r="K80" s="460"/>
      <c r="L80" s="461">
        <f t="shared" si="83"/>
        <v>10</v>
      </c>
      <c r="M80" s="462"/>
      <c r="N80" s="463"/>
      <c r="O80" s="463"/>
      <c r="P80" s="463"/>
      <c r="Q80" s="463"/>
      <c r="R80" s="177">
        <f t="shared" ref="R80:AW80" si="88">IF(R74=0,0,R$15)</f>
        <v>0</v>
      </c>
      <c r="S80" s="177">
        <f t="shared" si="88"/>
        <v>0</v>
      </c>
      <c r="T80" s="177">
        <f t="shared" si="88"/>
        <v>0</v>
      </c>
      <c r="U80" s="177">
        <f t="shared" si="88"/>
        <v>3</v>
      </c>
      <c r="V80" s="177">
        <f t="shared" si="88"/>
        <v>4</v>
      </c>
      <c r="W80" s="177">
        <f t="shared" si="88"/>
        <v>5</v>
      </c>
      <c r="X80" s="177">
        <f t="shared" si="88"/>
        <v>6</v>
      </c>
      <c r="Y80" s="177">
        <f t="shared" si="88"/>
        <v>7</v>
      </c>
      <c r="Z80" s="177">
        <f t="shared" si="88"/>
        <v>8</v>
      </c>
      <c r="AA80" s="177">
        <f t="shared" si="88"/>
        <v>9</v>
      </c>
      <c r="AB80" s="177">
        <f t="shared" si="88"/>
        <v>10</v>
      </c>
      <c r="AC80" s="177">
        <f t="shared" si="88"/>
        <v>0</v>
      </c>
      <c r="AD80" s="177">
        <f t="shared" si="88"/>
        <v>0</v>
      </c>
      <c r="AE80" s="177">
        <f t="shared" si="88"/>
        <v>0</v>
      </c>
      <c r="AF80" s="177">
        <f t="shared" si="88"/>
        <v>0</v>
      </c>
      <c r="AG80" s="177">
        <f t="shared" si="88"/>
        <v>0</v>
      </c>
      <c r="AH80" s="177">
        <f t="shared" si="88"/>
        <v>0</v>
      </c>
      <c r="AI80" s="177">
        <f t="shared" si="88"/>
        <v>0</v>
      </c>
      <c r="AJ80" s="177">
        <f t="shared" si="88"/>
        <v>0</v>
      </c>
      <c r="AK80" s="177">
        <f t="shared" si="88"/>
        <v>0</v>
      </c>
      <c r="AL80" s="177">
        <f t="shared" si="88"/>
        <v>0</v>
      </c>
      <c r="AM80" s="177">
        <f t="shared" si="88"/>
        <v>0</v>
      </c>
      <c r="AN80" s="177">
        <f t="shared" si="88"/>
        <v>0</v>
      </c>
      <c r="AO80" s="177">
        <f t="shared" si="88"/>
        <v>0</v>
      </c>
      <c r="AP80" s="177">
        <f t="shared" si="88"/>
        <v>0</v>
      </c>
      <c r="AQ80" s="177">
        <f t="shared" si="88"/>
        <v>0</v>
      </c>
      <c r="AR80" s="177">
        <f t="shared" si="88"/>
        <v>0</v>
      </c>
      <c r="AS80" s="177">
        <f t="shared" si="88"/>
        <v>0</v>
      </c>
      <c r="AT80" s="177">
        <f t="shared" si="88"/>
        <v>0</v>
      </c>
      <c r="AU80" s="177">
        <f t="shared" si="88"/>
        <v>0</v>
      </c>
      <c r="AV80" s="177">
        <f t="shared" si="88"/>
        <v>0</v>
      </c>
      <c r="AW80" s="177">
        <f t="shared" si="88"/>
        <v>0</v>
      </c>
      <c r="AX80" s="177">
        <f t="shared" ref="AX80:BP80" si="89">IF(AX74=0,0,AX$15)</f>
        <v>0</v>
      </c>
      <c r="AY80" s="177">
        <f t="shared" si="89"/>
        <v>0</v>
      </c>
      <c r="AZ80" s="177">
        <f t="shared" si="89"/>
        <v>0</v>
      </c>
      <c r="BA80" s="177">
        <f t="shared" si="89"/>
        <v>0</v>
      </c>
      <c r="BB80" s="177">
        <f t="shared" si="89"/>
        <v>0</v>
      </c>
      <c r="BC80" s="177">
        <f t="shared" si="89"/>
        <v>0</v>
      </c>
      <c r="BD80" s="177">
        <f t="shared" si="89"/>
        <v>0</v>
      </c>
      <c r="BE80" s="177">
        <f t="shared" si="89"/>
        <v>0</v>
      </c>
      <c r="BF80" s="177">
        <f t="shared" si="89"/>
        <v>0</v>
      </c>
      <c r="BG80" s="177">
        <f t="shared" si="89"/>
        <v>0</v>
      </c>
      <c r="BH80" s="177">
        <f t="shared" si="89"/>
        <v>0</v>
      </c>
      <c r="BI80" s="177">
        <f t="shared" si="89"/>
        <v>0</v>
      </c>
      <c r="BJ80" s="177">
        <f t="shared" si="89"/>
        <v>0</v>
      </c>
      <c r="BK80" s="177">
        <f t="shared" si="89"/>
        <v>0</v>
      </c>
      <c r="BL80" s="177">
        <f t="shared" si="89"/>
        <v>0</v>
      </c>
      <c r="BM80" s="177">
        <f t="shared" si="89"/>
        <v>0</v>
      </c>
      <c r="BN80" s="177">
        <f t="shared" si="89"/>
        <v>0</v>
      </c>
      <c r="BO80" s="177">
        <f t="shared" si="89"/>
        <v>0</v>
      </c>
      <c r="BP80" s="177">
        <f t="shared" si="89"/>
        <v>0</v>
      </c>
    </row>
    <row r="81" spans="2:68" outlineLevel="1" x14ac:dyDescent="0.2">
      <c r="B81" s="20"/>
      <c r="C81" s="80"/>
      <c r="D81" s="123"/>
      <c r="E81" s="80"/>
      <c r="F81" s="80"/>
      <c r="G81" s="83"/>
      <c r="H81" s="83"/>
      <c r="I81" s="80"/>
      <c r="J81" s="80"/>
      <c r="K81" s="401"/>
      <c r="L81" s="436"/>
      <c r="M81" s="437"/>
      <c r="N81" s="401"/>
      <c r="O81" s="401"/>
      <c r="P81" s="401"/>
      <c r="Q81" s="401"/>
      <c r="R81" s="401"/>
      <c r="S81" s="401"/>
      <c r="T81" s="401"/>
      <c r="U81" s="401"/>
      <c r="V81" s="401"/>
      <c r="W81" s="401"/>
      <c r="X81" s="401"/>
      <c r="Y81" s="401"/>
      <c r="Z81" s="401"/>
      <c r="AA81" s="401"/>
      <c r="AB81" s="401"/>
      <c r="AC81" s="401"/>
      <c r="AD81" s="401"/>
      <c r="AE81" s="401"/>
      <c r="AF81" s="401"/>
      <c r="AG81" s="401"/>
      <c r="AH81" s="401"/>
      <c r="AI81" s="401"/>
      <c r="AJ81" s="401"/>
      <c r="AK81" s="401"/>
      <c r="AL81" s="401"/>
      <c r="AM81" s="401"/>
      <c r="AN81" s="401"/>
      <c r="AO81" s="401"/>
      <c r="AP81" s="401"/>
      <c r="AQ81" s="401"/>
      <c r="AR81" s="401"/>
      <c r="AS81" s="401"/>
      <c r="AT81" s="401"/>
      <c r="AU81" s="401"/>
      <c r="AV81" s="401"/>
      <c r="AW81" s="401"/>
      <c r="AX81" s="401"/>
      <c r="AY81" s="401"/>
      <c r="AZ81" s="401"/>
      <c r="BA81" s="401"/>
      <c r="BB81" s="401"/>
      <c r="BC81" s="401"/>
      <c r="BD81" s="401"/>
      <c r="BE81" s="401"/>
      <c r="BF81" s="401"/>
      <c r="BG81" s="401"/>
      <c r="BH81" s="401"/>
      <c r="BI81" s="401"/>
      <c r="BJ81" s="401"/>
      <c r="BK81" s="401"/>
      <c r="BL81" s="401"/>
      <c r="BM81" s="401"/>
      <c r="BN81" s="401"/>
      <c r="BO81" s="401"/>
      <c r="BP81" s="401"/>
    </row>
    <row r="82" spans="2:68" outlineLevel="1" x14ac:dyDescent="0.2">
      <c r="B82" s="80"/>
      <c r="C82" s="80"/>
      <c r="D82" s="10" t="s">
        <v>343</v>
      </c>
      <c r="E82" s="80"/>
      <c r="F82" s="80"/>
      <c r="G82" s="80"/>
      <c r="H82" s="80"/>
      <c r="I82" s="80"/>
      <c r="J82" s="80"/>
      <c r="K82" s="80"/>
      <c r="L82" s="412"/>
      <c r="M82" s="413"/>
      <c r="N82" s="80"/>
      <c r="O82" s="80"/>
      <c r="P82" s="80"/>
      <c r="Q82" s="80"/>
      <c r="R82" s="80"/>
      <c r="S82" s="80"/>
      <c r="T82" s="83"/>
      <c r="U82" s="80"/>
      <c r="V82" s="80"/>
      <c r="W82" s="80"/>
      <c r="X82" s="80"/>
      <c r="Y82" s="80"/>
      <c r="Z82" s="80"/>
      <c r="AA82" s="80"/>
      <c r="AB82" s="80"/>
      <c r="AC82" s="80"/>
      <c r="AD82" s="80"/>
      <c r="AE82" s="80"/>
      <c r="AF82" s="80"/>
      <c r="AG82" s="80"/>
      <c r="AH82" s="80"/>
      <c r="AI82" s="80"/>
      <c r="AJ82" s="80"/>
      <c r="AK82" s="80"/>
      <c r="AL82" s="80"/>
      <c r="AM82" s="80"/>
      <c r="AN82" s="80"/>
      <c r="AO82" s="80"/>
      <c r="AP82" s="80"/>
      <c r="AQ82" s="80"/>
      <c r="AR82" s="80"/>
      <c r="AS82" s="80"/>
      <c r="AT82" s="80"/>
      <c r="AU82" s="80"/>
      <c r="AV82" s="80"/>
      <c r="AW82" s="80"/>
      <c r="AX82" s="80"/>
      <c r="AY82" s="80"/>
      <c r="AZ82" s="80"/>
      <c r="BA82" s="80"/>
      <c r="BB82" s="80"/>
      <c r="BC82" s="80"/>
      <c r="BD82" s="80"/>
      <c r="BE82" s="80"/>
      <c r="BF82" s="80"/>
      <c r="BG82" s="80"/>
      <c r="BH82" s="80"/>
      <c r="BI82" s="80"/>
      <c r="BJ82" s="80"/>
      <c r="BK82" s="80"/>
      <c r="BL82" s="80"/>
      <c r="BM82" s="80"/>
      <c r="BN82" s="80"/>
      <c r="BO82" s="80"/>
      <c r="BP82" s="80"/>
    </row>
    <row r="83" spans="2:68" outlineLevel="1" x14ac:dyDescent="0.2">
      <c r="B83" s="80"/>
      <c r="C83" s="80"/>
      <c r="D83" s="66" t="s">
        <v>86</v>
      </c>
      <c r="E83" s="80"/>
      <c r="F83" s="80"/>
      <c r="G83" s="80"/>
      <c r="H83" s="80"/>
      <c r="I83" s="80"/>
      <c r="J83" s="465">
        <f>Input!$L$51</f>
        <v>5</v>
      </c>
      <c r="K83" s="80"/>
      <c r="L83" s="412"/>
      <c r="M83" s="413"/>
      <c r="N83" s="80"/>
      <c r="O83" s="80"/>
      <c r="P83" s="80"/>
      <c r="Q83" s="80"/>
      <c r="R83" s="80"/>
      <c r="S83" s="80"/>
      <c r="T83" s="83"/>
      <c r="U83"/>
      <c r="V83"/>
      <c r="W83"/>
      <c r="X83"/>
      <c r="Y83" s="80"/>
      <c r="Z83" s="80"/>
      <c r="AA83" s="80"/>
      <c r="AB83" s="80"/>
      <c r="AC83" s="80"/>
      <c r="AD83" s="80"/>
      <c r="AE83" s="80"/>
      <c r="AF83" s="80"/>
      <c r="AG83" s="80"/>
      <c r="AH83" s="80"/>
      <c r="AI83" s="80"/>
      <c r="AJ83" s="80"/>
      <c r="AK83" s="80"/>
      <c r="AL83" s="80"/>
      <c r="AM83" s="80"/>
      <c r="AN83" s="80"/>
      <c r="AO83" s="80"/>
      <c r="AP83" s="80"/>
      <c r="AQ83" s="80"/>
      <c r="AR83" s="80"/>
      <c r="AS83" s="80"/>
      <c r="AT83" s="80"/>
      <c r="AU83" s="80"/>
      <c r="AV83" s="80"/>
      <c r="AW83" s="80"/>
      <c r="AX83" s="80"/>
      <c r="AY83" s="80"/>
      <c r="AZ83" s="80"/>
      <c r="BA83" s="80"/>
      <c r="BB83" s="80"/>
      <c r="BC83" s="80"/>
      <c r="BD83" s="80"/>
      <c r="BE83" s="80"/>
      <c r="BF83" s="80"/>
      <c r="BG83" s="80"/>
      <c r="BH83" s="80"/>
      <c r="BI83" s="80"/>
      <c r="BJ83" s="80"/>
      <c r="BK83" s="80"/>
      <c r="BL83" s="80"/>
      <c r="BM83" s="80"/>
      <c r="BN83" s="80"/>
      <c r="BO83" s="80"/>
      <c r="BP83" s="80"/>
    </row>
    <row r="84" spans="2:68" customFormat="1" outlineLevel="1" x14ac:dyDescent="0.2">
      <c r="L84" s="112"/>
      <c r="M84" s="113"/>
    </row>
    <row r="85" spans="2:68" outlineLevel="1" x14ac:dyDescent="0.2">
      <c r="B85" s="80"/>
      <c r="C85" s="80"/>
      <c r="D85" s="66" t="s">
        <v>344</v>
      </c>
      <c r="E85" s="80"/>
      <c r="F85" s="80"/>
      <c r="G85" s="80"/>
      <c r="H85" s="80"/>
      <c r="I85" s="80"/>
      <c r="J85" s="80"/>
      <c r="K85" s="80"/>
      <c r="L85" s="436">
        <f>SUM(R85:BP85)</f>
        <v>14794740.199999992</v>
      </c>
      <c r="M85" s="466"/>
      <c r="N85" s="467"/>
      <c r="O85" s="467"/>
      <c r="P85" s="467"/>
      <c r="Q85" s="467"/>
      <c r="R85" s="468"/>
      <c r="S85" s="29">
        <f>IF($J$83=0,0,SUM(S86,S88)-SUM(S87,S89))</f>
        <v>0</v>
      </c>
      <c r="T85" s="29">
        <f t="shared" ref="T85:BP85" si="90">IF($J$83=0,0,SUM(T86,T88)-SUM(T87,T89))</f>
        <v>0</v>
      </c>
      <c r="U85" s="29">
        <f>IF($J$83=0,0,SUM(U86,U88)-SUM(U87,U89))</f>
        <v>0</v>
      </c>
      <c r="V85" s="29">
        <f t="shared" si="90"/>
        <v>-542874</v>
      </c>
      <c r="W85" s="29">
        <f t="shared" si="90"/>
        <v>-540223.80000000005</v>
      </c>
      <c r="X85" s="29">
        <f t="shared" si="90"/>
        <v>-1195119</v>
      </c>
      <c r="Y85" s="29">
        <f t="shared" si="90"/>
        <v>-1741268.2</v>
      </c>
      <c r="Z85" s="29">
        <f t="shared" si="90"/>
        <v>-2411192.6</v>
      </c>
      <c r="AA85" s="29">
        <f t="shared" si="90"/>
        <v>-1868318.6</v>
      </c>
      <c r="AB85" s="29">
        <f t="shared" si="90"/>
        <v>-1216073.6000000001</v>
      </c>
      <c r="AC85" s="29">
        <f t="shared" si="90"/>
        <v>-561178.40000000014</v>
      </c>
      <c r="AD85" s="29">
        <f t="shared" si="90"/>
        <v>-15029.200000000186</v>
      </c>
      <c r="AE85" s="29">
        <f t="shared" si="90"/>
        <v>654895.19999999984</v>
      </c>
      <c r="AF85" s="29">
        <f t="shared" si="90"/>
        <v>654895.19999999984</v>
      </c>
      <c r="AG85" s="29">
        <f t="shared" si="90"/>
        <v>654895.19999999984</v>
      </c>
      <c r="AH85" s="29">
        <f t="shared" si="90"/>
        <v>654895.19999999984</v>
      </c>
      <c r="AI85" s="29">
        <f t="shared" si="90"/>
        <v>654895.19999999984</v>
      </c>
      <c r="AJ85" s="29">
        <f t="shared" si="90"/>
        <v>654895.19999999984</v>
      </c>
      <c r="AK85" s="29">
        <f t="shared" si="90"/>
        <v>654895.19999999984</v>
      </c>
      <c r="AL85" s="29">
        <f t="shared" si="90"/>
        <v>654895.19999999984</v>
      </c>
      <c r="AM85" s="29">
        <f t="shared" si="90"/>
        <v>654895.19999999984</v>
      </c>
      <c r="AN85" s="29">
        <f t="shared" si="90"/>
        <v>654895.19999999984</v>
      </c>
      <c r="AO85" s="29">
        <f t="shared" si="90"/>
        <v>654895.19999999984</v>
      </c>
      <c r="AP85" s="29">
        <f t="shared" si="90"/>
        <v>654895.19999999984</v>
      </c>
      <c r="AQ85" s="29">
        <f t="shared" si="90"/>
        <v>654895.19999999984</v>
      </c>
      <c r="AR85" s="29">
        <f t="shared" si="90"/>
        <v>654895.19999999984</v>
      </c>
      <c r="AS85" s="29">
        <f t="shared" si="90"/>
        <v>654895.19999999984</v>
      </c>
      <c r="AT85" s="29">
        <f t="shared" si="90"/>
        <v>654895.19999999984</v>
      </c>
      <c r="AU85" s="29">
        <f t="shared" si="90"/>
        <v>654895.19999999984</v>
      </c>
      <c r="AV85" s="29">
        <f t="shared" si="90"/>
        <v>654895.19999999984</v>
      </c>
      <c r="AW85" s="29">
        <f t="shared" si="90"/>
        <v>654895.19999999984</v>
      </c>
      <c r="AX85" s="29">
        <f t="shared" si="90"/>
        <v>654895.19999999984</v>
      </c>
      <c r="AY85" s="29">
        <f t="shared" si="90"/>
        <v>654895.19999999984</v>
      </c>
      <c r="AZ85" s="29">
        <f t="shared" si="90"/>
        <v>654895.19999999984</v>
      </c>
      <c r="BA85" s="29">
        <f t="shared" si="90"/>
        <v>654895.19999999984</v>
      </c>
      <c r="BB85" s="29">
        <f t="shared" si="90"/>
        <v>654895.19999999984</v>
      </c>
      <c r="BC85" s="29">
        <f t="shared" si="90"/>
        <v>654895.19999999984</v>
      </c>
      <c r="BD85" s="29">
        <f t="shared" si="90"/>
        <v>654895.19999999984</v>
      </c>
      <c r="BE85" s="29">
        <f t="shared" si="90"/>
        <v>654895.19999999984</v>
      </c>
      <c r="BF85" s="29">
        <f t="shared" si="90"/>
        <v>654895.19999999984</v>
      </c>
      <c r="BG85" s="29">
        <f t="shared" si="90"/>
        <v>654895.19999999984</v>
      </c>
      <c r="BH85" s="29">
        <f t="shared" si="90"/>
        <v>654895.19999999984</v>
      </c>
      <c r="BI85" s="29">
        <f t="shared" si="90"/>
        <v>654895.19999999984</v>
      </c>
      <c r="BJ85" s="29">
        <f t="shared" si="90"/>
        <v>654895.19999999984</v>
      </c>
      <c r="BK85" s="29">
        <f t="shared" si="90"/>
        <v>654895.19999999984</v>
      </c>
      <c r="BL85" s="29">
        <f t="shared" si="90"/>
        <v>654895.19999999984</v>
      </c>
      <c r="BM85" s="29">
        <f t="shared" si="90"/>
        <v>654895.19999999984</v>
      </c>
      <c r="BN85" s="29">
        <f t="shared" si="90"/>
        <v>654895.19999999984</v>
      </c>
      <c r="BO85" s="29">
        <f t="shared" si="90"/>
        <v>654895.19999999984</v>
      </c>
      <c r="BP85" s="29">
        <f t="shared" si="90"/>
        <v>654895.19999999984</v>
      </c>
    </row>
    <row r="86" spans="2:68" outlineLevel="1" x14ac:dyDescent="0.2">
      <c r="B86" s="80"/>
      <c r="C86" s="80"/>
      <c r="D86" s="92" t="s">
        <v>345</v>
      </c>
      <c r="E86" s="80"/>
      <c r="F86" s="80"/>
      <c r="G86" s="80"/>
      <c r="H86" s="80"/>
      <c r="I86" s="80"/>
      <c r="J86" s="80"/>
      <c r="K86" s="80"/>
      <c r="L86" s="436"/>
      <c r="M86" s="466"/>
      <c r="N86" s="467"/>
      <c r="O86" s="467"/>
      <c r="P86" s="467"/>
      <c r="Q86" s="467"/>
      <c r="R86" s="468"/>
      <c r="S86" s="29">
        <f t="shared" ref="S86:AX86" si="91">R39/$J$83+R85</f>
        <v>0</v>
      </c>
      <c r="T86" s="29">
        <f t="shared" si="91"/>
        <v>0</v>
      </c>
      <c r="U86" s="29">
        <f t="shared" si="91"/>
        <v>0</v>
      </c>
      <c r="V86" s="29">
        <f t="shared" si="91"/>
        <v>-542874</v>
      </c>
      <c r="W86" s="29">
        <f t="shared" si="91"/>
        <v>-1195119</v>
      </c>
      <c r="X86" s="29">
        <f t="shared" si="91"/>
        <v>-1195119</v>
      </c>
      <c r="Y86" s="29">
        <f t="shared" si="91"/>
        <v>-1741268.2</v>
      </c>
      <c r="Z86" s="29">
        <f t="shared" si="91"/>
        <v>-2411192.6</v>
      </c>
      <c r="AA86" s="29">
        <f t="shared" si="91"/>
        <v>-2411192.6</v>
      </c>
      <c r="AB86" s="29">
        <f t="shared" si="91"/>
        <v>-1868318.6</v>
      </c>
      <c r="AC86" s="29">
        <f t="shared" si="91"/>
        <v>-1216073.6000000001</v>
      </c>
      <c r="AD86" s="29">
        <f t="shared" si="91"/>
        <v>-561178.40000000014</v>
      </c>
      <c r="AE86" s="29">
        <f t="shared" si="91"/>
        <v>-15029.200000000186</v>
      </c>
      <c r="AF86" s="29">
        <f t="shared" si="91"/>
        <v>654895.19999999984</v>
      </c>
      <c r="AG86" s="29">
        <f t="shared" si="91"/>
        <v>654895.19999999984</v>
      </c>
      <c r="AH86" s="29">
        <f t="shared" si="91"/>
        <v>654895.19999999984</v>
      </c>
      <c r="AI86" s="29">
        <f t="shared" si="91"/>
        <v>654895.19999999984</v>
      </c>
      <c r="AJ86" s="29">
        <f t="shared" si="91"/>
        <v>654895.19999999984</v>
      </c>
      <c r="AK86" s="29">
        <f t="shared" si="91"/>
        <v>654895.19999999984</v>
      </c>
      <c r="AL86" s="29">
        <f t="shared" si="91"/>
        <v>654895.19999999984</v>
      </c>
      <c r="AM86" s="29">
        <f t="shared" si="91"/>
        <v>654895.19999999984</v>
      </c>
      <c r="AN86" s="29">
        <f t="shared" si="91"/>
        <v>654895.19999999984</v>
      </c>
      <c r="AO86" s="29">
        <f t="shared" si="91"/>
        <v>654895.19999999984</v>
      </c>
      <c r="AP86" s="29">
        <f t="shared" si="91"/>
        <v>654895.19999999984</v>
      </c>
      <c r="AQ86" s="29">
        <f t="shared" si="91"/>
        <v>654895.19999999984</v>
      </c>
      <c r="AR86" s="29">
        <f t="shared" si="91"/>
        <v>654895.19999999984</v>
      </c>
      <c r="AS86" s="29">
        <f t="shared" si="91"/>
        <v>654895.19999999984</v>
      </c>
      <c r="AT86" s="29">
        <f t="shared" si="91"/>
        <v>654895.19999999984</v>
      </c>
      <c r="AU86" s="29">
        <f t="shared" si="91"/>
        <v>654895.19999999984</v>
      </c>
      <c r="AV86" s="29">
        <f t="shared" si="91"/>
        <v>654895.19999999984</v>
      </c>
      <c r="AW86" s="29">
        <f t="shared" si="91"/>
        <v>654895.19999999984</v>
      </c>
      <c r="AX86" s="29">
        <f t="shared" si="91"/>
        <v>654895.19999999984</v>
      </c>
      <c r="AY86" s="29">
        <f t="shared" ref="AY86:BP86" si="92">AX39/$J$83+AX85</f>
        <v>654895.19999999984</v>
      </c>
      <c r="AZ86" s="29">
        <f t="shared" si="92"/>
        <v>654895.19999999984</v>
      </c>
      <c r="BA86" s="29">
        <f t="shared" si="92"/>
        <v>654895.19999999984</v>
      </c>
      <c r="BB86" s="29">
        <f t="shared" si="92"/>
        <v>654895.19999999984</v>
      </c>
      <c r="BC86" s="29">
        <f t="shared" si="92"/>
        <v>654895.19999999984</v>
      </c>
      <c r="BD86" s="29">
        <f t="shared" si="92"/>
        <v>654895.19999999984</v>
      </c>
      <c r="BE86" s="29">
        <f t="shared" si="92"/>
        <v>654895.19999999984</v>
      </c>
      <c r="BF86" s="29">
        <f t="shared" si="92"/>
        <v>654895.19999999984</v>
      </c>
      <c r="BG86" s="29">
        <f t="shared" si="92"/>
        <v>654895.19999999984</v>
      </c>
      <c r="BH86" s="29">
        <f t="shared" si="92"/>
        <v>654895.19999999984</v>
      </c>
      <c r="BI86" s="29">
        <f t="shared" si="92"/>
        <v>654895.19999999984</v>
      </c>
      <c r="BJ86" s="29">
        <f t="shared" si="92"/>
        <v>654895.19999999984</v>
      </c>
      <c r="BK86" s="29">
        <f t="shared" si="92"/>
        <v>654895.19999999984</v>
      </c>
      <c r="BL86" s="29">
        <f t="shared" si="92"/>
        <v>654895.19999999984</v>
      </c>
      <c r="BM86" s="29">
        <f t="shared" si="92"/>
        <v>654895.19999999984</v>
      </c>
      <c r="BN86" s="29">
        <f t="shared" si="92"/>
        <v>654895.19999999984</v>
      </c>
      <c r="BO86" s="29">
        <f t="shared" si="92"/>
        <v>654895.19999999984</v>
      </c>
      <c r="BP86" s="29">
        <f t="shared" si="92"/>
        <v>654895.19999999984</v>
      </c>
    </row>
    <row r="87" spans="2:68" outlineLevel="1" x14ac:dyDescent="0.2">
      <c r="B87" s="80"/>
      <c r="C87" s="80"/>
      <c r="D87" s="92" t="s">
        <v>346</v>
      </c>
      <c r="E87" s="80"/>
      <c r="F87" s="80"/>
      <c r="G87" s="80"/>
      <c r="H87" s="80"/>
      <c r="I87" s="80"/>
      <c r="J87" s="80"/>
      <c r="K87" s="80"/>
      <c r="L87" s="436"/>
      <c r="M87" s="466"/>
      <c r="N87" s="467"/>
      <c r="O87" s="467"/>
      <c r="P87" s="467"/>
      <c r="Q87" s="467"/>
      <c r="R87" s="468"/>
      <c r="S87" s="29">
        <f>IF(S$15-ROUNDDOWN($J$83,0)&lt;0,0,INDEX($R$39:S$39,1,S$15-ROUNDDOWN($J$83,0))/$J$83)</f>
        <v>0</v>
      </c>
      <c r="T87" s="29">
        <f>IF(T$15-ROUNDDOWN($J$83,0)&lt;0,0,INDEX($R$39:T$39,1,T$15-ROUNDDOWN($J$83,0))/$J$83)</f>
        <v>0</v>
      </c>
      <c r="U87" s="29">
        <f>IF(U$15-ROUNDDOWN($J$83,0)&lt;0,0,INDEX($R$39:U$39,1,U$15-ROUNDDOWN($J$83,0))/$J$83)</f>
        <v>0</v>
      </c>
      <c r="V87" s="29">
        <f>IF(V$15-ROUNDDOWN($J$83,0)&lt;0,0,INDEX($R$39:V$39,1,V$15-ROUNDDOWN($J$83,0))/$J$83)</f>
        <v>0</v>
      </c>
      <c r="W87" s="29">
        <f>IF(W$15-ROUNDDOWN($J$83,0)&lt;0,0,INDEX($R$39:W$39,1,W$15-ROUNDDOWN($J$83,0))/$J$83)</f>
        <v>-654895.19999999995</v>
      </c>
      <c r="X87" s="29">
        <f>IF(X$15-ROUNDDOWN($J$83,0)&lt;0,0,INDEX($R$39:X$39,1,X$15-ROUNDDOWN($J$83,0))/$J$83)</f>
        <v>0</v>
      </c>
      <c r="Y87" s="29">
        <f>IF(Y$15-ROUNDDOWN($J$83,0)&lt;0,0,INDEX($R$39:Y$39,1,Y$15-ROUNDDOWN($J$83,0))/$J$83)</f>
        <v>0</v>
      </c>
      <c r="Z87" s="29">
        <f>IF(Z$15-ROUNDDOWN($J$83,0)&lt;0,0,INDEX($R$39:Z$39,1,Z$15-ROUNDDOWN($J$83,0))/$J$83)</f>
        <v>0</v>
      </c>
      <c r="AA87" s="29">
        <f>IF(AA$15-ROUNDDOWN($J$83,0)&lt;0,0,INDEX($R$39:AA$39,1,AA$15-ROUNDDOWN($J$83,0))/$J$83)</f>
        <v>-542874</v>
      </c>
      <c r="AB87" s="29">
        <f>IF(AB$15-ROUNDDOWN($J$83,0)&lt;0,0,INDEX($R$39:AB$39,1,AB$15-ROUNDDOWN($J$83,0))/$J$83)</f>
        <v>-652245</v>
      </c>
      <c r="AC87" s="29">
        <f>IF(AC$15-ROUNDDOWN($J$83,0)&lt;0,0,INDEX($R$39:AC$39,1,AC$15-ROUNDDOWN($J$83,0))/$J$83)</f>
        <v>-654895.19999999995</v>
      </c>
      <c r="AD87" s="29">
        <f>IF(AD$15-ROUNDDOWN($J$83,0)&lt;0,0,INDEX($R$39:AD$39,1,AD$15-ROUNDDOWN($J$83,0))/$J$83)</f>
        <v>-546149.19999999995</v>
      </c>
      <c r="AE87" s="29">
        <f>IF(AE$15-ROUNDDOWN($J$83,0)&lt;0,0,INDEX($R$39:AE$39,1,AE$15-ROUNDDOWN($J$83,0))/$J$83)</f>
        <v>-669924.4</v>
      </c>
      <c r="AF87" s="29">
        <f>IF(AF$15-ROUNDDOWN($J$83,0)&lt;0,0,INDEX($R$39:AF$39,1,AF$15-ROUNDDOWN($J$83,0))/$J$83)</f>
        <v>0</v>
      </c>
      <c r="AG87" s="29">
        <f>IF(AG$15-ROUNDDOWN($J$83,0)&lt;0,0,INDEX($R$39:AG$39,1,AG$15-ROUNDDOWN($J$83,0))/$J$83)</f>
        <v>0</v>
      </c>
      <c r="AH87" s="29">
        <f>IF(AH$15-ROUNDDOWN($J$83,0)&lt;0,0,INDEX($R$39:AH$39,1,AH$15-ROUNDDOWN($J$83,0))/$J$83)</f>
        <v>0</v>
      </c>
      <c r="AI87" s="29">
        <f>IF(AI$15-ROUNDDOWN($J$83,0)&lt;0,0,INDEX($R$39:AI$39,1,AI$15-ROUNDDOWN($J$83,0))/$J$83)</f>
        <v>0</v>
      </c>
      <c r="AJ87" s="29">
        <f>IF(AJ$15-ROUNDDOWN($J$83,0)&lt;0,0,INDEX($R$39:AJ$39,1,AJ$15-ROUNDDOWN($J$83,0))/$J$83)</f>
        <v>0</v>
      </c>
      <c r="AK87" s="29">
        <f>IF(AK$15-ROUNDDOWN($J$83,0)&lt;0,0,INDEX($R$39:AK$39,1,AK$15-ROUNDDOWN($J$83,0))/$J$83)</f>
        <v>0</v>
      </c>
      <c r="AL87" s="29">
        <f>IF(AL$15-ROUNDDOWN($J$83,0)&lt;0,0,INDEX($R$39:AL$39,1,AL$15-ROUNDDOWN($J$83,0))/$J$83)</f>
        <v>0</v>
      </c>
      <c r="AM87" s="29">
        <f>IF(AM$15-ROUNDDOWN($J$83,0)&lt;0,0,INDEX($R$39:AM$39,1,AM$15-ROUNDDOWN($J$83,0))/$J$83)</f>
        <v>0</v>
      </c>
      <c r="AN87" s="29">
        <f>IF(AN$15-ROUNDDOWN($J$83,0)&lt;0,0,INDEX($R$39:AN$39,1,AN$15-ROUNDDOWN($J$83,0))/$J$83)</f>
        <v>0</v>
      </c>
      <c r="AO87" s="29">
        <f>IF(AO$15-ROUNDDOWN($J$83,0)&lt;0,0,INDEX($R$39:AO$39,1,AO$15-ROUNDDOWN($J$83,0))/$J$83)</f>
        <v>0</v>
      </c>
      <c r="AP87" s="29">
        <f>IF(AP$15-ROUNDDOWN($J$83,0)&lt;0,0,INDEX($R$39:AP$39,1,AP$15-ROUNDDOWN($J$83,0))/$J$83)</f>
        <v>0</v>
      </c>
      <c r="AQ87" s="29">
        <f>IF(AQ$15-ROUNDDOWN($J$83,0)&lt;0,0,INDEX($R$39:AQ$39,1,AQ$15-ROUNDDOWN($J$83,0))/$J$83)</f>
        <v>0</v>
      </c>
      <c r="AR87" s="29">
        <f>IF(AR$15-ROUNDDOWN($J$83,0)&lt;0,0,INDEX($R$39:AR$39,1,AR$15-ROUNDDOWN($J$83,0))/$J$83)</f>
        <v>0</v>
      </c>
      <c r="AS87" s="29">
        <f>IF(AS$15-ROUNDDOWN($J$83,0)&lt;0,0,INDEX($R$39:AS$39,1,AS$15-ROUNDDOWN($J$83,0))/$J$83)</f>
        <v>0</v>
      </c>
      <c r="AT87" s="29">
        <f>IF(AT$15-ROUNDDOWN($J$83,0)&lt;0,0,INDEX($R$39:AT$39,1,AT$15-ROUNDDOWN($J$83,0))/$J$83)</f>
        <v>0</v>
      </c>
      <c r="AU87" s="29">
        <f>IF(AU$15-ROUNDDOWN($J$83,0)&lt;0,0,INDEX($R$39:AU$39,1,AU$15-ROUNDDOWN($J$83,0))/$J$83)</f>
        <v>0</v>
      </c>
      <c r="AV87" s="29">
        <f>IF(AV$15-ROUNDDOWN($J$83,0)&lt;0,0,INDEX($R$39:AV$39,1,AV$15-ROUNDDOWN($J$83,0))/$J$83)</f>
        <v>0</v>
      </c>
      <c r="AW87" s="29">
        <f>IF(AW$15-ROUNDDOWN($J$83,0)&lt;0,0,INDEX($R$39:AW$39,1,AW$15-ROUNDDOWN($J$83,0))/$J$83)</f>
        <v>0</v>
      </c>
      <c r="AX87" s="29">
        <f>IF(AX$15-ROUNDDOWN($J$83,0)&lt;0,0,INDEX($R$39:AX$39,1,AX$15-ROUNDDOWN($J$83,0))/$J$83)</f>
        <v>0</v>
      </c>
      <c r="AY87" s="29">
        <f>IF(AY$15-ROUNDDOWN($J$83,0)&lt;0,0,INDEX($R$39:AY$39,1,AY$15-ROUNDDOWN($J$83,0))/$J$83)</f>
        <v>0</v>
      </c>
      <c r="AZ87" s="29">
        <f>IF(AZ$15-ROUNDDOWN($J$83,0)&lt;0,0,INDEX($R$39:AZ$39,1,AZ$15-ROUNDDOWN($J$83,0))/$J$83)</f>
        <v>0</v>
      </c>
      <c r="BA87" s="29">
        <f>IF(BA$15-ROUNDDOWN($J$83,0)&lt;0,0,INDEX($R$39:BA$39,1,BA$15-ROUNDDOWN($J$83,0))/$J$83)</f>
        <v>0</v>
      </c>
      <c r="BB87" s="29">
        <f>IF(BB$15-ROUNDDOWN($J$83,0)&lt;0,0,INDEX($R$39:BB$39,1,BB$15-ROUNDDOWN($J$83,0))/$J$83)</f>
        <v>0</v>
      </c>
      <c r="BC87" s="29">
        <f>IF(BC$15-ROUNDDOWN($J$83,0)&lt;0,0,INDEX($R$39:BC$39,1,BC$15-ROUNDDOWN($J$83,0))/$J$83)</f>
        <v>0</v>
      </c>
      <c r="BD87" s="29">
        <f>IF(BD$15-ROUNDDOWN($J$83,0)&lt;0,0,INDEX($R$39:BD$39,1,BD$15-ROUNDDOWN($J$83,0))/$J$83)</f>
        <v>0</v>
      </c>
      <c r="BE87" s="29">
        <f>IF(BE$15-ROUNDDOWN($J$83,0)&lt;0,0,INDEX($R$39:BE$39,1,BE$15-ROUNDDOWN($J$83,0))/$J$83)</f>
        <v>0</v>
      </c>
      <c r="BF87" s="29">
        <f>IF(BF$15-ROUNDDOWN($J$83,0)&lt;0,0,INDEX($R$39:BF$39,1,BF$15-ROUNDDOWN($J$83,0))/$J$83)</f>
        <v>0</v>
      </c>
      <c r="BG87" s="29">
        <f>IF(BG$15-ROUNDDOWN($J$83,0)&lt;0,0,INDEX($R$39:BG$39,1,BG$15-ROUNDDOWN($J$83,0))/$J$83)</f>
        <v>0</v>
      </c>
      <c r="BH87" s="29">
        <f>IF(BH$15-ROUNDDOWN($J$83,0)&lt;0,0,INDEX($R$39:BH$39,1,BH$15-ROUNDDOWN($J$83,0))/$J$83)</f>
        <v>0</v>
      </c>
      <c r="BI87" s="29">
        <f>IF(BI$15-ROUNDDOWN($J$83,0)&lt;0,0,INDEX($R$39:BI$39,1,BI$15-ROUNDDOWN($J$83,0))/$J$83)</f>
        <v>0</v>
      </c>
      <c r="BJ87" s="29">
        <f>IF(BJ$15-ROUNDDOWN($J$83,0)&lt;0,0,INDEX($R$39:BJ$39,1,BJ$15-ROUNDDOWN($J$83,0))/$J$83)</f>
        <v>0</v>
      </c>
      <c r="BK87" s="29">
        <f>IF(BK$15-ROUNDDOWN($J$83,0)&lt;0,0,INDEX($R$39:BK$39,1,BK$15-ROUNDDOWN($J$83,0))/$J$83)</f>
        <v>0</v>
      </c>
      <c r="BL87" s="29">
        <f>IF(BL$15-ROUNDDOWN($J$83,0)&lt;0,0,INDEX($R$39:BL$39,1,BL$15-ROUNDDOWN($J$83,0))/$J$83)</f>
        <v>0</v>
      </c>
      <c r="BM87" s="29">
        <f>IF(BM$15-ROUNDDOWN($J$83,0)&lt;0,0,INDEX($R$39:BM$39,1,BM$15-ROUNDDOWN($J$83,0))/$J$83)</f>
        <v>0</v>
      </c>
      <c r="BN87" s="29">
        <f>IF(BN$15-ROUNDDOWN($J$83,0)&lt;0,0,INDEX($R$39:BN$39,1,BN$15-ROUNDDOWN($J$83,0))/$J$83)</f>
        <v>0</v>
      </c>
      <c r="BO87" s="29">
        <f>IF(BO$15-ROUNDDOWN($J$83,0)&lt;0,0,INDEX($R$39:BO$39,1,BO$15-ROUNDDOWN($J$83,0))/$J$83)</f>
        <v>0</v>
      </c>
      <c r="BP87" s="29">
        <f>IF(BP$15-ROUNDDOWN($J$83,0)&lt;0,0,INDEX($R$39:BP$39,1,BP$15-ROUNDDOWN($J$83,0))/$J$83)</f>
        <v>0</v>
      </c>
    </row>
    <row r="88" spans="2:68" outlineLevel="1" x14ac:dyDescent="0.2">
      <c r="B88" s="80"/>
      <c r="C88" s="80"/>
      <c r="D88" s="92" t="s">
        <v>347</v>
      </c>
      <c r="E88" s="80"/>
      <c r="F88" s="80"/>
      <c r="G88" s="80"/>
      <c r="H88" s="80"/>
      <c r="I88" s="80"/>
      <c r="J88" s="80"/>
      <c r="K88" s="80"/>
      <c r="L88" s="436"/>
      <c r="M88" s="466"/>
      <c r="N88" s="467"/>
      <c r="O88" s="467"/>
      <c r="P88" s="467"/>
      <c r="Q88" s="467"/>
      <c r="R88" s="468"/>
      <c r="S88" s="29">
        <f>IF(S$15-ROUNDDOWN($J$83,0)&lt;0,0,INDEX($R$39:S$39,1,S$15-ROUNDDOWN($J$83,0))*MOD($J$83,1)/$J$83)</f>
        <v>0</v>
      </c>
      <c r="T88" s="29">
        <f>IF(T$15-ROUNDDOWN($J$83,0)&lt;0,0,INDEX($R$39:T$39,1,T$15-ROUNDDOWN($J$83,0))*MOD($J$83,1)/$J$83)</f>
        <v>0</v>
      </c>
      <c r="U88" s="29">
        <f>IF(U$15-ROUNDDOWN($J$83,0)&lt;0,0,INDEX($R$39:U$39,1,U$15-ROUNDDOWN($J$83,0))*MOD($J$83,1)/$J$83)</f>
        <v>0</v>
      </c>
      <c r="V88" s="29">
        <f>IF(V$15-ROUNDDOWN($J$83,0)&lt;0,0,INDEX($R$39:V$39,1,V$15-ROUNDDOWN($J$83,0))*MOD($J$83,1)/$J$83)</f>
        <v>0</v>
      </c>
      <c r="W88" s="29">
        <f>IF(W$15-ROUNDDOWN($J$83,0)&lt;0,0,INDEX($R$39:W$39,1,W$15-ROUNDDOWN($J$83,0))*MOD($J$83,1)/$J$83)</f>
        <v>0</v>
      </c>
      <c r="X88" s="29">
        <f>IF(X$15-ROUNDDOWN($J$83,0)&lt;0,0,INDEX($R$39:X$39,1,X$15-ROUNDDOWN($J$83,0))*MOD($J$83,1)/$J$83)</f>
        <v>0</v>
      </c>
      <c r="Y88" s="29">
        <f>IF(Y$15-ROUNDDOWN($J$83,0)&lt;0,0,INDEX($R$39:Y$39,1,Y$15-ROUNDDOWN($J$83,0))*MOD($J$83,1)/$J$83)</f>
        <v>0</v>
      </c>
      <c r="Z88" s="29">
        <f>IF(Z$15-ROUNDDOWN($J$83,0)&lt;0,0,INDEX($R$39:Z$39,1,Z$15-ROUNDDOWN($J$83,0))*MOD($J$83,1)/$J$83)</f>
        <v>0</v>
      </c>
      <c r="AA88" s="29">
        <f>IF(AA$15-ROUNDDOWN($J$83,0)&lt;0,0,INDEX($R$39:AA$39,1,AA$15-ROUNDDOWN($J$83,0))*MOD($J$83,1)/$J$83)</f>
        <v>0</v>
      </c>
      <c r="AB88" s="29">
        <f>IF(AB$15-ROUNDDOWN($J$83,0)&lt;0,0,INDEX($R$39:AB$39,1,AB$15-ROUNDDOWN($J$83,0))*MOD($J$83,1)/$J$83)</f>
        <v>0</v>
      </c>
      <c r="AC88" s="29">
        <f>IF(AC$15-ROUNDDOWN($J$83,0)&lt;0,0,INDEX($R$39:AC$39,1,AC$15-ROUNDDOWN($J$83,0))*MOD($J$83,1)/$J$83)</f>
        <v>0</v>
      </c>
      <c r="AD88" s="29">
        <f>IF(AD$15-ROUNDDOWN($J$83,0)&lt;0,0,INDEX($R$39:AD$39,1,AD$15-ROUNDDOWN($J$83,0))*MOD($J$83,1)/$J$83)</f>
        <v>0</v>
      </c>
      <c r="AE88" s="29">
        <f>IF(AE$15-ROUNDDOWN($J$83,0)&lt;0,0,INDEX($R$39:AE$39,1,AE$15-ROUNDDOWN($J$83,0))*MOD($J$83,1)/$J$83)</f>
        <v>0</v>
      </c>
      <c r="AF88" s="29">
        <f>IF(AF$15-ROUNDDOWN($J$83,0)&lt;0,0,INDEX($R$39:AF$39,1,AF$15-ROUNDDOWN($J$83,0))*MOD($J$83,1)/$J$83)</f>
        <v>0</v>
      </c>
      <c r="AG88" s="29">
        <f>IF(AG$15-ROUNDDOWN($J$83,0)&lt;0,0,INDEX($R$39:AG$39,1,AG$15-ROUNDDOWN($J$83,0))*MOD($J$83,1)/$J$83)</f>
        <v>0</v>
      </c>
      <c r="AH88" s="29">
        <f>IF(AH$15-ROUNDDOWN($J$83,0)&lt;0,0,INDEX($R$39:AH$39,1,AH$15-ROUNDDOWN($J$83,0))*MOD($J$83,1)/$J$83)</f>
        <v>0</v>
      </c>
      <c r="AI88" s="29">
        <f>IF(AI$15-ROUNDDOWN($J$83,0)&lt;0,0,INDEX($R$39:AI$39,1,AI$15-ROUNDDOWN($J$83,0))*MOD($J$83,1)/$J$83)</f>
        <v>0</v>
      </c>
      <c r="AJ88" s="29">
        <f>IF(AJ$15-ROUNDDOWN($J$83,0)&lt;0,0,INDEX($R$39:AJ$39,1,AJ$15-ROUNDDOWN($J$83,0))*MOD($J$83,1)/$J$83)</f>
        <v>0</v>
      </c>
      <c r="AK88" s="29">
        <f>IF(AK$15-ROUNDDOWN($J$83,0)&lt;0,0,INDEX($R$39:AK$39,1,AK$15-ROUNDDOWN($J$83,0))*MOD($J$83,1)/$J$83)</f>
        <v>0</v>
      </c>
      <c r="AL88" s="29">
        <f>IF(AL$15-ROUNDDOWN($J$83,0)&lt;0,0,INDEX($R$39:AL$39,1,AL$15-ROUNDDOWN($J$83,0))*MOD($J$83,1)/$J$83)</f>
        <v>0</v>
      </c>
      <c r="AM88" s="29">
        <f>IF(AM$15-ROUNDDOWN($J$83,0)&lt;0,0,INDEX($R$39:AM$39,1,AM$15-ROUNDDOWN($J$83,0))*MOD($J$83,1)/$J$83)</f>
        <v>0</v>
      </c>
      <c r="AN88" s="29">
        <f>IF(AN$15-ROUNDDOWN($J$83,0)&lt;0,0,INDEX($R$39:AN$39,1,AN$15-ROUNDDOWN($J$83,0))*MOD($J$83,1)/$J$83)</f>
        <v>0</v>
      </c>
      <c r="AO88" s="29">
        <f>IF(AO$15-ROUNDDOWN($J$83,0)&lt;0,0,INDEX($R$39:AO$39,1,AO$15-ROUNDDOWN($J$83,0))*MOD($J$83,1)/$J$83)</f>
        <v>0</v>
      </c>
      <c r="AP88" s="29">
        <f>IF(AP$15-ROUNDDOWN($J$83,0)&lt;0,0,INDEX($R$39:AP$39,1,AP$15-ROUNDDOWN($J$83,0))*MOD($J$83,1)/$J$83)</f>
        <v>0</v>
      </c>
      <c r="AQ88" s="29">
        <f>IF(AQ$15-ROUNDDOWN($J$83,0)&lt;0,0,INDEX($R$39:AQ$39,1,AQ$15-ROUNDDOWN($J$83,0))*MOD($J$83,1)/$J$83)</f>
        <v>0</v>
      </c>
      <c r="AR88" s="29">
        <f>IF(AR$15-ROUNDDOWN($J$83,0)&lt;0,0,INDEX($R$39:AR$39,1,AR$15-ROUNDDOWN($J$83,0))*MOD($J$83,1)/$J$83)</f>
        <v>0</v>
      </c>
      <c r="AS88" s="29">
        <f>IF(AS$15-ROUNDDOWN($J$83,0)&lt;0,0,INDEX($R$39:AS$39,1,AS$15-ROUNDDOWN($J$83,0))*MOD($J$83,1)/$J$83)</f>
        <v>0</v>
      </c>
      <c r="AT88" s="29">
        <f>IF(AT$15-ROUNDDOWN($J$83,0)&lt;0,0,INDEX($R$39:AT$39,1,AT$15-ROUNDDOWN($J$83,0))*MOD($J$83,1)/$J$83)</f>
        <v>0</v>
      </c>
      <c r="AU88" s="29">
        <f>IF(AU$15-ROUNDDOWN($J$83,0)&lt;0,0,INDEX($R$39:AU$39,1,AU$15-ROUNDDOWN($J$83,0))*MOD($J$83,1)/$J$83)</f>
        <v>0</v>
      </c>
      <c r="AV88" s="29">
        <f>IF(AV$15-ROUNDDOWN($J$83,0)&lt;0,0,INDEX($R$39:AV$39,1,AV$15-ROUNDDOWN($J$83,0))*MOD($J$83,1)/$J$83)</f>
        <v>0</v>
      </c>
      <c r="AW88" s="29">
        <f>IF(AW$15-ROUNDDOWN($J$83,0)&lt;0,0,INDEX($R$39:AW$39,1,AW$15-ROUNDDOWN($J$83,0))*MOD($J$83,1)/$J$83)</f>
        <v>0</v>
      </c>
      <c r="AX88" s="29">
        <f>IF(AX$15-ROUNDDOWN($J$83,0)&lt;0,0,INDEX($R$39:AX$39,1,AX$15-ROUNDDOWN($J$83,0))*MOD($J$83,1)/$J$83)</f>
        <v>0</v>
      </c>
      <c r="AY88" s="29">
        <f>IF(AY$15-ROUNDDOWN($J$83,0)&lt;0,0,INDEX($R$39:AY$39,1,AY$15-ROUNDDOWN($J$83,0))*MOD($J$83,1)/$J$83)</f>
        <v>0</v>
      </c>
      <c r="AZ88" s="29">
        <f>IF(AZ$15-ROUNDDOWN($J$83,0)&lt;0,0,INDEX($R$39:AZ$39,1,AZ$15-ROUNDDOWN($J$83,0))*MOD($J$83,1)/$J$83)</f>
        <v>0</v>
      </c>
      <c r="BA88" s="29">
        <f>IF(BA$15-ROUNDDOWN($J$83,0)&lt;0,0,INDEX($R$39:BA$39,1,BA$15-ROUNDDOWN($J$83,0))*MOD($J$83,1)/$J$83)</f>
        <v>0</v>
      </c>
      <c r="BB88" s="29">
        <f>IF(BB$15-ROUNDDOWN($J$83,0)&lt;0,0,INDEX($R$39:BB$39,1,BB$15-ROUNDDOWN($J$83,0))*MOD($J$83,1)/$J$83)</f>
        <v>0</v>
      </c>
      <c r="BC88" s="29">
        <f>IF(BC$15-ROUNDDOWN($J$83,0)&lt;0,0,INDEX($R$39:BC$39,1,BC$15-ROUNDDOWN($J$83,0))*MOD($J$83,1)/$J$83)</f>
        <v>0</v>
      </c>
      <c r="BD88" s="29">
        <f>IF(BD$15-ROUNDDOWN($J$83,0)&lt;0,0,INDEX($R$39:BD$39,1,BD$15-ROUNDDOWN($J$83,0))*MOD($J$83,1)/$J$83)</f>
        <v>0</v>
      </c>
      <c r="BE88" s="29">
        <f>IF(BE$15-ROUNDDOWN($J$83,0)&lt;0,0,INDEX($R$39:BE$39,1,BE$15-ROUNDDOWN($J$83,0))*MOD($J$83,1)/$J$83)</f>
        <v>0</v>
      </c>
      <c r="BF88" s="29">
        <f>IF(BF$15-ROUNDDOWN($J$83,0)&lt;0,0,INDEX($R$39:BF$39,1,BF$15-ROUNDDOWN($J$83,0))*MOD($J$83,1)/$J$83)</f>
        <v>0</v>
      </c>
      <c r="BG88" s="29">
        <f>IF(BG$15-ROUNDDOWN($J$83,0)&lt;0,0,INDEX($R$39:BG$39,1,BG$15-ROUNDDOWN($J$83,0))*MOD($J$83,1)/$J$83)</f>
        <v>0</v>
      </c>
      <c r="BH88" s="29">
        <f>IF(BH$15-ROUNDDOWN($J$83,0)&lt;0,0,INDEX($R$39:BH$39,1,BH$15-ROUNDDOWN($J$83,0))*MOD($J$83,1)/$J$83)</f>
        <v>0</v>
      </c>
      <c r="BI88" s="29">
        <f>IF(BI$15-ROUNDDOWN($J$83,0)&lt;0,0,INDEX($R$39:BI$39,1,BI$15-ROUNDDOWN($J$83,0))*MOD($J$83,1)/$J$83)</f>
        <v>0</v>
      </c>
      <c r="BJ88" s="29">
        <f>IF(BJ$15-ROUNDDOWN($J$83,0)&lt;0,0,INDEX($R$39:BJ$39,1,BJ$15-ROUNDDOWN($J$83,0))*MOD($J$83,1)/$J$83)</f>
        <v>0</v>
      </c>
      <c r="BK88" s="29">
        <f>IF(BK$15-ROUNDDOWN($J$83,0)&lt;0,0,INDEX($R$39:BK$39,1,BK$15-ROUNDDOWN($J$83,0))*MOD($J$83,1)/$J$83)</f>
        <v>0</v>
      </c>
      <c r="BL88" s="29">
        <f>IF(BL$15-ROUNDDOWN($J$83,0)&lt;0,0,INDEX($R$39:BL$39,1,BL$15-ROUNDDOWN($J$83,0))*MOD($J$83,1)/$J$83)</f>
        <v>0</v>
      </c>
      <c r="BM88" s="29">
        <f>IF(BM$15-ROUNDDOWN($J$83,0)&lt;0,0,INDEX($R$39:BM$39,1,BM$15-ROUNDDOWN($J$83,0))*MOD($J$83,1)/$J$83)</f>
        <v>0</v>
      </c>
      <c r="BN88" s="29">
        <f>IF(BN$15-ROUNDDOWN($J$83,0)&lt;0,0,INDEX($R$39:BN$39,1,BN$15-ROUNDDOWN($J$83,0))*MOD($J$83,1)/$J$83)</f>
        <v>0</v>
      </c>
      <c r="BO88" s="29">
        <f>IF(BO$15-ROUNDDOWN($J$83,0)&lt;0,0,INDEX($R$39:BO$39,1,BO$15-ROUNDDOWN($J$83,0))*MOD($J$83,1)/$J$83)</f>
        <v>0</v>
      </c>
      <c r="BP88" s="29">
        <f>IF(BP$15-ROUNDDOWN($J$83,0)&lt;0,0,INDEX($R$39:BP$39,1,BP$15-ROUNDDOWN($J$83,0))*MOD($J$83,1)/$J$83)</f>
        <v>0</v>
      </c>
    </row>
    <row r="89" spans="2:68" outlineLevel="1" x14ac:dyDescent="0.2">
      <c r="B89" s="80"/>
      <c r="C89" s="80"/>
      <c r="D89" s="92" t="s">
        <v>348</v>
      </c>
      <c r="E89" s="80"/>
      <c r="F89" s="80"/>
      <c r="G89" s="80"/>
      <c r="H89" s="80"/>
      <c r="I89" s="80"/>
      <c r="J89" s="80"/>
      <c r="K89" s="80"/>
      <c r="L89" s="436"/>
      <c r="M89" s="466"/>
      <c r="N89" s="467"/>
      <c r="O89" s="467"/>
      <c r="P89" s="467"/>
      <c r="Q89" s="467"/>
      <c r="R89" s="468"/>
      <c r="S89" s="29">
        <f t="shared" ref="S89:X89" si="93">R88</f>
        <v>0</v>
      </c>
      <c r="T89" s="29">
        <f t="shared" si="93"/>
        <v>0</v>
      </c>
      <c r="U89" s="29">
        <f t="shared" si="93"/>
        <v>0</v>
      </c>
      <c r="V89" s="29">
        <f t="shared" si="93"/>
        <v>0</v>
      </c>
      <c r="W89" s="29">
        <f t="shared" si="93"/>
        <v>0</v>
      </c>
      <c r="X89" s="29">
        <f t="shared" si="93"/>
        <v>0</v>
      </c>
      <c r="Y89" s="29">
        <f>X88</f>
        <v>0</v>
      </c>
      <c r="Z89" s="29">
        <f t="shared" ref="Z89:BP89" si="94">Y88</f>
        <v>0</v>
      </c>
      <c r="AA89" s="29">
        <f t="shared" si="94"/>
        <v>0</v>
      </c>
      <c r="AB89" s="29">
        <f t="shared" si="94"/>
        <v>0</v>
      </c>
      <c r="AC89" s="29">
        <f t="shared" si="94"/>
        <v>0</v>
      </c>
      <c r="AD89" s="29">
        <f t="shared" si="94"/>
        <v>0</v>
      </c>
      <c r="AE89" s="29">
        <f t="shared" si="94"/>
        <v>0</v>
      </c>
      <c r="AF89" s="29">
        <f t="shared" si="94"/>
        <v>0</v>
      </c>
      <c r="AG89" s="29">
        <f t="shared" si="94"/>
        <v>0</v>
      </c>
      <c r="AH89" s="29">
        <f t="shared" si="94"/>
        <v>0</v>
      </c>
      <c r="AI89" s="29">
        <f t="shared" si="94"/>
        <v>0</v>
      </c>
      <c r="AJ89" s="29">
        <f t="shared" si="94"/>
        <v>0</v>
      </c>
      <c r="AK89" s="29">
        <f t="shared" si="94"/>
        <v>0</v>
      </c>
      <c r="AL89" s="29">
        <f t="shared" si="94"/>
        <v>0</v>
      </c>
      <c r="AM89" s="29">
        <f t="shared" si="94"/>
        <v>0</v>
      </c>
      <c r="AN89" s="29">
        <f t="shared" si="94"/>
        <v>0</v>
      </c>
      <c r="AO89" s="29">
        <f t="shared" si="94"/>
        <v>0</v>
      </c>
      <c r="AP89" s="29">
        <f t="shared" si="94"/>
        <v>0</v>
      </c>
      <c r="AQ89" s="29">
        <f t="shared" si="94"/>
        <v>0</v>
      </c>
      <c r="AR89" s="29">
        <f t="shared" si="94"/>
        <v>0</v>
      </c>
      <c r="AS89" s="29">
        <f t="shared" si="94"/>
        <v>0</v>
      </c>
      <c r="AT89" s="29">
        <f t="shared" si="94"/>
        <v>0</v>
      </c>
      <c r="AU89" s="29">
        <f t="shared" si="94"/>
        <v>0</v>
      </c>
      <c r="AV89" s="29">
        <f t="shared" si="94"/>
        <v>0</v>
      </c>
      <c r="AW89" s="29">
        <f t="shared" si="94"/>
        <v>0</v>
      </c>
      <c r="AX89" s="29">
        <f t="shared" si="94"/>
        <v>0</v>
      </c>
      <c r="AY89" s="29">
        <f t="shared" si="94"/>
        <v>0</v>
      </c>
      <c r="AZ89" s="29">
        <f t="shared" si="94"/>
        <v>0</v>
      </c>
      <c r="BA89" s="29">
        <f t="shared" si="94"/>
        <v>0</v>
      </c>
      <c r="BB89" s="29">
        <f t="shared" si="94"/>
        <v>0</v>
      </c>
      <c r="BC89" s="29">
        <f t="shared" si="94"/>
        <v>0</v>
      </c>
      <c r="BD89" s="29">
        <f t="shared" si="94"/>
        <v>0</v>
      </c>
      <c r="BE89" s="29">
        <f t="shared" si="94"/>
        <v>0</v>
      </c>
      <c r="BF89" s="29">
        <f t="shared" si="94"/>
        <v>0</v>
      </c>
      <c r="BG89" s="29">
        <f t="shared" si="94"/>
        <v>0</v>
      </c>
      <c r="BH89" s="29">
        <f t="shared" si="94"/>
        <v>0</v>
      </c>
      <c r="BI89" s="29">
        <f t="shared" si="94"/>
        <v>0</v>
      </c>
      <c r="BJ89" s="29">
        <f t="shared" si="94"/>
        <v>0</v>
      </c>
      <c r="BK89" s="29">
        <f t="shared" si="94"/>
        <v>0</v>
      </c>
      <c r="BL89" s="29">
        <f t="shared" si="94"/>
        <v>0</v>
      </c>
      <c r="BM89" s="29">
        <f t="shared" si="94"/>
        <v>0</v>
      </c>
      <c r="BN89" s="29">
        <f t="shared" si="94"/>
        <v>0</v>
      </c>
      <c r="BO89" s="29">
        <f t="shared" si="94"/>
        <v>0</v>
      </c>
      <c r="BP89" s="29">
        <f t="shared" si="94"/>
        <v>0</v>
      </c>
    </row>
    <row r="90" spans="2:68" customFormat="1" outlineLevel="1" x14ac:dyDescent="0.2">
      <c r="L90" s="112"/>
      <c r="M90" s="113"/>
    </row>
    <row r="91" spans="2:68" outlineLevel="1" x14ac:dyDescent="0.2">
      <c r="B91" s="80"/>
      <c r="C91" s="80"/>
      <c r="D91" s="66" t="s">
        <v>349</v>
      </c>
      <c r="E91" s="80"/>
      <c r="F91" s="80"/>
      <c r="G91" s="80"/>
      <c r="H91" s="80"/>
      <c r="I91" s="80"/>
      <c r="J91" s="80"/>
      <c r="K91" s="80"/>
      <c r="L91" s="436">
        <f>SUM(R91:BP91)</f>
        <v>0</v>
      </c>
      <c r="M91" s="466"/>
      <c r="N91" s="467"/>
      <c r="O91" s="467"/>
      <c r="P91" s="467"/>
      <c r="Q91" s="467"/>
      <c r="R91" s="468"/>
      <c r="S91" s="29">
        <f t="shared" ref="S91:BP91" si="95">IF($J$83=0,0,SUM(S92,S94)-SUM(S93,S95))</f>
        <v>0</v>
      </c>
      <c r="T91" s="29">
        <f t="shared" si="95"/>
        <v>0</v>
      </c>
      <c r="U91" s="29">
        <f t="shared" si="95"/>
        <v>0</v>
      </c>
      <c r="V91" s="29">
        <f t="shared" si="95"/>
        <v>0</v>
      </c>
      <c r="W91" s="29">
        <f t="shared" si="95"/>
        <v>0</v>
      </c>
      <c r="X91" s="29">
        <f t="shared" si="95"/>
        <v>0</v>
      </c>
      <c r="Y91" s="29">
        <f t="shared" si="95"/>
        <v>0</v>
      </c>
      <c r="Z91" s="29">
        <f t="shared" si="95"/>
        <v>0</v>
      </c>
      <c r="AA91" s="29">
        <f t="shared" si="95"/>
        <v>0</v>
      </c>
      <c r="AB91" s="29">
        <f t="shared" si="95"/>
        <v>0</v>
      </c>
      <c r="AC91" s="29">
        <f t="shared" si="95"/>
        <v>0</v>
      </c>
      <c r="AD91" s="29">
        <f t="shared" si="95"/>
        <v>0</v>
      </c>
      <c r="AE91" s="29">
        <f t="shared" si="95"/>
        <v>0</v>
      </c>
      <c r="AF91" s="29">
        <f t="shared" si="95"/>
        <v>0</v>
      </c>
      <c r="AG91" s="29">
        <f t="shared" si="95"/>
        <v>0</v>
      </c>
      <c r="AH91" s="29">
        <f t="shared" si="95"/>
        <v>0</v>
      </c>
      <c r="AI91" s="29">
        <f t="shared" si="95"/>
        <v>0</v>
      </c>
      <c r="AJ91" s="29">
        <f t="shared" si="95"/>
        <v>0</v>
      </c>
      <c r="AK91" s="29">
        <f t="shared" si="95"/>
        <v>0</v>
      </c>
      <c r="AL91" s="29">
        <f t="shared" si="95"/>
        <v>0</v>
      </c>
      <c r="AM91" s="29">
        <f t="shared" si="95"/>
        <v>0</v>
      </c>
      <c r="AN91" s="29">
        <f t="shared" si="95"/>
        <v>0</v>
      </c>
      <c r="AO91" s="29">
        <f t="shared" si="95"/>
        <v>0</v>
      </c>
      <c r="AP91" s="29">
        <f t="shared" si="95"/>
        <v>0</v>
      </c>
      <c r="AQ91" s="29">
        <f t="shared" si="95"/>
        <v>0</v>
      </c>
      <c r="AR91" s="29">
        <f t="shared" si="95"/>
        <v>0</v>
      </c>
      <c r="AS91" s="29">
        <f t="shared" si="95"/>
        <v>0</v>
      </c>
      <c r="AT91" s="29">
        <f t="shared" si="95"/>
        <v>0</v>
      </c>
      <c r="AU91" s="29">
        <f t="shared" si="95"/>
        <v>0</v>
      </c>
      <c r="AV91" s="29">
        <f t="shared" si="95"/>
        <v>0</v>
      </c>
      <c r="AW91" s="29">
        <f t="shared" si="95"/>
        <v>0</v>
      </c>
      <c r="AX91" s="29">
        <f t="shared" si="95"/>
        <v>0</v>
      </c>
      <c r="AY91" s="29">
        <f t="shared" si="95"/>
        <v>0</v>
      </c>
      <c r="AZ91" s="29">
        <f t="shared" si="95"/>
        <v>0</v>
      </c>
      <c r="BA91" s="29">
        <f t="shared" si="95"/>
        <v>0</v>
      </c>
      <c r="BB91" s="29">
        <f t="shared" si="95"/>
        <v>0</v>
      </c>
      <c r="BC91" s="29">
        <f t="shared" si="95"/>
        <v>0</v>
      </c>
      <c r="BD91" s="29">
        <f t="shared" si="95"/>
        <v>0</v>
      </c>
      <c r="BE91" s="29">
        <f t="shared" si="95"/>
        <v>0</v>
      </c>
      <c r="BF91" s="29">
        <f t="shared" si="95"/>
        <v>0</v>
      </c>
      <c r="BG91" s="29">
        <f t="shared" si="95"/>
        <v>0</v>
      </c>
      <c r="BH91" s="29">
        <f t="shared" si="95"/>
        <v>0</v>
      </c>
      <c r="BI91" s="29">
        <f t="shared" si="95"/>
        <v>0</v>
      </c>
      <c r="BJ91" s="29">
        <f t="shared" si="95"/>
        <v>0</v>
      </c>
      <c r="BK91" s="29">
        <f t="shared" si="95"/>
        <v>0</v>
      </c>
      <c r="BL91" s="29">
        <f t="shared" si="95"/>
        <v>0</v>
      </c>
      <c r="BM91" s="29">
        <f t="shared" si="95"/>
        <v>0</v>
      </c>
      <c r="BN91" s="29">
        <f t="shared" si="95"/>
        <v>0</v>
      </c>
      <c r="BO91" s="29">
        <f t="shared" si="95"/>
        <v>0</v>
      </c>
      <c r="BP91" s="29">
        <f t="shared" si="95"/>
        <v>0</v>
      </c>
    </row>
    <row r="92" spans="2:68" outlineLevel="1" x14ac:dyDescent="0.2">
      <c r="B92" s="80"/>
      <c r="C92" s="80"/>
      <c r="D92" s="92" t="s">
        <v>350</v>
      </c>
      <c r="E92" s="80"/>
      <c r="F92" s="80"/>
      <c r="G92" s="80"/>
      <c r="H92" s="80"/>
      <c r="I92" s="80"/>
      <c r="J92" s="80"/>
      <c r="K92" s="80"/>
      <c r="L92" s="436"/>
      <c r="M92" s="466"/>
      <c r="N92" s="467"/>
      <c r="O92" s="467"/>
      <c r="P92" s="467"/>
      <c r="Q92" s="467"/>
      <c r="R92" s="468"/>
      <c r="S92" s="29">
        <f t="shared" ref="S92:AX92" si="96">R30/$J$83+R91</f>
        <v>0</v>
      </c>
      <c r="T92" s="29">
        <f t="shared" si="96"/>
        <v>0</v>
      </c>
      <c r="U92" s="29">
        <f t="shared" si="96"/>
        <v>0</v>
      </c>
      <c r="V92" s="29">
        <f t="shared" si="96"/>
        <v>0</v>
      </c>
      <c r="W92" s="29">
        <f t="shared" si="96"/>
        <v>0</v>
      </c>
      <c r="X92" s="29">
        <f t="shared" si="96"/>
        <v>0</v>
      </c>
      <c r="Y92" s="29">
        <f t="shared" si="96"/>
        <v>0</v>
      </c>
      <c r="Z92" s="29">
        <f t="shared" si="96"/>
        <v>0</v>
      </c>
      <c r="AA92" s="29">
        <f t="shared" si="96"/>
        <v>0</v>
      </c>
      <c r="AB92" s="29">
        <f t="shared" si="96"/>
        <v>0</v>
      </c>
      <c r="AC92" s="29">
        <f t="shared" si="96"/>
        <v>0</v>
      </c>
      <c r="AD92" s="29">
        <f t="shared" si="96"/>
        <v>0</v>
      </c>
      <c r="AE92" s="29">
        <f t="shared" si="96"/>
        <v>0</v>
      </c>
      <c r="AF92" s="29">
        <f t="shared" si="96"/>
        <v>0</v>
      </c>
      <c r="AG92" s="29">
        <f t="shared" si="96"/>
        <v>0</v>
      </c>
      <c r="AH92" s="29">
        <f t="shared" si="96"/>
        <v>0</v>
      </c>
      <c r="AI92" s="29">
        <f t="shared" si="96"/>
        <v>0</v>
      </c>
      <c r="AJ92" s="29">
        <f t="shared" si="96"/>
        <v>0</v>
      </c>
      <c r="AK92" s="29">
        <f t="shared" si="96"/>
        <v>0</v>
      </c>
      <c r="AL92" s="29">
        <f t="shared" si="96"/>
        <v>0</v>
      </c>
      <c r="AM92" s="29">
        <f t="shared" si="96"/>
        <v>0</v>
      </c>
      <c r="AN92" s="29">
        <f t="shared" si="96"/>
        <v>0</v>
      </c>
      <c r="AO92" s="29">
        <f t="shared" si="96"/>
        <v>0</v>
      </c>
      <c r="AP92" s="29">
        <f t="shared" si="96"/>
        <v>0</v>
      </c>
      <c r="AQ92" s="29">
        <f t="shared" si="96"/>
        <v>0</v>
      </c>
      <c r="AR92" s="29">
        <f t="shared" si="96"/>
        <v>0</v>
      </c>
      <c r="AS92" s="29">
        <f t="shared" si="96"/>
        <v>0</v>
      </c>
      <c r="AT92" s="29">
        <f t="shared" si="96"/>
        <v>0</v>
      </c>
      <c r="AU92" s="29">
        <f t="shared" si="96"/>
        <v>0</v>
      </c>
      <c r="AV92" s="29">
        <f t="shared" si="96"/>
        <v>0</v>
      </c>
      <c r="AW92" s="29">
        <f t="shared" si="96"/>
        <v>0</v>
      </c>
      <c r="AX92" s="29">
        <f t="shared" si="96"/>
        <v>0</v>
      </c>
      <c r="AY92" s="29">
        <f t="shared" ref="AY92:BP92" si="97">AX30/$J$83+AX91</f>
        <v>0</v>
      </c>
      <c r="AZ92" s="29">
        <f t="shared" si="97"/>
        <v>0</v>
      </c>
      <c r="BA92" s="29">
        <f t="shared" si="97"/>
        <v>0</v>
      </c>
      <c r="BB92" s="29">
        <f t="shared" si="97"/>
        <v>0</v>
      </c>
      <c r="BC92" s="29">
        <f t="shared" si="97"/>
        <v>0</v>
      </c>
      <c r="BD92" s="29">
        <f t="shared" si="97"/>
        <v>0</v>
      </c>
      <c r="BE92" s="29">
        <f t="shared" si="97"/>
        <v>0</v>
      </c>
      <c r="BF92" s="29">
        <f t="shared" si="97"/>
        <v>0</v>
      </c>
      <c r="BG92" s="29">
        <f t="shared" si="97"/>
        <v>0</v>
      </c>
      <c r="BH92" s="29">
        <f t="shared" si="97"/>
        <v>0</v>
      </c>
      <c r="BI92" s="29">
        <f t="shared" si="97"/>
        <v>0</v>
      </c>
      <c r="BJ92" s="29">
        <f t="shared" si="97"/>
        <v>0</v>
      </c>
      <c r="BK92" s="29">
        <f t="shared" si="97"/>
        <v>0</v>
      </c>
      <c r="BL92" s="29">
        <f t="shared" si="97"/>
        <v>0</v>
      </c>
      <c r="BM92" s="29">
        <f t="shared" si="97"/>
        <v>0</v>
      </c>
      <c r="BN92" s="29">
        <f t="shared" si="97"/>
        <v>0</v>
      </c>
      <c r="BO92" s="29">
        <f t="shared" si="97"/>
        <v>0</v>
      </c>
      <c r="BP92" s="29">
        <f t="shared" si="97"/>
        <v>0</v>
      </c>
    </row>
    <row r="93" spans="2:68" outlineLevel="1" x14ac:dyDescent="0.2">
      <c r="B93" s="80"/>
      <c r="C93" s="80"/>
      <c r="D93" s="92" t="s">
        <v>351</v>
      </c>
      <c r="E93" s="80"/>
      <c r="F93" s="80"/>
      <c r="G93" s="80"/>
      <c r="H93" s="80"/>
      <c r="I93" s="80"/>
      <c r="J93" s="80"/>
      <c r="K93" s="80"/>
      <c r="L93" s="436"/>
      <c r="M93" s="466"/>
      <c r="N93" s="467"/>
      <c r="O93" s="467"/>
      <c r="P93" s="467"/>
      <c r="Q93" s="467"/>
      <c r="R93" s="468"/>
      <c r="S93" s="29">
        <f>IF(S$15-ROUNDDOWN($J$83,0)&lt;0,0,INDEX($R$30:S$30,1,S$15-ROUNDDOWN($J$83,0))/$J$83)</f>
        <v>0</v>
      </c>
      <c r="T93" s="29">
        <f>IF(T$15-ROUNDDOWN($J$83,0)&lt;0,0,INDEX($R$30:T$30,1,T$15-ROUNDDOWN($J$83,0))/$J$83)</f>
        <v>0</v>
      </c>
      <c r="U93" s="29">
        <f>IF(U$15-ROUNDDOWN($J$83,0)&lt;0,0,INDEX($R$30:U$30,1,U$15-ROUNDDOWN($J$83,0))/$J$83)</f>
        <v>0</v>
      </c>
      <c r="V93" s="29">
        <f>IF(V$15-ROUNDDOWN($J$83,0)&lt;0,0,INDEX($R$30:V$30,1,V$15-ROUNDDOWN($J$83,0))/$J$83)</f>
        <v>0</v>
      </c>
      <c r="W93" s="29">
        <f>IF(W$15-ROUNDDOWN($J$83,0)&lt;0,0,INDEX($R$30:W$30,1,W$15-ROUNDDOWN($J$83,0))/$J$83)</f>
        <v>0</v>
      </c>
      <c r="X93" s="29">
        <f>IF(X$15-ROUNDDOWN($J$83,0)&lt;0,0,INDEX($R$30:X$30,1,X$15-ROUNDDOWN($J$83,0))/$J$83)</f>
        <v>0</v>
      </c>
      <c r="Y93" s="29">
        <f>IF(Y$15-ROUNDDOWN($J$83,0)&lt;0,0,INDEX($R$30:Y$30,1,Y$15-ROUNDDOWN($J$83,0))/$J$83)</f>
        <v>0</v>
      </c>
      <c r="Z93" s="29">
        <f>IF(Z$15-ROUNDDOWN($J$83,0)&lt;0,0,INDEX($R$30:Z$30,1,Z$15-ROUNDDOWN($J$83,0))/$J$83)</f>
        <v>0</v>
      </c>
      <c r="AA93" s="29">
        <f>IF(AA$15-ROUNDDOWN($J$83,0)&lt;0,0,INDEX($R$30:AA$30,1,AA$15-ROUNDDOWN($J$83,0))/$J$83)</f>
        <v>0</v>
      </c>
      <c r="AB93" s="29">
        <f>IF(AB$15-ROUNDDOWN($J$83,0)&lt;0,0,INDEX($R$30:AB$30,1,AB$15-ROUNDDOWN($J$83,0))/$J$83)</f>
        <v>0</v>
      </c>
      <c r="AC93" s="29">
        <f>IF(AC$15-ROUNDDOWN($J$83,0)&lt;0,0,INDEX($R$30:AC$30,1,AC$15-ROUNDDOWN($J$83,0))/$J$83)</f>
        <v>0</v>
      </c>
      <c r="AD93" s="29">
        <f>IF(AD$15-ROUNDDOWN($J$83,0)&lt;0,0,INDEX($R$30:AD$30,1,AD$15-ROUNDDOWN($J$83,0))/$J$83)</f>
        <v>0</v>
      </c>
      <c r="AE93" s="29">
        <f>IF(AE$15-ROUNDDOWN($J$83,0)&lt;0,0,INDEX($R$30:AE$30,1,AE$15-ROUNDDOWN($J$83,0))/$J$83)</f>
        <v>0</v>
      </c>
      <c r="AF93" s="29">
        <f>IF(AF$15-ROUNDDOWN($J$83,0)&lt;0,0,INDEX($R$30:AF$30,1,AF$15-ROUNDDOWN($J$83,0))/$J$83)</f>
        <v>0</v>
      </c>
      <c r="AG93" s="29">
        <f>IF(AG$15-ROUNDDOWN($J$83,0)&lt;0,0,INDEX($R$30:AG$30,1,AG$15-ROUNDDOWN($J$83,0))/$J$83)</f>
        <v>0</v>
      </c>
      <c r="AH93" s="29">
        <f>IF(AH$15-ROUNDDOWN($J$83,0)&lt;0,0,INDEX($R$30:AH$30,1,AH$15-ROUNDDOWN($J$83,0))/$J$83)</f>
        <v>0</v>
      </c>
      <c r="AI93" s="29">
        <f>IF(AI$15-ROUNDDOWN($J$83,0)&lt;0,0,INDEX($R$30:AI$30,1,AI$15-ROUNDDOWN($J$83,0))/$J$83)</f>
        <v>0</v>
      </c>
      <c r="AJ93" s="29">
        <f>IF(AJ$15-ROUNDDOWN($J$83,0)&lt;0,0,INDEX($R$30:AJ$30,1,AJ$15-ROUNDDOWN($J$83,0))/$J$83)</f>
        <v>0</v>
      </c>
      <c r="AK93" s="29">
        <f>IF(AK$15-ROUNDDOWN($J$83,0)&lt;0,0,INDEX($R$30:AK$30,1,AK$15-ROUNDDOWN($J$83,0))/$J$83)</f>
        <v>0</v>
      </c>
      <c r="AL93" s="29">
        <f>IF(AL$15-ROUNDDOWN($J$83,0)&lt;0,0,INDEX($R$30:AL$30,1,AL$15-ROUNDDOWN($J$83,0))/$J$83)</f>
        <v>0</v>
      </c>
      <c r="AM93" s="29">
        <f>IF(AM$15-ROUNDDOWN($J$83,0)&lt;0,0,INDEX($R$30:AM$30,1,AM$15-ROUNDDOWN($J$83,0))/$J$83)</f>
        <v>0</v>
      </c>
      <c r="AN93" s="29">
        <f>IF(AN$15-ROUNDDOWN($J$83,0)&lt;0,0,INDEX($R$30:AN$30,1,AN$15-ROUNDDOWN($J$83,0))/$J$83)</f>
        <v>0</v>
      </c>
      <c r="AO93" s="29">
        <f>IF(AO$15-ROUNDDOWN($J$83,0)&lt;0,0,INDEX($R$30:AO$30,1,AO$15-ROUNDDOWN($J$83,0))/$J$83)</f>
        <v>0</v>
      </c>
      <c r="AP93" s="29">
        <f>IF(AP$15-ROUNDDOWN($J$83,0)&lt;0,0,INDEX($R$30:AP$30,1,AP$15-ROUNDDOWN($J$83,0))/$J$83)</f>
        <v>0</v>
      </c>
      <c r="AQ93" s="29">
        <f>IF(AQ$15-ROUNDDOWN($J$83,0)&lt;0,0,INDEX($R$30:AQ$30,1,AQ$15-ROUNDDOWN($J$83,0))/$J$83)</f>
        <v>0</v>
      </c>
      <c r="AR93" s="29">
        <f>IF(AR$15-ROUNDDOWN($J$83,0)&lt;0,0,INDEX($R$30:AR$30,1,AR$15-ROUNDDOWN($J$83,0))/$J$83)</f>
        <v>0</v>
      </c>
      <c r="AS93" s="29">
        <f>IF(AS$15-ROUNDDOWN($J$83,0)&lt;0,0,INDEX($R$30:AS$30,1,AS$15-ROUNDDOWN($J$83,0))/$J$83)</f>
        <v>0</v>
      </c>
      <c r="AT93" s="29">
        <f>IF(AT$15-ROUNDDOWN($J$83,0)&lt;0,0,INDEX($R$30:AT$30,1,AT$15-ROUNDDOWN($J$83,0))/$J$83)</f>
        <v>0</v>
      </c>
      <c r="AU93" s="29">
        <f>IF(AU$15-ROUNDDOWN($J$83,0)&lt;0,0,INDEX($R$30:AU$30,1,AU$15-ROUNDDOWN($J$83,0))/$J$83)</f>
        <v>0</v>
      </c>
      <c r="AV93" s="29">
        <f>IF(AV$15-ROUNDDOWN($J$83,0)&lt;0,0,INDEX($R$30:AV$30,1,AV$15-ROUNDDOWN($J$83,0))/$J$83)</f>
        <v>0</v>
      </c>
      <c r="AW93" s="29">
        <f>IF(AW$15-ROUNDDOWN($J$83,0)&lt;0,0,INDEX($R$30:AW$30,1,AW$15-ROUNDDOWN($J$83,0))/$J$83)</f>
        <v>0</v>
      </c>
      <c r="AX93" s="29">
        <f>IF(AX$15-ROUNDDOWN($J$83,0)&lt;0,0,INDEX($R$30:AX$30,1,AX$15-ROUNDDOWN($J$83,0))/$J$83)</f>
        <v>0</v>
      </c>
      <c r="AY93" s="29">
        <f>IF(AY$15-ROUNDDOWN($J$83,0)&lt;0,0,INDEX($R$30:AY$30,1,AY$15-ROUNDDOWN($J$83,0))/$J$83)</f>
        <v>0</v>
      </c>
      <c r="AZ93" s="29">
        <f>IF(AZ$15-ROUNDDOWN($J$83,0)&lt;0,0,INDEX($R$30:AZ$30,1,AZ$15-ROUNDDOWN($J$83,0))/$J$83)</f>
        <v>0</v>
      </c>
      <c r="BA93" s="29">
        <f>IF(BA$15-ROUNDDOWN($J$83,0)&lt;0,0,INDEX($R$30:BA$30,1,BA$15-ROUNDDOWN($J$83,0))/$J$83)</f>
        <v>0</v>
      </c>
      <c r="BB93" s="29">
        <f>IF(BB$15-ROUNDDOWN($J$83,0)&lt;0,0,INDEX($R$30:BB$30,1,BB$15-ROUNDDOWN($J$83,0))/$J$83)</f>
        <v>0</v>
      </c>
      <c r="BC93" s="29">
        <f>IF(BC$15-ROUNDDOWN($J$83,0)&lt;0,0,INDEX($R$30:BC$30,1,BC$15-ROUNDDOWN($J$83,0))/$J$83)</f>
        <v>0</v>
      </c>
      <c r="BD93" s="29">
        <f>IF(BD$15-ROUNDDOWN($J$83,0)&lt;0,0,INDEX($R$30:BD$30,1,BD$15-ROUNDDOWN($J$83,0))/$J$83)</f>
        <v>0</v>
      </c>
      <c r="BE93" s="29">
        <f>IF(BE$15-ROUNDDOWN($J$83,0)&lt;0,0,INDEX($R$30:BE$30,1,BE$15-ROUNDDOWN($J$83,0))/$J$83)</f>
        <v>0</v>
      </c>
      <c r="BF93" s="29">
        <f>IF(BF$15-ROUNDDOWN($J$83,0)&lt;0,0,INDEX($R$30:BF$30,1,BF$15-ROUNDDOWN($J$83,0))/$J$83)</f>
        <v>0</v>
      </c>
      <c r="BG93" s="29">
        <f>IF(BG$15-ROUNDDOWN($J$83,0)&lt;0,0,INDEX($R$30:BG$30,1,BG$15-ROUNDDOWN($J$83,0))/$J$83)</f>
        <v>0</v>
      </c>
      <c r="BH93" s="29">
        <f>IF(BH$15-ROUNDDOWN($J$83,0)&lt;0,0,INDEX($R$30:BH$30,1,BH$15-ROUNDDOWN($J$83,0))/$J$83)</f>
        <v>0</v>
      </c>
      <c r="BI93" s="29">
        <f>IF(BI$15-ROUNDDOWN($J$83,0)&lt;0,0,INDEX($R$30:BI$30,1,BI$15-ROUNDDOWN($J$83,0))/$J$83)</f>
        <v>0</v>
      </c>
      <c r="BJ93" s="29">
        <f>IF(BJ$15-ROUNDDOWN($J$83,0)&lt;0,0,INDEX($R$30:BJ$30,1,BJ$15-ROUNDDOWN($J$83,0))/$J$83)</f>
        <v>0</v>
      </c>
      <c r="BK93" s="29">
        <f>IF(BK$15-ROUNDDOWN($J$83,0)&lt;0,0,INDEX($R$30:BK$30,1,BK$15-ROUNDDOWN($J$83,0))/$J$83)</f>
        <v>0</v>
      </c>
      <c r="BL93" s="29">
        <f>IF(BL$15-ROUNDDOWN($J$83,0)&lt;0,0,INDEX($R$30:BL$30,1,BL$15-ROUNDDOWN($J$83,0))/$J$83)</f>
        <v>0</v>
      </c>
      <c r="BM93" s="29">
        <f>IF(BM$15-ROUNDDOWN($J$83,0)&lt;0,0,INDEX($R$30:BM$30,1,BM$15-ROUNDDOWN($J$83,0))/$J$83)</f>
        <v>0</v>
      </c>
      <c r="BN93" s="29">
        <f>IF(BN$15-ROUNDDOWN($J$83,0)&lt;0,0,INDEX($R$30:BN$30,1,BN$15-ROUNDDOWN($J$83,0))/$J$83)</f>
        <v>0</v>
      </c>
      <c r="BO93" s="29">
        <f>IF(BO$15-ROUNDDOWN($J$83,0)&lt;0,0,INDEX($R$30:BO$30,1,BO$15-ROUNDDOWN($J$83,0))/$J$83)</f>
        <v>0</v>
      </c>
      <c r="BP93" s="29">
        <f>IF(BP$15-ROUNDDOWN($J$83,0)&lt;0,0,INDEX($R$30:BP$30,1,BP$15-ROUNDDOWN($J$83,0))/$J$83)</f>
        <v>0</v>
      </c>
    </row>
    <row r="94" spans="2:68" outlineLevel="1" x14ac:dyDescent="0.2">
      <c r="B94" s="80"/>
      <c r="C94" s="80"/>
      <c r="D94" s="92" t="s">
        <v>352</v>
      </c>
      <c r="E94" s="80"/>
      <c r="F94" s="80"/>
      <c r="G94" s="80"/>
      <c r="H94" s="80"/>
      <c r="I94" s="80"/>
      <c r="J94" s="80"/>
      <c r="K94" s="80"/>
      <c r="L94" s="436"/>
      <c r="M94" s="466"/>
      <c r="N94" s="467"/>
      <c r="O94" s="467"/>
      <c r="P94" s="467"/>
      <c r="Q94" s="467"/>
      <c r="R94" s="468"/>
      <c r="S94" s="29">
        <f>IF(S$15-ROUNDDOWN($J$83,0)&lt;0,0,INDEX($R$30:S$30,1,S$15-ROUNDDOWN($J$83,0))*MOD($J$83,1)/$J$83)</f>
        <v>0</v>
      </c>
      <c r="T94" s="29">
        <f>IF(T$15-ROUNDDOWN($J$83,0)&lt;0,0,INDEX($R$30:T$30,1,T$15-ROUNDDOWN($J$83,0))*MOD($J$83,1)/$J$83)</f>
        <v>0</v>
      </c>
      <c r="U94" s="29">
        <f>IF(U$15-ROUNDDOWN($J$83,0)&lt;0,0,INDEX($R$30:U$30,1,U$15-ROUNDDOWN($J$83,0))*MOD($J$83,1)/$J$83)</f>
        <v>0</v>
      </c>
      <c r="V94" s="29">
        <f>IF(V$15-ROUNDDOWN($J$83,0)&lt;0,0,INDEX($R$30:V$30,1,V$15-ROUNDDOWN($J$83,0))*MOD($J$83,1)/$J$83)</f>
        <v>0</v>
      </c>
      <c r="W94" s="29">
        <f>IF(W$15-ROUNDDOWN($J$83,0)&lt;0,0,INDEX($R$30:W$30,1,W$15-ROUNDDOWN($J$83,0))*MOD($J$83,1)/$J$83)</f>
        <v>0</v>
      </c>
      <c r="X94" s="29">
        <f>IF(X$15-ROUNDDOWN($J$83,0)&lt;0,0,INDEX($R$30:X$30,1,X$15-ROUNDDOWN($J$83,0))*MOD($J$83,1)/$J$83)</f>
        <v>0</v>
      </c>
      <c r="Y94" s="29">
        <f>IF(Y$15-ROUNDDOWN($J$83,0)&lt;0,0,INDEX($R$30:Y$30,1,Y$15-ROUNDDOWN($J$83,0))*MOD($J$83,1)/$J$83)</f>
        <v>0</v>
      </c>
      <c r="Z94" s="29">
        <f>IF(Z$15-ROUNDDOWN($J$83,0)&lt;0,0,INDEX($R$30:Z$30,1,Z$15-ROUNDDOWN($J$83,0))*MOD($J$83,1)/$J$83)</f>
        <v>0</v>
      </c>
      <c r="AA94" s="29">
        <f>IF(AA$15-ROUNDDOWN($J$83,0)&lt;0,0,INDEX($R$30:AA$30,1,AA$15-ROUNDDOWN($J$83,0))*MOD($J$83,1)/$J$83)</f>
        <v>0</v>
      </c>
      <c r="AB94" s="29">
        <f>IF(AB$15-ROUNDDOWN($J$83,0)&lt;0,0,INDEX($R$30:AB$30,1,AB$15-ROUNDDOWN($J$83,0))*MOD($J$83,1)/$J$83)</f>
        <v>0</v>
      </c>
      <c r="AC94" s="29">
        <f>IF(AC$15-ROUNDDOWN($J$83,0)&lt;0,0,INDEX($R$30:AC$30,1,AC$15-ROUNDDOWN($J$83,0))*MOD($J$83,1)/$J$83)</f>
        <v>0</v>
      </c>
      <c r="AD94" s="29">
        <f>IF(AD$15-ROUNDDOWN($J$83,0)&lt;0,0,INDEX($R$30:AD$30,1,AD$15-ROUNDDOWN($J$83,0))*MOD($J$83,1)/$J$83)</f>
        <v>0</v>
      </c>
      <c r="AE94" s="29">
        <f>IF(AE$15-ROUNDDOWN($J$83,0)&lt;0,0,INDEX($R$30:AE$30,1,AE$15-ROUNDDOWN($J$83,0))*MOD($J$83,1)/$J$83)</f>
        <v>0</v>
      </c>
      <c r="AF94" s="29">
        <f>IF(AF$15-ROUNDDOWN($J$83,0)&lt;0,0,INDEX($R$30:AF$30,1,AF$15-ROUNDDOWN($J$83,0))*MOD($J$83,1)/$J$83)</f>
        <v>0</v>
      </c>
      <c r="AG94" s="29">
        <f>IF(AG$15-ROUNDDOWN($J$83,0)&lt;0,0,INDEX($R$30:AG$30,1,AG$15-ROUNDDOWN($J$83,0))*MOD($J$83,1)/$J$83)</f>
        <v>0</v>
      </c>
      <c r="AH94" s="29">
        <f>IF(AH$15-ROUNDDOWN($J$83,0)&lt;0,0,INDEX($R$30:AH$30,1,AH$15-ROUNDDOWN($J$83,0))*MOD($J$83,1)/$J$83)</f>
        <v>0</v>
      </c>
      <c r="AI94" s="29">
        <f>IF(AI$15-ROUNDDOWN($J$83,0)&lt;0,0,INDEX($R$30:AI$30,1,AI$15-ROUNDDOWN($J$83,0))*MOD($J$83,1)/$J$83)</f>
        <v>0</v>
      </c>
      <c r="AJ94" s="29">
        <f>IF(AJ$15-ROUNDDOWN($J$83,0)&lt;0,0,INDEX($R$30:AJ$30,1,AJ$15-ROUNDDOWN($J$83,0))*MOD($J$83,1)/$J$83)</f>
        <v>0</v>
      </c>
      <c r="AK94" s="29">
        <f>IF(AK$15-ROUNDDOWN($J$83,0)&lt;0,0,INDEX($R$30:AK$30,1,AK$15-ROUNDDOWN($J$83,0))*MOD($J$83,1)/$J$83)</f>
        <v>0</v>
      </c>
      <c r="AL94" s="29">
        <f>IF(AL$15-ROUNDDOWN($J$83,0)&lt;0,0,INDEX($R$30:AL$30,1,AL$15-ROUNDDOWN($J$83,0))*MOD($J$83,1)/$J$83)</f>
        <v>0</v>
      </c>
      <c r="AM94" s="29">
        <f>IF(AM$15-ROUNDDOWN($J$83,0)&lt;0,0,INDEX($R$30:AM$30,1,AM$15-ROUNDDOWN($J$83,0))*MOD($J$83,1)/$J$83)</f>
        <v>0</v>
      </c>
      <c r="AN94" s="29">
        <f>IF(AN$15-ROUNDDOWN($J$83,0)&lt;0,0,INDEX($R$30:AN$30,1,AN$15-ROUNDDOWN($J$83,0))*MOD($J$83,1)/$J$83)</f>
        <v>0</v>
      </c>
      <c r="AO94" s="29">
        <f>IF(AO$15-ROUNDDOWN($J$83,0)&lt;0,0,INDEX($R$30:AO$30,1,AO$15-ROUNDDOWN($J$83,0))*MOD($J$83,1)/$J$83)</f>
        <v>0</v>
      </c>
      <c r="AP94" s="29">
        <f>IF(AP$15-ROUNDDOWN($J$83,0)&lt;0,0,INDEX($R$30:AP$30,1,AP$15-ROUNDDOWN($J$83,0))*MOD($J$83,1)/$J$83)</f>
        <v>0</v>
      </c>
      <c r="AQ94" s="29">
        <f>IF(AQ$15-ROUNDDOWN($J$83,0)&lt;0,0,INDEX($R$30:AQ$30,1,AQ$15-ROUNDDOWN($J$83,0))*MOD($J$83,1)/$J$83)</f>
        <v>0</v>
      </c>
      <c r="AR94" s="29">
        <f>IF(AR$15-ROUNDDOWN($J$83,0)&lt;0,0,INDEX($R$30:AR$30,1,AR$15-ROUNDDOWN($J$83,0))*MOD($J$83,1)/$J$83)</f>
        <v>0</v>
      </c>
      <c r="AS94" s="29">
        <f>IF(AS$15-ROUNDDOWN($J$83,0)&lt;0,0,INDEX($R$30:AS$30,1,AS$15-ROUNDDOWN($J$83,0))*MOD($J$83,1)/$J$83)</f>
        <v>0</v>
      </c>
      <c r="AT94" s="29">
        <f>IF(AT$15-ROUNDDOWN($J$83,0)&lt;0,0,INDEX($R$30:AT$30,1,AT$15-ROUNDDOWN($J$83,0))*MOD($J$83,1)/$J$83)</f>
        <v>0</v>
      </c>
      <c r="AU94" s="29">
        <f>IF(AU$15-ROUNDDOWN($J$83,0)&lt;0,0,INDEX($R$30:AU$30,1,AU$15-ROUNDDOWN($J$83,0))*MOD($J$83,1)/$J$83)</f>
        <v>0</v>
      </c>
      <c r="AV94" s="29">
        <f>IF(AV$15-ROUNDDOWN($J$83,0)&lt;0,0,INDEX($R$30:AV$30,1,AV$15-ROUNDDOWN($J$83,0))*MOD($J$83,1)/$J$83)</f>
        <v>0</v>
      </c>
      <c r="AW94" s="29">
        <f>IF(AW$15-ROUNDDOWN($J$83,0)&lt;0,0,INDEX($R$30:AW$30,1,AW$15-ROUNDDOWN($J$83,0))*MOD($J$83,1)/$J$83)</f>
        <v>0</v>
      </c>
      <c r="AX94" s="29">
        <f>IF(AX$15-ROUNDDOWN($J$83,0)&lt;0,0,INDEX($R$30:AX$30,1,AX$15-ROUNDDOWN($J$83,0))*MOD($J$83,1)/$J$83)</f>
        <v>0</v>
      </c>
      <c r="AY94" s="29">
        <f>IF(AY$15-ROUNDDOWN($J$83,0)&lt;0,0,INDEX($R$30:AY$30,1,AY$15-ROUNDDOWN($J$83,0))*MOD($J$83,1)/$J$83)</f>
        <v>0</v>
      </c>
      <c r="AZ94" s="29">
        <f>IF(AZ$15-ROUNDDOWN($J$83,0)&lt;0,0,INDEX($R$30:AZ$30,1,AZ$15-ROUNDDOWN($J$83,0))*MOD($J$83,1)/$J$83)</f>
        <v>0</v>
      </c>
      <c r="BA94" s="29">
        <f>IF(BA$15-ROUNDDOWN($J$83,0)&lt;0,0,INDEX($R$30:BA$30,1,BA$15-ROUNDDOWN($J$83,0))*MOD($J$83,1)/$J$83)</f>
        <v>0</v>
      </c>
      <c r="BB94" s="29">
        <f>IF(BB$15-ROUNDDOWN($J$83,0)&lt;0,0,INDEX($R$30:BB$30,1,BB$15-ROUNDDOWN($J$83,0))*MOD($J$83,1)/$J$83)</f>
        <v>0</v>
      </c>
      <c r="BC94" s="29">
        <f>IF(BC$15-ROUNDDOWN($J$83,0)&lt;0,0,INDEX($R$30:BC$30,1,BC$15-ROUNDDOWN($J$83,0))*MOD($J$83,1)/$J$83)</f>
        <v>0</v>
      </c>
      <c r="BD94" s="29">
        <f>IF(BD$15-ROUNDDOWN($J$83,0)&lt;0,0,INDEX($R$30:BD$30,1,BD$15-ROUNDDOWN($J$83,0))*MOD($J$83,1)/$J$83)</f>
        <v>0</v>
      </c>
      <c r="BE94" s="29">
        <f>IF(BE$15-ROUNDDOWN($J$83,0)&lt;0,0,INDEX($R$30:BE$30,1,BE$15-ROUNDDOWN($J$83,0))*MOD($J$83,1)/$J$83)</f>
        <v>0</v>
      </c>
      <c r="BF94" s="29">
        <f>IF(BF$15-ROUNDDOWN($J$83,0)&lt;0,0,INDEX($R$30:BF$30,1,BF$15-ROUNDDOWN($J$83,0))*MOD($J$83,1)/$J$83)</f>
        <v>0</v>
      </c>
      <c r="BG94" s="29">
        <f>IF(BG$15-ROUNDDOWN($J$83,0)&lt;0,0,INDEX($R$30:BG$30,1,BG$15-ROUNDDOWN($J$83,0))*MOD($J$83,1)/$J$83)</f>
        <v>0</v>
      </c>
      <c r="BH94" s="29">
        <f>IF(BH$15-ROUNDDOWN($J$83,0)&lt;0,0,INDEX($R$30:BH$30,1,BH$15-ROUNDDOWN($J$83,0))*MOD($J$83,1)/$J$83)</f>
        <v>0</v>
      </c>
      <c r="BI94" s="29">
        <f>IF(BI$15-ROUNDDOWN($J$83,0)&lt;0,0,INDEX($R$30:BI$30,1,BI$15-ROUNDDOWN($J$83,0))*MOD($J$83,1)/$J$83)</f>
        <v>0</v>
      </c>
      <c r="BJ94" s="29">
        <f>IF(BJ$15-ROUNDDOWN($J$83,0)&lt;0,0,INDEX($R$30:BJ$30,1,BJ$15-ROUNDDOWN($J$83,0))*MOD($J$83,1)/$J$83)</f>
        <v>0</v>
      </c>
      <c r="BK94" s="29">
        <f>IF(BK$15-ROUNDDOWN($J$83,0)&lt;0,0,INDEX($R$30:BK$30,1,BK$15-ROUNDDOWN($J$83,0))*MOD($J$83,1)/$J$83)</f>
        <v>0</v>
      </c>
      <c r="BL94" s="29">
        <f>IF(BL$15-ROUNDDOWN($J$83,0)&lt;0,0,INDEX($R$30:BL$30,1,BL$15-ROUNDDOWN($J$83,0))*MOD($J$83,1)/$J$83)</f>
        <v>0</v>
      </c>
      <c r="BM94" s="29">
        <f>IF(BM$15-ROUNDDOWN($J$83,0)&lt;0,0,INDEX($R$30:BM$30,1,BM$15-ROUNDDOWN($J$83,0))*MOD($J$83,1)/$J$83)</f>
        <v>0</v>
      </c>
      <c r="BN94" s="29">
        <f>IF(BN$15-ROUNDDOWN($J$83,0)&lt;0,0,INDEX($R$30:BN$30,1,BN$15-ROUNDDOWN($J$83,0))*MOD($J$83,1)/$J$83)</f>
        <v>0</v>
      </c>
      <c r="BO94" s="29">
        <f>IF(BO$15-ROUNDDOWN($J$83,0)&lt;0,0,INDEX($R$30:BO$30,1,BO$15-ROUNDDOWN($J$83,0))*MOD($J$83,1)/$J$83)</f>
        <v>0</v>
      </c>
      <c r="BP94" s="29">
        <f>IF(BP$15-ROUNDDOWN($J$83,0)&lt;0,0,INDEX($R$30:BP$30,1,BP$15-ROUNDDOWN($J$83,0))*MOD($J$83,1)/$J$83)</f>
        <v>0</v>
      </c>
    </row>
    <row r="95" spans="2:68" outlineLevel="1" x14ac:dyDescent="0.2">
      <c r="B95" s="80"/>
      <c r="C95" s="80"/>
      <c r="D95" s="92" t="s">
        <v>353</v>
      </c>
      <c r="E95" s="80"/>
      <c r="F95" s="80"/>
      <c r="G95" s="80"/>
      <c r="H95" s="80"/>
      <c r="I95" s="80"/>
      <c r="J95" s="80"/>
      <c r="K95" s="80"/>
      <c r="L95" s="436"/>
      <c r="M95" s="466"/>
      <c r="N95" s="467"/>
      <c r="O95" s="467"/>
      <c r="P95" s="467"/>
      <c r="Q95" s="467"/>
      <c r="R95" s="468"/>
      <c r="S95" s="29">
        <f>R94</f>
        <v>0</v>
      </c>
      <c r="T95" s="29">
        <f t="shared" ref="T95:BP95" si="98">S94</f>
        <v>0</v>
      </c>
      <c r="U95" s="29">
        <f t="shared" si="98"/>
        <v>0</v>
      </c>
      <c r="V95" s="29">
        <f t="shared" si="98"/>
        <v>0</v>
      </c>
      <c r="W95" s="29">
        <f t="shared" si="98"/>
        <v>0</v>
      </c>
      <c r="X95" s="29">
        <f t="shared" si="98"/>
        <v>0</v>
      </c>
      <c r="Y95" s="29">
        <f t="shared" si="98"/>
        <v>0</v>
      </c>
      <c r="Z95" s="29">
        <f t="shared" si="98"/>
        <v>0</v>
      </c>
      <c r="AA95" s="29">
        <f t="shared" si="98"/>
        <v>0</v>
      </c>
      <c r="AB95" s="29">
        <f t="shared" si="98"/>
        <v>0</v>
      </c>
      <c r="AC95" s="29">
        <f t="shared" si="98"/>
        <v>0</v>
      </c>
      <c r="AD95" s="29">
        <f t="shared" si="98"/>
        <v>0</v>
      </c>
      <c r="AE95" s="29">
        <f t="shared" si="98"/>
        <v>0</v>
      </c>
      <c r="AF95" s="29">
        <f t="shared" si="98"/>
        <v>0</v>
      </c>
      <c r="AG95" s="29">
        <f t="shared" si="98"/>
        <v>0</v>
      </c>
      <c r="AH95" s="29">
        <f t="shared" si="98"/>
        <v>0</v>
      </c>
      <c r="AI95" s="29">
        <f t="shared" si="98"/>
        <v>0</v>
      </c>
      <c r="AJ95" s="29">
        <f t="shared" si="98"/>
        <v>0</v>
      </c>
      <c r="AK95" s="29">
        <f t="shared" si="98"/>
        <v>0</v>
      </c>
      <c r="AL95" s="29">
        <f t="shared" si="98"/>
        <v>0</v>
      </c>
      <c r="AM95" s="29">
        <f t="shared" si="98"/>
        <v>0</v>
      </c>
      <c r="AN95" s="29">
        <f t="shared" si="98"/>
        <v>0</v>
      </c>
      <c r="AO95" s="29">
        <f t="shared" si="98"/>
        <v>0</v>
      </c>
      <c r="AP95" s="29">
        <f t="shared" si="98"/>
        <v>0</v>
      </c>
      <c r="AQ95" s="29">
        <f t="shared" si="98"/>
        <v>0</v>
      </c>
      <c r="AR95" s="29">
        <f t="shared" si="98"/>
        <v>0</v>
      </c>
      <c r="AS95" s="29">
        <f t="shared" si="98"/>
        <v>0</v>
      </c>
      <c r="AT95" s="29">
        <f t="shared" si="98"/>
        <v>0</v>
      </c>
      <c r="AU95" s="29">
        <f t="shared" si="98"/>
        <v>0</v>
      </c>
      <c r="AV95" s="29">
        <f t="shared" si="98"/>
        <v>0</v>
      </c>
      <c r="AW95" s="29">
        <f t="shared" si="98"/>
        <v>0</v>
      </c>
      <c r="AX95" s="29">
        <f t="shared" si="98"/>
        <v>0</v>
      </c>
      <c r="AY95" s="29">
        <f t="shared" si="98"/>
        <v>0</v>
      </c>
      <c r="AZ95" s="29">
        <f t="shared" si="98"/>
        <v>0</v>
      </c>
      <c r="BA95" s="29">
        <f t="shared" si="98"/>
        <v>0</v>
      </c>
      <c r="BB95" s="29">
        <f t="shared" si="98"/>
        <v>0</v>
      </c>
      <c r="BC95" s="29">
        <f t="shared" si="98"/>
        <v>0</v>
      </c>
      <c r="BD95" s="29">
        <f t="shared" si="98"/>
        <v>0</v>
      </c>
      <c r="BE95" s="29">
        <f t="shared" si="98"/>
        <v>0</v>
      </c>
      <c r="BF95" s="29">
        <f t="shared" si="98"/>
        <v>0</v>
      </c>
      <c r="BG95" s="29">
        <f t="shared" si="98"/>
        <v>0</v>
      </c>
      <c r="BH95" s="29">
        <f t="shared" si="98"/>
        <v>0</v>
      </c>
      <c r="BI95" s="29">
        <f t="shared" si="98"/>
        <v>0</v>
      </c>
      <c r="BJ95" s="29">
        <f t="shared" si="98"/>
        <v>0</v>
      </c>
      <c r="BK95" s="29">
        <f t="shared" si="98"/>
        <v>0</v>
      </c>
      <c r="BL95" s="29">
        <f t="shared" si="98"/>
        <v>0</v>
      </c>
      <c r="BM95" s="29">
        <f t="shared" si="98"/>
        <v>0</v>
      </c>
      <c r="BN95" s="29">
        <f t="shared" si="98"/>
        <v>0</v>
      </c>
      <c r="BO95" s="29">
        <f t="shared" si="98"/>
        <v>0</v>
      </c>
      <c r="BP95" s="29">
        <f t="shared" si="98"/>
        <v>0</v>
      </c>
    </row>
    <row r="96" spans="2:68" customFormat="1" outlineLevel="1" x14ac:dyDescent="0.2">
      <c r="L96" s="112"/>
      <c r="M96" s="113"/>
    </row>
    <row r="97" spans="4:68" outlineLevel="1" x14ac:dyDescent="0.2">
      <c r="D97" s="66" t="s">
        <v>354</v>
      </c>
      <c r="E97" s="80"/>
      <c r="F97" s="80"/>
      <c r="G97" s="80"/>
      <c r="H97" s="80"/>
      <c r="I97" s="80"/>
      <c r="J97" s="80"/>
      <c r="K97" s="80"/>
      <c r="L97" s="436">
        <f>SUM(R97:BP97)</f>
        <v>0</v>
      </c>
      <c r="M97" s="466"/>
      <c r="N97" s="467"/>
      <c r="O97" s="467"/>
      <c r="P97" s="467"/>
      <c r="Q97" s="467"/>
      <c r="R97" s="468"/>
      <c r="S97" s="29">
        <f>IF($J$83=0,0,SUM(S98,S100)-SUM(S99,S101))</f>
        <v>0</v>
      </c>
      <c r="T97" s="29">
        <f t="shared" ref="T97" si="99">IF($J$83=0,0,SUM(T98,T100)-SUM(T99,T101))</f>
        <v>0</v>
      </c>
      <c r="U97" s="29">
        <f t="shared" ref="U97" si="100">IF($J$83=0,0,SUM(U98,U100)-SUM(U99,U101))</f>
        <v>0</v>
      </c>
      <c r="V97" s="29">
        <f t="shared" ref="V97" si="101">IF($J$83=0,0,SUM(V98,V100)-SUM(V99,V101))</f>
        <v>0</v>
      </c>
      <c r="W97" s="29">
        <f t="shared" ref="W97" si="102">IF($J$83=0,0,SUM(W98,W100)-SUM(W99,W101))</f>
        <v>0</v>
      </c>
      <c r="X97" s="29">
        <f t="shared" ref="X97" si="103">IF($J$83=0,0,SUM(X98,X100)-SUM(X99,X101))</f>
        <v>0</v>
      </c>
      <c r="Y97" s="29">
        <f t="shared" ref="Y97" si="104">IF($J$83=0,0,SUM(Y98,Y100)-SUM(Y99,Y101))</f>
        <v>0</v>
      </c>
      <c r="Z97" s="29">
        <f t="shared" ref="Z97" si="105">IF($J$83=0,0,SUM(Z98,Z100)-SUM(Z99,Z101))</f>
        <v>0</v>
      </c>
      <c r="AA97" s="29">
        <f t="shared" ref="AA97" si="106">IF($J$83=0,0,SUM(AA98,AA100)-SUM(AA99,AA101))</f>
        <v>0</v>
      </c>
      <c r="AB97" s="29">
        <f t="shared" ref="AB97" si="107">IF($J$83=0,0,SUM(AB98,AB100)-SUM(AB99,AB101))</f>
        <v>0</v>
      </c>
      <c r="AC97" s="29">
        <f t="shared" ref="AC97" si="108">IF($J$83=0,0,SUM(AC98,AC100)-SUM(AC99,AC101))</f>
        <v>0</v>
      </c>
      <c r="AD97" s="29">
        <f t="shared" ref="AD97" si="109">IF($J$83=0,0,SUM(AD98,AD100)-SUM(AD99,AD101))</f>
        <v>0</v>
      </c>
      <c r="AE97" s="29">
        <f t="shared" ref="AE97" si="110">IF($J$83=0,0,SUM(AE98,AE100)-SUM(AE99,AE101))</f>
        <v>0</v>
      </c>
      <c r="AF97" s="29">
        <f t="shared" ref="AF97" si="111">IF($J$83=0,0,SUM(AF98,AF100)-SUM(AF99,AF101))</f>
        <v>0</v>
      </c>
      <c r="AG97" s="29">
        <f t="shared" ref="AG97" si="112">IF($J$83=0,0,SUM(AG98,AG100)-SUM(AG99,AG101))</f>
        <v>0</v>
      </c>
      <c r="AH97" s="29">
        <f t="shared" ref="AH97" si="113">IF($J$83=0,0,SUM(AH98,AH100)-SUM(AH99,AH101))</f>
        <v>0</v>
      </c>
      <c r="AI97" s="29">
        <f t="shared" ref="AI97" si="114">IF($J$83=0,0,SUM(AI98,AI100)-SUM(AI99,AI101))</f>
        <v>0</v>
      </c>
      <c r="AJ97" s="29">
        <f t="shared" ref="AJ97" si="115">IF($J$83=0,0,SUM(AJ98,AJ100)-SUM(AJ99,AJ101))</f>
        <v>0</v>
      </c>
      <c r="AK97" s="29">
        <f t="shared" ref="AK97" si="116">IF($J$83=0,0,SUM(AK98,AK100)-SUM(AK99,AK101))</f>
        <v>0</v>
      </c>
      <c r="AL97" s="29">
        <f t="shared" ref="AL97" si="117">IF($J$83=0,0,SUM(AL98,AL100)-SUM(AL99,AL101))</f>
        <v>0</v>
      </c>
      <c r="AM97" s="29">
        <f t="shared" ref="AM97" si="118">IF($J$83=0,0,SUM(AM98,AM100)-SUM(AM99,AM101))</f>
        <v>0</v>
      </c>
      <c r="AN97" s="29">
        <f t="shared" ref="AN97" si="119">IF($J$83=0,0,SUM(AN98,AN100)-SUM(AN99,AN101))</f>
        <v>0</v>
      </c>
      <c r="AO97" s="29">
        <f t="shared" ref="AO97" si="120">IF($J$83=0,0,SUM(AO98,AO100)-SUM(AO99,AO101))</f>
        <v>0</v>
      </c>
      <c r="AP97" s="29">
        <f t="shared" ref="AP97" si="121">IF($J$83=0,0,SUM(AP98,AP100)-SUM(AP99,AP101))</f>
        <v>0</v>
      </c>
      <c r="AQ97" s="29">
        <f t="shared" ref="AQ97" si="122">IF($J$83=0,0,SUM(AQ98,AQ100)-SUM(AQ99,AQ101))</f>
        <v>0</v>
      </c>
      <c r="AR97" s="29">
        <f t="shared" ref="AR97" si="123">IF($J$83=0,0,SUM(AR98,AR100)-SUM(AR99,AR101))</f>
        <v>0</v>
      </c>
      <c r="AS97" s="29">
        <f t="shared" ref="AS97" si="124">IF($J$83=0,0,SUM(AS98,AS100)-SUM(AS99,AS101))</f>
        <v>0</v>
      </c>
      <c r="AT97" s="29">
        <f t="shared" ref="AT97" si="125">IF($J$83=0,0,SUM(AT98,AT100)-SUM(AT99,AT101))</f>
        <v>0</v>
      </c>
      <c r="AU97" s="29">
        <f t="shared" ref="AU97" si="126">IF($J$83=0,0,SUM(AU98,AU100)-SUM(AU99,AU101))</f>
        <v>0</v>
      </c>
      <c r="AV97" s="29">
        <f t="shared" ref="AV97" si="127">IF($J$83=0,0,SUM(AV98,AV100)-SUM(AV99,AV101))</f>
        <v>0</v>
      </c>
      <c r="AW97" s="29">
        <f t="shared" ref="AW97" si="128">IF($J$83=0,0,SUM(AW98,AW100)-SUM(AW99,AW101))</f>
        <v>0</v>
      </c>
      <c r="AX97" s="29">
        <f t="shared" ref="AX97" si="129">IF($J$83=0,0,SUM(AX98,AX100)-SUM(AX99,AX101))</f>
        <v>0</v>
      </c>
      <c r="AY97" s="29">
        <f t="shared" ref="AY97" si="130">IF($J$83=0,0,SUM(AY98,AY100)-SUM(AY99,AY101))</f>
        <v>0</v>
      </c>
      <c r="AZ97" s="29">
        <f t="shared" ref="AZ97" si="131">IF($J$83=0,0,SUM(AZ98,AZ100)-SUM(AZ99,AZ101))</f>
        <v>0</v>
      </c>
      <c r="BA97" s="29">
        <f t="shared" ref="BA97" si="132">IF($J$83=0,0,SUM(BA98,BA100)-SUM(BA99,BA101))</f>
        <v>0</v>
      </c>
      <c r="BB97" s="29">
        <f t="shared" ref="BB97" si="133">IF($J$83=0,0,SUM(BB98,BB100)-SUM(BB99,BB101))</f>
        <v>0</v>
      </c>
      <c r="BC97" s="29">
        <f t="shared" ref="BC97" si="134">IF($J$83=0,0,SUM(BC98,BC100)-SUM(BC99,BC101))</f>
        <v>0</v>
      </c>
      <c r="BD97" s="29">
        <f t="shared" ref="BD97" si="135">IF($J$83=0,0,SUM(BD98,BD100)-SUM(BD99,BD101))</f>
        <v>0</v>
      </c>
      <c r="BE97" s="29">
        <f t="shared" ref="BE97" si="136">IF($J$83=0,0,SUM(BE98,BE100)-SUM(BE99,BE101))</f>
        <v>0</v>
      </c>
      <c r="BF97" s="29">
        <f t="shared" ref="BF97" si="137">IF($J$83=0,0,SUM(BF98,BF100)-SUM(BF99,BF101))</f>
        <v>0</v>
      </c>
      <c r="BG97" s="29">
        <f t="shared" ref="BG97" si="138">IF($J$83=0,0,SUM(BG98,BG100)-SUM(BG99,BG101))</f>
        <v>0</v>
      </c>
      <c r="BH97" s="29">
        <f t="shared" ref="BH97" si="139">IF($J$83=0,0,SUM(BH98,BH100)-SUM(BH99,BH101))</f>
        <v>0</v>
      </c>
      <c r="BI97" s="29">
        <f t="shared" ref="BI97" si="140">IF($J$83=0,0,SUM(BI98,BI100)-SUM(BI99,BI101))</f>
        <v>0</v>
      </c>
      <c r="BJ97" s="29">
        <f t="shared" ref="BJ97" si="141">IF($J$83=0,0,SUM(BJ98,BJ100)-SUM(BJ99,BJ101))</f>
        <v>0</v>
      </c>
      <c r="BK97" s="29">
        <f t="shared" ref="BK97" si="142">IF($J$83=0,0,SUM(BK98,BK100)-SUM(BK99,BK101))</f>
        <v>0</v>
      </c>
      <c r="BL97" s="29">
        <f t="shared" ref="BL97" si="143">IF($J$83=0,0,SUM(BL98,BL100)-SUM(BL99,BL101))</f>
        <v>0</v>
      </c>
      <c r="BM97" s="29">
        <f t="shared" ref="BM97" si="144">IF($J$83=0,0,SUM(BM98,BM100)-SUM(BM99,BM101))</f>
        <v>0</v>
      </c>
      <c r="BN97" s="29">
        <f t="shared" ref="BN97" si="145">IF($J$83=0,0,SUM(BN98,BN100)-SUM(BN99,BN101))</f>
        <v>0</v>
      </c>
      <c r="BO97" s="29">
        <f t="shared" ref="BO97" si="146">IF($J$83=0,0,SUM(BO98,BO100)-SUM(BO99,BO101))</f>
        <v>0</v>
      </c>
      <c r="BP97" s="29">
        <f t="shared" ref="BP97" si="147">IF($J$83=0,0,SUM(BP98,BP100)-SUM(BP99,BP101))</f>
        <v>0</v>
      </c>
    </row>
    <row r="98" spans="4:68" outlineLevel="1" x14ac:dyDescent="0.2">
      <c r="D98" s="92" t="s">
        <v>355</v>
      </c>
      <c r="E98" s="80"/>
      <c r="F98" s="80"/>
      <c r="G98" s="80"/>
      <c r="H98" s="80"/>
      <c r="I98" s="80"/>
      <c r="J98" s="80"/>
      <c r="K98" s="80"/>
      <c r="L98" s="436"/>
      <c r="M98" s="466"/>
      <c r="N98" s="467"/>
      <c r="O98" s="467"/>
      <c r="P98" s="467"/>
      <c r="Q98" s="467"/>
      <c r="R98" s="468"/>
      <c r="S98" s="29">
        <f t="shared" ref="S98:AX98" si="148">R58/$J$83+R97</f>
        <v>0</v>
      </c>
      <c r="T98" s="29">
        <f t="shared" si="148"/>
        <v>0</v>
      </c>
      <c r="U98" s="29">
        <f t="shared" si="148"/>
        <v>0</v>
      </c>
      <c r="V98" s="29">
        <f t="shared" si="148"/>
        <v>0</v>
      </c>
      <c r="W98" s="29">
        <f t="shared" si="148"/>
        <v>0</v>
      </c>
      <c r="X98" s="29">
        <f t="shared" si="148"/>
        <v>0</v>
      </c>
      <c r="Y98" s="29">
        <f t="shared" si="148"/>
        <v>0</v>
      </c>
      <c r="Z98" s="29">
        <f t="shared" si="148"/>
        <v>0</v>
      </c>
      <c r="AA98" s="29">
        <f t="shared" si="148"/>
        <v>0</v>
      </c>
      <c r="AB98" s="29">
        <f t="shared" si="148"/>
        <v>0</v>
      </c>
      <c r="AC98" s="29">
        <f t="shared" si="148"/>
        <v>0</v>
      </c>
      <c r="AD98" s="29">
        <f t="shared" si="148"/>
        <v>0</v>
      </c>
      <c r="AE98" s="29">
        <f t="shared" si="148"/>
        <v>0</v>
      </c>
      <c r="AF98" s="29">
        <f t="shared" si="148"/>
        <v>0</v>
      </c>
      <c r="AG98" s="29">
        <f t="shared" si="148"/>
        <v>0</v>
      </c>
      <c r="AH98" s="29">
        <f t="shared" si="148"/>
        <v>0</v>
      </c>
      <c r="AI98" s="29">
        <f t="shared" si="148"/>
        <v>0</v>
      </c>
      <c r="AJ98" s="29">
        <f t="shared" si="148"/>
        <v>0</v>
      </c>
      <c r="AK98" s="29">
        <f t="shared" si="148"/>
        <v>0</v>
      </c>
      <c r="AL98" s="29">
        <f t="shared" si="148"/>
        <v>0</v>
      </c>
      <c r="AM98" s="29">
        <f t="shared" si="148"/>
        <v>0</v>
      </c>
      <c r="AN98" s="29">
        <f t="shared" si="148"/>
        <v>0</v>
      </c>
      <c r="AO98" s="29">
        <f t="shared" si="148"/>
        <v>0</v>
      </c>
      <c r="AP98" s="29">
        <f t="shared" si="148"/>
        <v>0</v>
      </c>
      <c r="AQ98" s="29">
        <f t="shared" si="148"/>
        <v>0</v>
      </c>
      <c r="AR98" s="29">
        <f t="shared" si="148"/>
        <v>0</v>
      </c>
      <c r="AS98" s="29">
        <f t="shared" si="148"/>
        <v>0</v>
      </c>
      <c r="AT98" s="29">
        <f t="shared" si="148"/>
        <v>0</v>
      </c>
      <c r="AU98" s="29">
        <f t="shared" si="148"/>
        <v>0</v>
      </c>
      <c r="AV98" s="29">
        <f t="shared" si="148"/>
        <v>0</v>
      </c>
      <c r="AW98" s="29">
        <f t="shared" si="148"/>
        <v>0</v>
      </c>
      <c r="AX98" s="29">
        <f t="shared" si="148"/>
        <v>0</v>
      </c>
      <c r="AY98" s="29">
        <f t="shared" ref="AY98:BP98" si="149">AX58/$J$83+AX97</f>
        <v>0</v>
      </c>
      <c r="AZ98" s="29">
        <f t="shared" si="149"/>
        <v>0</v>
      </c>
      <c r="BA98" s="29">
        <f t="shared" si="149"/>
        <v>0</v>
      </c>
      <c r="BB98" s="29">
        <f t="shared" si="149"/>
        <v>0</v>
      </c>
      <c r="BC98" s="29">
        <f t="shared" si="149"/>
        <v>0</v>
      </c>
      <c r="BD98" s="29">
        <f t="shared" si="149"/>
        <v>0</v>
      </c>
      <c r="BE98" s="29">
        <f t="shared" si="149"/>
        <v>0</v>
      </c>
      <c r="BF98" s="29">
        <f t="shared" si="149"/>
        <v>0</v>
      </c>
      <c r="BG98" s="29">
        <f t="shared" si="149"/>
        <v>0</v>
      </c>
      <c r="BH98" s="29">
        <f t="shared" si="149"/>
        <v>0</v>
      </c>
      <c r="BI98" s="29">
        <f t="shared" si="149"/>
        <v>0</v>
      </c>
      <c r="BJ98" s="29">
        <f t="shared" si="149"/>
        <v>0</v>
      </c>
      <c r="BK98" s="29">
        <f t="shared" si="149"/>
        <v>0</v>
      </c>
      <c r="BL98" s="29">
        <f t="shared" si="149"/>
        <v>0</v>
      </c>
      <c r="BM98" s="29">
        <f t="shared" si="149"/>
        <v>0</v>
      </c>
      <c r="BN98" s="29">
        <f t="shared" si="149"/>
        <v>0</v>
      </c>
      <c r="BO98" s="29">
        <f t="shared" si="149"/>
        <v>0</v>
      </c>
      <c r="BP98" s="29">
        <f t="shared" si="149"/>
        <v>0</v>
      </c>
    </row>
    <row r="99" spans="4:68" outlineLevel="1" x14ac:dyDescent="0.2">
      <c r="D99" s="92" t="s">
        <v>356</v>
      </c>
      <c r="E99" s="80"/>
      <c r="F99" s="80"/>
      <c r="G99" s="80"/>
      <c r="H99" s="80"/>
      <c r="I99" s="80"/>
      <c r="J99" s="80"/>
      <c r="K99" s="80"/>
      <c r="L99" s="436"/>
      <c r="M99" s="466"/>
      <c r="N99" s="467"/>
      <c r="O99" s="467"/>
      <c r="P99" s="467"/>
      <c r="Q99" s="467"/>
      <c r="R99" s="468"/>
      <c r="S99" s="29">
        <f>IF(S$15-ROUNDDOWN($J$83,0)&lt;0,0,INDEX($R$58:S$58,1,S$15-ROUNDDOWN($J$83,0))/$J$83)</f>
        <v>0</v>
      </c>
      <c r="T99" s="29">
        <f>IF(T$15-ROUNDDOWN($J$83,0)&lt;0,0,INDEX($R$58:T$58,1,T$15-ROUNDDOWN($J$83,0))/$J$83)</f>
        <v>0</v>
      </c>
      <c r="U99" s="29">
        <f>IF(U$15-ROUNDDOWN($J$83,0)&lt;0,0,INDEX($R$58:U$58,1,U$15-ROUNDDOWN($J$83,0))/$J$83)</f>
        <v>0</v>
      </c>
      <c r="V99" s="29">
        <f>IF(V$15-ROUNDDOWN($J$83,0)&lt;0,0,INDEX($R$58:V$58,1,V$15-ROUNDDOWN($J$83,0))/$J$83)</f>
        <v>0</v>
      </c>
      <c r="W99" s="29">
        <f>IF(W$15-ROUNDDOWN($J$83,0)&lt;0,0,INDEX($R$58:W$58,1,W$15-ROUNDDOWN($J$83,0))/$J$83)</f>
        <v>0</v>
      </c>
      <c r="X99" s="29">
        <f>IF(X$15-ROUNDDOWN($J$83,0)&lt;0,0,INDEX($R$58:X$58,1,X$15-ROUNDDOWN($J$83,0))/$J$83)</f>
        <v>0</v>
      </c>
      <c r="Y99" s="29">
        <f>IF(Y$15-ROUNDDOWN($J$83,0)&lt;0,0,INDEX($R$58:Y$58,1,Y$15-ROUNDDOWN($J$83,0))/$J$83)</f>
        <v>0</v>
      </c>
      <c r="Z99" s="29">
        <f>IF(Z$15-ROUNDDOWN($J$83,0)&lt;0,0,INDEX($R$58:Z$58,1,Z$15-ROUNDDOWN($J$83,0))/$J$83)</f>
        <v>0</v>
      </c>
      <c r="AA99" s="29">
        <f>IF(AA$15-ROUNDDOWN($J$83,0)&lt;0,0,INDEX($R$58:AA$58,1,AA$15-ROUNDDOWN($J$83,0))/$J$83)</f>
        <v>0</v>
      </c>
      <c r="AB99" s="29">
        <f>IF(AB$15-ROUNDDOWN($J$83,0)&lt;0,0,INDEX($R$58:AB$58,1,AB$15-ROUNDDOWN($J$83,0))/$J$83)</f>
        <v>0</v>
      </c>
      <c r="AC99" s="29">
        <f>IF(AC$15-ROUNDDOWN($J$83,0)&lt;0,0,INDEX($R$58:AC$58,1,AC$15-ROUNDDOWN($J$83,0))/$J$83)</f>
        <v>0</v>
      </c>
      <c r="AD99" s="29">
        <f>IF(AD$15-ROUNDDOWN($J$83,0)&lt;0,0,INDEX($R$58:AD$58,1,AD$15-ROUNDDOWN($J$83,0))/$J$83)</f>
        <v>0</v>
      </c>
      <c r="AE99" s="29">
        <f>IF(AE$15-ROUNDDOWN($J$83,0)&lt;0,0,INDEX($R$58:AE$58,1,AE$15-ROUNDDOWN($J$83,0))/$J$83)</f>
        <v>0</v>
      </c>
      <c r="AF99" s="29">
        <f>IF(AF$15-ROUNDDOWN($J$83,0)&lt;0,0,INDEX($R$58:AF$58,1,AF$15-ROUNDDOWN($J$83,0))/$J$83)</f>
        <v>0</v>
      </c>
      <c r="AG99" s="29">
        <f>IF(AG$15-ROUNDDOWN($J$83,0)&lt;0,0,INDEX($R$58:AG$58,1,AG$15-ROUNDDOWN($J$83,0))/$J$83)</f>
        <v>0</v>
      </c>
      <c r="AH99" s="29">
        <f>IF(AH$15-ROUNDDOWN($J$83,0)&lt;0,0,INDEX($R$58:AH$58,1,AH$15-ROUNDDOWN($J$83,0))/$J$83)</f>
        <v>0</v>
      </c>
      <c r="AI99" s="29">
        <f>IF(AI$15-ROUNDDOWN($J$83,0)&lt;0,0,INDEX($R$58:AI$58,1,AI$15-ROUNDDOWN($J$83,0))/$J$83)</f>
        <v>0</v>
      </c>
      <c r="AJ99" s="29">
        <f>IF(AJ$15-ROUNDDOWN($J$83,0)&lt;0,0,INDEX($R$58:AJ$58,1,AJ$15-ROUNDDOWN($J$83,0))/$J$83)</f>
        <v>0</v>
      </c>
      <c r="AK99" s="29">
        <f>IF(AK$15-ROUNDDOWN($J$83,0)&lt;0,0,INDEX($R$58:AK$58,1,AK$15-ROUNDDOWN($J$83,0))/$J$83)</f>
        <v>0</v>
      </c>
      <c r="AL99" s="29">
        <f>IF(AL$15-ROUNDDOWN($J$83,0)&lt;0,0,INDEX($R$58:AL$58,1,AL$15-ROUNDDOWN($J$83,0))/$J$83)</f>
        <v>0</v>
      </c>
      <c r="AM99" s="29">
        <f>IF(AM$15-ROUNDDOWN($J$83,0)&lt;0,0,INDEX($R$58:AM$58,1,AM$15-ROUNDDOWN($J$83,0))/$J$83)</f>
        <v>0</v>
      </c>
      <c r="AN99" s="29">
        <f>IF(AN$15-ROUNDDOWN($J$83,0)&lt;0,0,INDEX($R$58:AN$58,1,AN$15-ROUNDDOWN($J$83,0))/$J$83)</f>
        <v>0</v>
      </c>
      <c r="AO99" s="29">
        <f>IF(AO$15-ROUNDDOWN($J$83,0)&lt;0,0,INDEX($R$58:AO$58,1,AO$15-ROUNDDOWN($J$83,0))/$J$83)</f>
        <v>0</v>
      </c>
      <c r="AP99" s="29">
        <f>IF(AP$15-ROUNDDOWN($J$83,0)&lt;0,0,INDEX($R$58:AP$58,1,AP$15-ROUNDDOWN($J$83,0))/$J$83)</f>
        <v>0</v>
      </c>
      <c r="AQ99" s="29">
        <f>IF(AQ$15-ROUNDDOWN($J$83,0)&lt;0,0,INDEX($R$58:AQ$58,1,AQ$15-ROUNDDOWN($J$83,0))/$J$83)</f>
        <v>0</v>
      </c>
      <c r="AR99" s="29">
        <f>IF(AR$15-ROUNDDOWN($J$83,0)&lt;0,0,INDEX($R$58:AR$58,1,AR$15-ROUNDDOWN($J$83,0))/$J$83)</f>
        <v>0</v>
      </c>
      <c r="AS99" s="29">
        <f>IF(AS$15-ROUNDDOWN($J$83,0)&lt;0,0,INDEX($R$58:AS$58,1,AS$15-ROUNDDOWN($J$83,0))/$J$83)</f>
        <v>0</v>
      </c>
      <c r="AT99" s="29">
        <f>IF(AT$15-ROUNDDOWN($J$83,0)&lt;0,0,INDEX($R$58:AT$58,1,AT$15-ROUNDDOWN($J$83,0))/$J$83)</f>
        <v>0</v>
      </c>
      <c r="AU99" s="29">
        <f>IF(AU$15-ROUNDDOWN($J$83,0)&lt;0,0,INDEX($R$58:AU$58,1,AU$15-ROUNDDOWN($J$83,0))/$J$83)</f>
        <v>0</v>
      </c>
      <c r="AV99" s="29">
        <f>IF(AV$15-ROUNDDOWN($J$83,0)&lt;0,0,INDEX($R$58:AV$58,1,AV$15-ROUNDDOWN($J$83,0))/$J$83)</f>
        <v>0</v>
      </c>
      <c r="AW99" s="29">
        <f>IF(AW$15-ROUNDDOWN($J$83,0)&lt;0,0,INDEX($R$58:AW$58,1,AW$15-ROUNDDOWN($J$83,0))/$J$83)</f>
        <v>0</v>
      </c>
      <c r="AX99" s="29">
        <f>IF(AX$15-ROUNDDOWN($J$83,0)&lt;0,0,INDEX($R$58:AX$58,1,AX$15-ROUNDDOWN($J$83,0))/$J$83)</f>
        <v>0</v>
      </c>
      <c r="AY99" s="29">
        <f>IF(AY$15-ROUNDDOWN($J$83,0)&lt;0,0,INDEX($R$58:AY$58,1,AY$15-ROUNDDOWN($J$83,0))/$J$83)</f>
        <v>0</v>
      </c>
      <c r="AZ99" s="29">
        <f>IF(AZ$15-ROUNDDOWN($J$83,0)&lt;0,0,INDEX($R$58:AZ$58,1,AZ$15-ROUNDDOWN($J$83,0))/$J$83)</f>
        <v>0</v>
      </c>
      <c r="BA99" s="29">
        <f>IF(BA$15-ROUNDDOWN($J$83,0)&lt;0,0,INDEX($R$58:BA$58,1,BA$15-ROUNDDOWN($J$83,0))/$J$83)</f>
        <v>0</v>
      </c>
      <c r="BB99" s="29">
        <f>IF(BB$15-ROUNDDOWN($J$83,0)&lt;0,0,INDEX($R$58:BB$58,1,BB$15-ROUNDDOWN($J$83,0))/$J$83)</f>
        <v>0</v>
      </c>
      <c r="BC99" s="29">
        <f>IF(BC$15-ROUNDDOWN($J$83,0)&lt;0,0,INDEX($R$58:BC$58,1,BC$15-ROUNDDOWN($J$83,0))/$J$83)</f>
        <v>0</v>
      </c>
      <c r="BD99" s="29">
        <f>IF(BD$15-ROUNDDOWN($J$83,0)&lt;0,0,INDEX($R$58:BD$58,1,BD$15-ROUNDDOWN($J$83,0))/$J$83)</f>
        <v>0</v>
      </c>
      <c r="BE99" s="29">
        <f>IF(BE$15-ROUNDDOWN($J$83,0)&lt;0,0,INDEX($R$58:BE$58,1,BE$15-ROUNDDOWN($J$83,0))/$J$83)</f>
        <v>0</v>
      </c>
      <c r="BF99" s="29">
        <f>IF(BF$15-ROUNDDOWN($J$83,0)&lt;0,0,INDEX($R$58:BF$58,1,BF$15-ROUNDDOWN($J$83,0))/$J$83)</f>
        <v>0</v>
      </c>
      <c r="BG99" s="29">
        <f>IF(BG$15-ROUNDDOWN($J$83,0)&lt;0,0,INDEX($R$58:BG$58,1,BG$15-ROUNDDOWN($J$83,0))/$J$83)</f>
        <v>0</v>
      </c>
      <c r="BH99" s="29">
        <f>IF(BH$15-ROUNDDOWN($J$83,0)&lt;0,0,INDEX($R$58:BH$58,1,BH$15-ROUNDDOWN($J$83,0))/$J$83)</f>
        <v>0</v>
      </c>
      <c r="BI99" s="29">
        <f>IF(BI$15-ROUNDDOWN($J$83,0)&lt;0,0,INDEX($R$58:BI$58,1,BI$15-ROUNDDOWN($J$83,0))/$J$83)</f>
        <v>0</v>
      </c>
      <c r="BJ99" s="29">
        <f>IF(BJ$15-ROUNDDOWN($J$83,0)&lt;0,0,INDEX($R$58:BJ$58,1,BJ$15-ROUNDDOWN($J$83,0))/$J$83)</f>
        <v>0</v>
      </c>
      <c r="BK99" s="29">
        <f>IF(BK$15-ROUNDDOWN($J$83,0)&lt;0,0,INDEX($R$58:BK$58,1,BK$15-ROUNDDOWN($J$83,0))/$J$83)</f>
        <v>0</v>
      </c>
      <c r="BL99" s="29">
        <f>IF(BL$15-ROUNDDOWN($J$83,0)&lt;0,0,INDEX($R$58:BL$58,1,BL$15-ROUNDDOWN($J$83,0))/$J$83)</f>
        <v>0</v>
      </c>
      <c r="BM99" s="29">
        <f>IF(BM$15-ROUNDDOWN($J$83,0)&lt;0,0,INDEX($R$58:BM$58,1,BM$15-ROUNDDOWN($J$83,0))/$J$83)</f>
        <v>0</v>
      </c>
      <c r="BN99" s="29">
        <f>IF(BN$15-ROUNDDOWN($J$83,0)&lt;0,0,INDEX($R$58:BN$58,1,BN$15-ROUNDDOWN($J$83,0))/$J$83)</f>
        <v>0</v>
      </c>
      <c r="BO99" s="29">
        <f>IF(BO$15-ROUNDDOWN($J$83,0)&lt;0,0,INDEX($R$58:BO$58,1,BO$15-ROUNDDOWN($J$83,0))/$J$83)</f>
        <v>0</v>
      </c>
      <c r="BP99" s="29">
        <f>IF(BP$15-ROUNDDOWN($J$83,0)&lt;0,0,INDEX($R$58:BP$58,1,BP$15-ROUNDDOWN($J$83,0))/$J$83)</f>
        <v>0</v>
      </c>
    </row>
    <row r="100" spans="4:68" outlineLevel="1" x14ac:dyDescent="0.2">
      <c r="D100" s="92" t="s">
        <v>357</v>
      </c>
      <c r="E100" s="80"/>
      <c r="F100" s="80"/>
      <c r="G100" s="80"/>
      <c r="H100" s="80"/>
      <c r="I100" s="80"/>
      <c r="J100" s="80"/>
      <c r="K100" s="80"/>
      <c r="L100" s="436"/>
      <c r="M100" s="466"/>
      <c r="N100" s="467"/>
      <c r="O100" s="467"/>
      <c r="P100" s="467"/>
      <c r="Q100" s="467"/>
      <c r="R100" s="468"/>
      <c r="S100" s="29">
        <f>IF(S$15-ROUNDDOWN($J$83,0)&lt;0,0,INDEX($R$58:S$58,1,S$15-ROUNDDOWN($J$83,0))*MOD($J$83,1)/$J$83)</f>
        <v>0</v>
      </c>
      <c r="T100" s="29">
        <f>IF(T$15-ROUNDDOWN($J$83,0)&lt;0,0,INDEX($R$58:T$58,1,T$15-ROUNDDOWN($J$83,0))*MOD($J$83,1)/$J$83)</f>
        <v>0</v>
      </c>
      <c r="U100" s="29">
        <f>IF(U$15-ROUNDDOWN($J$83,0)&lt;0,0,INDEX($R$58:U$58,1,U$15-ROUNDDOWN($J$83,0))*MOD($J$83,1)/$J$83)</f>
        <v>0</v>
      </c>
      <c r="V100" s="29">
        <f>IF(V$15-ROUNDDOWN($J$83,0)&lt;0,0,INDEX($R$58:V$58,1,V$15-ROUNDDOWN($J$83,0))*MOD($J$83,1)/$J$83)</f>
        <v>0</v>
      </c>
      <c r="W100" s="29">
        <f>IF(W$15-ROUNDDOWN($J$83,0)&lt;0,0,INDEX($R$58:W$58,1,W$15-ROUNDDOWN($J$83,0))*MOD($J$83,1)/$J$83)</f>
        <v>0</v>
      </c>
      <c r="X100" s="29">
        <f>IF(X$15-ROUNDDOWN($J$83,0)&lt;0,0,INDEX($R$58:X$58,1,X$15-ROUNDDOWN($J$83,0))*MOD($J$83,1)/$J$83)</f>
        <v>0</v>
      </c>
      <c r="Y100" s="29">
        <f>IF(Y$15-ROUNDDOWN($J$83,0)&lt;0,0,INDEX($R$58:Y$58,1,Y$15-ROUNDDOWN($J$83,0))*MOD($J$83,1)/$J$83)</f>
        <v>0</v>
      </c>
      <c r="Z100" s="29">
        <f>IF(Z$15-ROUNDDOWN($J$83,0)&lt;0,0,INDEX($R$58:Z$58,1,Z$15-ROUNDDOWN($J$83,0))*MOD($J$83,1)/$J$83)</f>
        <v>0</v>
      </c>
      <c r="AA100" s="29">
        <f>IF(AA$15-ROUNDDOWN($J$83,0)&lt;0,0,INDEX($R$58:AA$58,1,AA$15-ROUNDDOWN($J$83,0))*MOD($J$83,1)/$J$83)</f>
        <v>0</v>
      </c>
      <c r="AB100" s="29">
        <f>IF(AB$15-ROUNDDOWN($J$83,0)&lt;0,0,INDEX($R$58:AB$58,1,AB$15-ROUNDDOWN($J$83,0))*MOD($J$83,1)/$J$83)</f>
        <v>0</v>
      </c>
      <c r="AC100" s="29">
        <f>IF(AC$15-ROUNDDOWN($J$83,0)&lt;0,0,INDEX($R$58:AC$58,1,AC$15-ROUNDDOWN($J$83,0))*MOD($J$83,1)/$J$83)</f>
        <v>0</v>
      </c>
      <c r="AD100" s="29">
        <f>IF(AD$15-ROUNDDOWN($J$83,0)&lt;0,0,INDEX($R$58:AD$58,1,AD$15-ROUNDDOWN($J$83,0))*MOD($J$83,1)/$J$83)</f>
        <v>0</v>
      </c>
      <c r="AE100" s="29">
        <f>IF(AE$15-ROUNDDOWN($J$83,0)&lt;0,0,INDEX($R$58:AE$58,1,AE$15-ROUNDDOWN($J$83,0))*MOD($J$83,1)/$J$83)</f>
        <v>0</v>
      </c>
      <c r="AF100" s="29">
        <f>IF(AF$15-ROUNDDOWN($J$83,0)&lt;0,0,INDEX($R$58:AF$58,1,AF$15-ROUNDDOWN($J$83,0))*MOD($J$83,1)/$J$83)</f>
        <v>0</v>
      </c>
      <c r="AG100" s="29">
        <f>IF(AG$15-ROUNDDOWN($J$83,0)&lt;0,0,INDEX($R$58:AG$58,1,AG$15-ROUNDDOWN($J$83,0))*MOD($J$83,1)/$J$83)</f>
        <v>0</v>
      </c>
      <c r="AH100" s="29">
        <f>IF(AH$15-ROUNDDOWN($J$83,0)&lt;0,0,INDEX($R$58:AH$58,1,AH$15-ROUNDDOWN($J$83,0))*MOD($J$83,1)/$J$83)</f>
        <v>0</v>
      </c>
      <c r="AI100" s="29">
        <f>IF(AI$15-ROUNDDOWN($J$83,0)&lt;0,0,INDEX($R$58:AI$58,1,AI$15-ROUNDDOWN($J$83,0))*MOD($J$83,1)/$J$83)</f>
        <v>0</v>
      </c>
      <c r="AJ100" s="29">
        <f>IF(AJ$15-ROUNDDOWN($J$83,0)&lt;0,0,INDEX($R$58:AJ$58,1,AJ$15-ROUNDDOWN($J$83,0))*MOD($J$83,1)/$J$83)</f>
        <v>0</v>
      </c>
      <c r="AK100" s="29">
        <f>IF(AK$15-ROUNDDOWN($J$83,0)&lt;0,0,INDEX($R$58:AK$58,1,AK$15-ROUNDDOWN($J$83,0))*MOD($J$83,1)/$J$83)</f>
        <v>0</v>
      </c>
      <c r="AL100" s="29">
        <f>IF(AL$15-ROUNDDOWN($J$83,0)&lt;0,0,INDEX($R$58:AL$58,1,AL$15-ROUNDDOWN($J$83,0))*MOD($J$83,1)/$J$83)</f>
        <v>0</v>
      </c>
      <c r="AM100" s="29">
        <f>IF(AM$15-ROUNDDOWN($J$83,0)&lt;0,0,INDEX($R$58:AM$58,1,AM$15-ROUNDDOWN($J$83,0))*MOD($J$83,1)/$J$83)</f>
        <v>0</v>
      </c>
      <c r="AN100" s="29">
        <f>IF(AN$15-ROUNDDOWN($J$83,0)&lt;0,0,INDEX($R$58:AN$58,1,AN$15-ROUNDDOWN($J$83,0))*MOD($J$83,1)/$J$83)</f>
        <v>0</v>
      </c>
      <c r="AO100" s="29">
        <f>IF(AO$15-ROUNDDOWN($J$83,0)&lt;0,0,INDEX($R$58:AO$58,1,AO$15-ROUNDDOWN($J$83,0))*MOD($J$83,1)/$J$83)</f>
        <v>0</v>
      </c>
      <c r="AP100" s="29">
        <f>IF(AP$15-ROUNDDOWN($J$83,0)&lt;0,0,INDEX($R$58:AP$58,1,AP$15-ROUNDDOWN($J$83,0))*MOD($J$83,1)/$J$83)</f>
        <v>0</v>
      </c>
      <c r="AQ100" s="29">
        <f>IF(AQ$15-ROUNDDOWN($J$83,0)&lt;0,0,INDEX($R$58:AQ$58,1,AQ$15-ROUNDDOWN($J$83,0))*MOD($J$83,1)/$J$83)</f>
        <v>0</v>
      </c>
      <c r="AR100" s="29">
        <f>IF(AR$15-ROUNDDOWN($J$83,0)&lt;0,0,INDEX($R$58:AR$58,1,AR$15-ROUNDDOWN($J$83,0))*MOD($J$83,1)/$J$83)</f>
        <v>0</v>
      </c>
      <c r="AS100" s="29">
        <f>IF(AS$15-ROUNDDOWN($J$83,0)&lt;0,0,INDEX($R$58:AS$58,1,AS$15-ROUNDDOWN($J$83,0))*MOD($J$83,1)/$J$83)</f>
        <v>0</v>
      </c>
      <c r="AT100" s="29">
        <f>IF(AT$15-ROUNDDOWN($J$83,0)&lt;0,0,INDEX($R$58:AT$58,1,AT$15-ROUNDDOWN($J$83,0))*MOD($J$83,1)/$J$83)</f>
        <v>0</v>
      </c>
      <c r="AU100" s="29">
        <f>IF(AU$15-ROUNDDOWN($J$83,0)&lt;0,0,INDEX($R$58:AU$58,1,AU$15-ROUNDDOWN($J$83,0))*MOD($J$83,1)/$J$83)</f>
        <v>0</v>
      </c>
      <c r="AV100" s="29">
        <f>IF(AV$15-ROUNDDOWN($J$83,0)&lt;0,0,INDEX($R$58:AV$58,1,AV$15-ROUNDDOWN($J$83,0))*MOD($J$83,1)/$J$83)</f>
        <v>0</v>
      </c>
      <c r="AW100" s="29">
        <f>IF(AW$15-ROUNDDOWN($J$83,0)&lt;0,0,INDEX($R$58:AW$58,1,AW$15-ROUNDDOWN($J$83,0))*MOD($J$83,1)/$J$83)</f>
        <v>0</v>
      </c>
      <c r="AX100" s="29">
        <f>IF(AX$15-ROUNDDOWN($J$83,0)&lt;0,0,INDEX($R$58:AX$58,1,AX$15-ROUNDDOWN($J$83,0))*MOD($J$83,1)/$J$83)</f>
        <v>0</v>
      </c>
      <c r="AY100" s="29">
        <f>IF(AY$15-ROUNDDOWN($J$83,0)&lt;0,0,INDEX($R$58:AY$58,1,AY$15-ROUNDDOWN($J$83,0))*MOD($J$83,1)/$J$83)</f>
        <v>0</v>
      </c>
      <c r="AZ100" s="29">
        <f>IF(AZ$15-ROUNDDOWN($J$83,0)&lt;0,0,INDEX($R$58:AZ$58,1,AZ$15-ROUNDDOWN($J$83,0))*MOD($J$83,1)/$J$83)</f>
        <v>0</v>
      </c>
      <c r="BA100" s="29">
        <f>IF(BA$15-ROUNDDOWN($J$83,0)&lt;0,0,INDEX($R$58:BA$58,1,BA$15-ROUNDDOWN($J$83,0))*MOD($J$83,1)/$J$83)</f>
        <v>0</v>
      </c>
      <c r="BB100" s="29">
        <f>IF(BB$15-ROUNDDOWN($J$83,0)&lt;0,0,INDEX($R$58:BB$58,1,BB$15-ROUNDDOWN($J$83,0))*MOD($J$83,1)/$J$83)</f>
        <v>0</v>
      </c>
      <c r="BC100" s="29">
        <f>IF(BC$15-ROUNDDOWN($J$83,0)&lt;0,0,INDEX($R$58:BC$58,1,BC$15-ROUNDDOWN($J$83,0))*MOD($J$83,1)/$J$83)</f>
        <v>0</v>
      </c>
      <c r="BD100" s="29">
        <f>IF(BD$15-ROUNDDOWN($J$83,0)&lt;0,0,INDEX($R$58:BD$58,1,BD$15-ROUNDDOWN($J$83,0))*MOD($J$83,1)/$J$83)</f>
        <v>0</v>
      </c>
      <c r="BE100" s="29">
        <f>IF(BE$15-ROUNDDOWN($J$83,0)&lt;0,0,INDEX($R$58:BE$58,1,BE$15-ROUNDDOWN($J$83,0))*MOD($J$83,1)/$J$83)</f>
        <v>0</v>
      </c>
      <c r="BF100" s="29">
        <f>IF(BF$15-ROUNDDOWN($J$83,0)&lt;0,0,INDEX($R$58:BF$58,1,BF$15-ROUNDDOWN($J$83,0))*MOD($J$83,1)/$J$83)</f>
        <v>0</v>
      </c>
      <c r="BG100" s="29">
        <f>IF(BG$15-ROUNDDOWN($J$83,0)&lt;0,0,INDEX($R$58:BG$58,1,BG$15-ROUNDDOWN($J$83,0))*MOD($J$83,1)/$J$83)</f>
        <v>0</v>
      </c>
      <c r="BH100" s="29">
        <f>IF(BH$15-ROUNDDOWN($J$83,0)&lt;0,0,INDEX($R$58:BH$58,1,BH$15-ROUNDDOWN($J$83,0))*MOD($J$83,1)/$J$83)</f>
        <v>0</v>
      </c>
      <c r="BI100" s="29">
        <f>IF(BI$15-ROUNDDOWN($J$83,0)&lt;0,0,INDEX($R$58:BI$58,1,BI$15-ROUNDDOWN($J$83,0))*MOD($J$83,1)/$J$83)</f>
        <v>0</v>
      </c>
      <c r="BJ100" s="29">
        <f>IF(BJ$15-ROUNDDOWN($J$83,0)&lt;0,0,INDEX($R$58:BJ$58,1,BJ$15-ROUNDDOWN($J$83,0))*MOD($J$83,1)/$J$83)</f>
        <v>0</v>
      </c>
      <c r="BK100" s="29">
        <f>IF(BK$15-ROUNDDOWN($J$83,0)&lt;0,0,INDEX($R$58:BK$58,1,BK$15-ROUNDDOWN($J$83,0))*MOD($J$83,1)/$J$83)</f>
        <v>0</v>
      </c>
      <c r="BL100" s="29">
        <f>IF(BL$15-ROUNDDOWN($J$83,0)&lt;0,0,INDEX($R$58:BL$58,1,BL$15-ROUNDDOWN($J$83,0))*MOD($J$83,1)/$J$83)</f>
        <v>0</v>
      </c>
      <c r="BM100" s="29">
        <f>IF(BM$15-ROUNDDOWN($J$83,0)&lt;0,0,INDEX($R$58:BM$58,1,BM$15-ROUNDDOWN($J$83,0))*MOD($J$83,1)/$J$83)</f>
        <v>0</v>
      </c>
      <c r="BN100" s="29">
        <f>IF(BN$15-ROUNDDOWN($J$83,0)&lt;0,0,INDEX($R$58:BN$58,1,BN$15-ROUNDDOWN($J$83,0))*MOD($J$83,1)/$J$83)</f>
        <v>0</v>
      </c>
      <c r="BO100" s="29">
        <f>IF(BO$15-ROUNDDOWN($J$83,0)&lt;0,0,INDEX($R$58:BO$58,1,BO$15-ROUNDDOWN($J$83,0))*MOD($J$83,1)/$J$83)</f>
        <v>0</v>
      </c>
      <c r="BP100" s="29">
        <f>IF(BP$15-ROUNDDOWN($J$83,0)&lt;0,0,INDEX($R$58:BP$58,1,BP$15-ROUNDDOWN($J$83,0))*MOD($J$83,1)/$J$83)</f>
        <v>0</v>
      </c>
    </row>
    <row r="101" spans="4:68" outlineLevel="1" x14ac:dyDescent="0.2">
      <c r="D101" s="92" t="s">
        <v>358</v>
      </c>
      <c r="E101" s="80"/>
      <c r="F101" s="80"/>
      <c r="G101" s="80"/>
      <c r="H101" s="80"/>
      <c r="I101" s="80"/>
      <c r="J101" s="80"/>
      <c r="K101" s="80"/>
      <c r="L101" s="436"/>
      <c r="M101" s="466"/>
      <c r="N101" s="467"/>
      <c r="O101" s="467"/>
      <c r="P101" s="467"/>
      <c r="Q101" s="467"/>
      <c r="R101" s="468"/>
      <c r="S101" s="29">
        <f>R100</f>
        <v>0</v>
      </c>
      <c r="T101" s="29">
        <f t="shared" ref="T101:BP101" si="150">S100</f>
        <v>0</v>
      </c>
      <c r="U101" s="29">
        <f t="shared" si="150"/>
        <v>0</v>
      </c>
      <c r="V101" s="29">
        <f t="shared" si="150"/>
        <v>0</v>
      </c>
      <c r="W101" s="29">
        <f t="shared" si="150"/>
        <v>0</v>
      </c>
      <c r="X101" s="29">
        <f t="shared" si="150"/>
        <v>0</v>
      </c>
      <c r="Y101" s="29">
        <f t="shared" si="150"/>
        <v>0</v>
      </c>
      <c r="Z101" s="29">
        <f t="shared" si="150"/>
        <v>0</v>
      </c>
      <c r="AA101" s="29">
        <f t="shared" si="150"/>
        <v>0</v>
      </c>
      <c r="AB101" s="29">
        <f t="shared" si="150"/>
        <v>0</v>
      </c>
      <c r="AC101" s="29">
        <f t="shared" si="150"/>
        <v>0</v>
      </c>
      <c r="AD101" s="29">
        <f t="shared" si="150"/>
        <v>0</v>
      </c>
      <c r="AE101" s="29">
        <f t="shared" si="150"/>
        <v>0</v>
      </c>
      <c r="AF101" s="29">
        <f t="shared" si="150"/>
        <v>0</v>
      </c>
      <c r="AG101" s="29">
        <f t="shared" si="150"/>
        <v>0</v>
      </c>
      <c r="AH101" s="29">
        <f t="shared" si="150"/>
        <v>0</v>
      </c>
      <c r="AI101" s="29">
        <f t="shared" si="150"/>
        <v>0</v>
      </c>
      <c r="AJ101" s="29">
        <f t="shared" si="150"/>
        <v>0</v>
      </c>
      <c r="AK101" s="29">
        <f t="shared" si="150"/>
        <v>0</v>
      </c>
      <c r="AL101" s="29">
        <f t="shared" si="150"/>
        <v>0</v>
      </c>
      <c r="AM101" s="29">
        <f t="shared" si="150"/>
        <v>0</v>
      </c>
      <c r="AN101" s="29">
        <f t="shared" si="150"/>
        <v>0</v>
      </c>
      <c r="AO101" s="29">
        <f t="shared" si="150"/>
        <v>0</v>
      </c>
      <c r="AP101" s="29">
        <f t="shared" si="150"/>
        <v>0</v>
      </c>
      <c r="AQ101" s="29">
        <f t="shared" si="150"/>
        <v>0</v>
      </c>
      <c r="AR101" s="29">
        <f t="shared" si="150"/>
        <v>0</v>
      </c>
      <c r="AS101" s="29">
        <f t="shared" si="150"/>
        <v>0</v>
      </c>
      <c r="AT101" s="29">
        <f t="shared" si="150"/>
        <v>0</v>
      </c>
      <c r="AU101" s="29">
        <f t="shared" si="150"/>
        <v>0</v>
      </c>
      <c r="AV101" s="29">
        <f t="shared" si="150"/>
        <v>0</v>
      </c>
      <c r="AW101" s="29">
        <f t="shared" si="150"/>
        <v>0</v>
      </c>
      <c r="AX101" s="29">
        <f t="shared" si="150"/>
        <v>0</v>
      </c>
      <c r="AY101" s="29">
        <f t="shared" si="150"/>
        <v>0</v>
      </c>
      <c r="AZ101" s="29">
        <f t="shared" si="150"/>
        <v>0</v>
      </c>
      <c r="BA101" s="29">
        <f t="shared" si="150"/>
        <v>0</v>
      </c>
      <c r="BB101" s="29">
        <f t="shared" si="150"/>
        <v>0</v>
      </c>
      <c r="BC101" s="29">
        <f t="shared" si="150"/>
        <v>0</v>
      </c>
      <c r="BD101" s="29">
        <f t="shared" si="150"/>
        <v>0</v>
      </c>
      <c r="BE101" s="29">
        <f t="shared" si="150"/>
        <v>0</v>
      </c>
      <c r="BF101" s="29">
        <f t="shared" si="150"/>
        <v>0</v>
      </c>
      <c r="BG101" s="29">
        <f t="shared" si="150"/>
        <v>0</v>
      </c>
      <c r="BH101" s="29">
        <f t="shared" si="150"/>
        <v>0</v>
      </c>
      <c r="BI101" s="29">
        <f t="shared" si="150"/>
        <v>0</v>
      </c>
      <c r="BJ101" s="29">
        <f t="shared" si="150"/>
        <v>0</v>
      </c>
      <c r="BK101" s="29">
        <f t="shared" si="150"/>
        <v>0</v>
      </c>
      <c r="BL101" s="29">
        <f t="shared" si="150"/>
        <v>0</v>
      </c>
      <c r="BM101" s="29">
        <f t="shared" si="150"/>
        <v>0</v>
      </c>
      <c r="BN101" s="29">
        <f t="shared" si="150"/>
        <v>0</v>
      </c>
      <c r="BO101" s="29">
        <f t="shared" si="150"/>
        <v>0</v>
      </c>
      <c r="BP101" s="29">
        <f t="shared" si="150"/>
        <v>0</v>
      </c>
    </row>
    <row r="102" spans="4:68" outlineLevel="1" x14ac:dyDescent="0.2">
      <c r="D102" s="80"/>
      <c r="E102" s="80"/>
      <c r="F102" s="80"/>
      <c r="G102" s="80"/>
      <c r="H102" s="80"/>
      <c r="I102" s="80"/>
      <c r="J102" s="80"/>
      <c r="K102" s="80"/>
      <c r="L102" s="412"/>
      <c r="M102" s="413"/>
      <c r="N102" s="80"/>
      <c r="O102" s="80"/>
      <c r="P102" s="80"/>
      <c r="Q102" s="80"/>
      <c r="R102" s="83"/>
      <c r="S102" s="80"/>
      <c r="T102" s="83"/>
      <c r="U102" s="80"/>
      <c r="V102" s="80"/>
      <c r="W102" s="80"/>
      <c r="X102" s="80"/>
      <c r="Y102" s="80"/>
      <c r="Z102" s="80"/>
      <c r="AA102" s="80"/>
      <c r="AB102" s="80"/>
      <c r="AC102" s="80"/>
      <c r="AD102" s="80"/>
      <c r="AE102" s="80"/>
      <c r="AF102" s="80"/>
      <c r="AG102" s="80"/>
      <c r="AH102" s="80"/>
      <c r="AI102" s="80"/>
      <c r="AJ102" s="80"/>
      <c r="AK102" s="80"/>
      <c r="AL102" s="80"/>
      <c r="AM102" s="80"/>
      <c r="AN102" s="80"/>
      <c r="AO102" s="80"/>
      <c r="AP102" s="80"/>
      <c r="AQ102" s="80"/>
      <c r="AR102" s="80"/>
      <c r="AS102" s="80"/>
      <c r="AT102" s="80"/>
      <c r="AU102" s="80"/>
      <c r="AV102" s="80"/>
      <c r="AW102" s="80"/>
      <c r="AX102" s="80"/>
      <c r="AY102" s="80"/>
      <c r="AZ102" s="80"/>
      <c r="BA102" s="80"/>
      <c r="BB102" s="80"/>
      <c r="BC102" s="80"/>
      <c r="BD102" s="80"/>
      <c r="BE102" s="80"/>
      <c r="BF102" s="80"/>
      <c r="BG102" s="80"/>
      <c r="BH102" s="80"/>
      <c r="BI102" s="80"/>
      <c r="BJ102" s="80"/>
      <c r="BK102" s="80"/>
      <c r="BL102" s="80"/>
      <c r="BM102" s="80"/>
      <c r="BN102" s="80"/>
      <c r="BO102" s="80"/>
      <c r="BP102" s="80"/>
    </row>
    <row r="103" spans="4:68" outlineLevel="1" x14ac:dyDescent="0.2">
      <c r="D103" s="66" t="s">
        <v>359</v>
      </c>
      <c r="E103" s="80"/>
      <c r="F103" s="80"/>
      <c r="G103" s="80"/>
      <c r="H103" s="80"/>
      <c r="I103" s="80"/>
      <c r="J103" s="80"/>
      <c r="K103" s="80"/>
      <c r="L103" s="436">
        <f>SUM(R103:BP103)</f>
        <v>0</v>
      </c>
      <c r="M103" s="466"/>
      <c r="N103" s="467"/>
      <c r="O103" s="467"/>
      <c r="P103" s="467"/>
      <c r="Q103" s="467"/>
      <c r="R103" s="468"/>
      <c r="S103" s="384"/>
      <c r="T103" s="384"/>
      <c r="U103" s="384"/>
      <c r="V103" s="384"/>
      <c r="W103" s="384"/>
      <c r="X103" s="384"/>
      <c r="Y103" s="384"/>
      <c r="Z103" s="384"/>
      <c r="AA103" s="384"/>
      <c r="AB103" s="384"/>
      <c r="AC103" s="384"/>
      <c r="AD103" s="384"/>
      <c r="AE103" s="384"/>
      <c r="AF103" s="384"/>
      <c r="AG103" s="384"/>
      <c r="AH103" s="384"/>
      <c r="AI103" s="384"/>
      <c r="AJ103" s="384"/>
      <c r="AK103" s="384"/>
      <c r="AL103" s="384"/>
      <c r="AM103" s="384"/>
      <c r="AN103" s="384"/>
      <c r="AO103" s="384"/>
      <c r="AP103" s="384"/>
      <c r="AQ103" s="384"/>
      <c r="AR103" s="384"/>
      <c r="AS103" s="384"/>
      <c r="AT103" s="384"/>
      <c r="AU103" s="384"/>
      <c r="AV103" s="384"/>
      <c r="AW103" s="384"/>
      <c r="AX103" s="384"/>
      <c r="AY103" s="384"/>
      <c r="AZ103" s="384"/>
      <c r="BA103" s="384"/>
      <c r="BB103" s="384"/>
      <c r="BC103" s="384"/>
      <c r="BD103" s="384"/>
      <c r="BE103" s="384"/>
      <c r="BF103" s="384"/>
      <c r="BG103" s="384"/>
      <c r="BH103" s="384"/>
      <c r="BI103" s="384"/>
      <c r="BJ103" s="384"/>
      <c r="BK103" s="384"/>
      <c r="BL103" s="384"/>
      <c r="BM103" s="384"/>
      <c r="BN103" s="384"/>
      <c r="BO103" s="384"/>
      <c r="BP103" s="384"/>
    </row>
    <row r="104" spans="4:68" outlineLevel="1" x14ac:dyDescent="0.2">
      <c r="D104" s="92" t="s">
        <v>360</v>
      </c>
      <c r="E104" s="80"/>
      <c r="F104" s="80"/>
      <c r="G104" s="80"/>
      <c r="H104" s="80"/>
      <c r="I104" s="80"/>
      <c r="J104" s="80"/>
      <c r="K104" s="80"/>
      <c r="L104" s="436"/>
      <c r="M104" s="466"/>
      <c r="N104" s="467"/>
      <c r="O104" s="467"/>
      <c r="P104" s="467"/>
      <c r="Q104" s="467"/>
      <c r="R104" s="468"/>
      <c r="S104" s="384"/>
      <c r="T104" s="384"/>
      <c r="U104" s="384"/>
      <c r="V104" s="384"/>
      <c r="W104" s="384"/>
      <c r="X104" s="384"/>
      <c r="Y104" s="384"/>
      <c r="Z104" s="384"/>
      <c r="AA104" s="384"/>
      <c r="AB104" s="384"/>
      <c r="AC104" s="384"/>
      <c r="AD104" s="384"/>
      <c r="AE104" s="384"/>
      <c r="AF104" s="384"/>
      <c r="AG104" s="384"/>
      <c r="AH104" s="384"/>
      <c r="AI104" s="384"/>
      <c r="AJ104" s="384"/>
      <c r="AK104" s="384"/>
      <c r="AL104" s="384"/>
      <c r="AM104" s="384"/>
      <c r="AN104" s="384"/>
      <c r="AO104" s="384"/>
      <c r="AP104" s="384"/>
      <c r="AQ104" s="384"/>
      <c r="AR104" s="384"/>
      <c r="AS104" s="384"/>
      <c r="AT104" s="384"/>
      <c r="AU104" s="384"/>
      <c r="AV104" s="384"/>
      <c r="AW104" s="384"/>
      <c r="AX104" s="384"/>
      <c r="AY104" s="384"/>
      <c r="AZ104" s="384"/>
      <c r="BA104" s="384"/>
      <c r="BB104" s="384"/>
      <c r="BC104" s="384"/>
      <c r="BD104" s="384"/>
      <c r="BE104" s="384"/>
      <c r="BF104" s="384"/>
      <c r="BG104" s="384"/>
      <c r="BH104" s="384"/>
      <c r="BI104" s="384"/>
      <c r="BJ104" s="384"/>
      <c r="BK104" s="384"/>
      <c r="BL104" s="384"/>
      <c r="BM104" s="384"/>
      <c r="BN104" s="384"/>
      <c r="BO104" s="384"/>
      <c r="BP104" s="384"/>
    </row>
    <row r="105" spans="4:68" outlineLevel="1" x14ac:dyDescent="0.2">
      <c r="D105" s="92" t="s">
        <v>361</v>
      </c>
      <c r="E105" s="80"/>
      <c r="F105" s="80"/>
      <c r="G105" s="80"/>
      <c r="H105" s="80"/>
      <c r="I105" s="80"/>
      <c r="J105" s="80"/>
      <c r="K105" s="80"/>
      <c r="L105" s="436"/>
      <c r="M105" s="466"/>
      <c r="N105" s="467"/>
      <c r="O105" s="467"/>
      <c r="P105" s="467"/>
      <c r="Q105" s="467"/>
      <c r="R105" s="468"/>
      <c r="S105" s="384"/>
      <c r="T105" s="384"/>
      <c r="U105" s="384"/>
      <c r="V105" s="384"/>
      <c r="W105" s="384"/>
      <c r="X105" s="384"/>
      <c r="Y105" s="384"/>
      <c r="Z105" s="384"/>
      <c r="AA105" s="384"/>
      <c r="AB105" s="384"/>
      <c r="AC105" s="384"/>
      <c r="AD105" s="384"/>
      <c r="AE105" s="384"/>
      <c r="AF105" s="384"/>
      <c r="AG105" s="384"/>
      <c r="AH105" s="384"/>
      <c r="AI105" s="384"/>
      <c r="AJ105" s="384"/>
      <c r="AK105" s="384"/>
      <c r="AL105" s="384"/>
      <c r="AM105" s="384"/>
      <c r="AN105" s="384"/>
      <c r="AO105" s="384"/>
      <c r="AP105" s="384"/>
      <c r="AQ105" s="384"/>
      <c r="AR105" s="384"/>
      <c r="AS105" s="384"/>
      <c r="AT105" s="384"/>
      <c r="AU105" s="384"/>
      <c r="AV105" s="384"/>
      <c r="AW105" s="384"/>
      <c r="AX105" s="384"/>
      <c r="AY105" s="384"/>
      <c r="AZ105" s="384"/>
      <c r="BA105" s="384"/>
      <c r="BB105" s="384"/>
      <c r="BC105" s="384"/>
      <c r="BD105" s="384"/>
      <c r="BE105" s="384"/>
      <c r="BF105" s="384"/>
      <c r="BG105" s="384"/>
      <c r="BH105" s="384"/>
      <c r="BI105" s="384"/>
      <c r="BJ105" s="384"/>
      <c r="BK105" s="384"/>
      <c r="BL105" s="384"/>
      <c r="BM105" s="384"/>
      <c r="BN105" s="384"/>
      <c r="BO105" s="384"/>
      <c r="BP105" s="384"/>
    </row>
    <row r="106" spans="4:68" outlineLevel="1" x14ac:dyDescent="0.2">
      <c r="D106" s="92" t="s">
        <v>362</v>
      </c>
      <c r="E106" s="80"/>
      <c r="F106" s="80"/>
      <c r="G106" s="80"/>
      <c r="H106" s="80"/>
      <c r="I106" s="80"/>
      <c r="J106" s="80"/>
      <c r="K106" s="80"/>
      <c r="L106" s="436"/>
      <c r="M106" s="466"/>
      <c r="N106" s="467"/>
      <c r="O106" s="467"/>
      <c r="P106" s="467"/>
      <c r="Q106" s="467"/>
      <c r="R106" s="468"/>
      <c r="S106" s="384"/>
      <c r="T106" s="384"/>
      <c r="U106" s="384"/>
      <c r="V106" s="384"/>
      <c r="W106" s="384"/>
      <c r="X106" s="384"/>
      <c r="Y106" s="384"/>
      <c r="Z106" s="384"/>
      <c r="AA106" s="384"/>
      <c r="AB106" s="384"/>
      <c r="AC106" s="384"/>
      <c r="AD106" s="384"/>
      <c r="AE106" s="384"/>
      <c r="AF106" s="384"/>
      <c r="AG106" s="384"/>
      <c r="AH106" s="384"/>
      <c r="AI106" s="384"/>
      <c r="AJ106" s="384"/>
      <c r="AK106" s="384"/>
      <c r="AL106" s="384"/>
      <c r="AM106" s="384"/>
      <c r="AN106" s="384"/>
      <c r="AO106" s="384"/>
      <c r="AP106" s="384"/>
      <c r="AQ106" s="384"/>
      <c r="AR106" s="384"/>
      <c r="AS106" s="384"/>
      <c r="AT106" s="384"/>
      <c r="AU106" s="384"/>
      <c r="AV106" s="384"/>
      <c r="AW106" s="384"/>
      <c r="AX106" s="384"/>
      <c r="AY106" s="384"/>
      <c r="AZ106" s="384"/>
      <c r="BA106" s="384"/>
      <c r="BB106" s="384"/>
      <c r="BC106" s="384"/>
      <c r="BD106" s="384"/>
      <c r="BE106" s="384"/>
      <c r="BF106" s="384"/>
      <c r="BG106" s="384"/>
      <c r="BH106" s="384"/>
      <c r="BI106" s="384"/>
      <c r="BJ106" s="384"/>
      <c r="BK106" s="384"/>
      <c r="BL106" s="384"/>
      <c r="BM106" s="384"/>
      <c r="BN106" s="384"/>
      <c r="BO106" s="384"/>
      <c r="BP106" s="384"/>
    </row>
    <row r="107" spans="4:68" outlineLevel="1" x14ac:dyDescent="0.2">
      <c r="D107" s="92" t="s">
        <v>363</v>
      </c>
      <c r="E107" s="80"/>
      <c r="F107" s="80"/>
      <c r="G107" s="80"/>
      <c r="H107" s="80"/>
      <c r="I107" s="80"/>
      <c r="J107" s="80"/>
      <c r="K107" s="80"/>
      <c r="L107" s="436"/>
      <c r="M107" s="466"/>
      <c r="N107" s="467"/>
      <c r="O107" s="467"/>
      <c r="P107" s="467"/>
      <c r="Q107" s="467"/>
      <c r="R107" s="468"/>
      <c r="S107" s="384"/>
      <c r="T107" s="384"/>
      <c r="U107" s="384"/>
      <c r="V107" s="384"/>
      <c r="W107" s="384"/>
      <c r="X107" s="384"/>
      <c r="Y107" s="384"/>
      <c r="Z107" s="384"/>
      <c r="AA107" s="384"/>
      <c r="AB107" s="384"/>
      <c r="AC107" s="384"/>
      <c r="AD107" s="384"/>
      <c r="AE107" s="384"/>
      <c r="AF107" s="384"/>
      <c r="AG107" s="384"/>
      <c r="AH107" s="384"/>
      <c r="AI107" s="384"/>
      <c r="AJ107" s="384"/>
      <c r="AK107" s="384"/>
      <c r="AL107" s="384"/>
      <c r="AM107" s="384"/>
      <c r="AN107" s="384"/>
      <c r="AO107" s="384"/>
      <c r="AP107" s="384"/>
      <c r="AQ107" s="384"/>
      <c r="AR107" s="384"/>
      <c r="AS107" s="384"/>
      <c r="AT107" s="384"/>
      <c r="AU107" s="384"/>
      <c r="AV107" s="384"/>
      <c r="AW107" s="384"/>
      <c r="AX107" s="384"/>
      <c r="AY107" s="384"/>
      <c r="AZ107" s="384"/>
      <c r="BA107" s="384"/>
      <c r="BB107" s="384"/>
      <c r="BC107" s="384"/>
      <c r="BD107" s="384"/>
      <c r="BE107" s="384"/>
      <c r="BF107" s="384"/>
      <c r="BG107" s="384"/>
      <c r="BH107" s="384"/>
      <c r="BI107" s="384"/>
      <c r="BJ107" s="384"/>
      <c r="BK107" s="384"/>
      <c r="BL107" s="384"/>
      <c r="BM107" s="384"/>
      <c r="BN107" s="384"/>
      <c r="BO107" s="384"/>
      <c r="BP107" s="384"/>
    </row>
    <row r="108" spans="4:68" outlineLevel="1" x14ac:dyDescent="0.2">
      <c r="D108" s="80"/>
      <c r="E108" s="80"/>
      <c r="F108" s="80"/>
      <c r="G108" s="80"/>
      <c r="H108" s="80"/>
      <c r="I108" s="80"/>
      <c r="J108" s="80"/>
      <c r="K108" s="80"/>
      <c r="L108" s="412"/>
      <c r="M108" s="413"/>
      <c r="N108" s="80"/>
      <c r="O108" s="80"/>
      <c r="P108" s="80"/>
      <c r="Q108" s="80"/>
      <c r="R108" s="83"/>
      <c r="S108" s="80"/>
      <c r="T108" s="83"/>
      <c r="U108" s="80"/>
      <c r="V108" s="80"/>
      <c r="W108" s="80"/>
      <c r="X108" s="80"/>
      <c r="Y108" s="80"/>
      <c r="Z108" s="80"/>
      <c r="AA108" s="80"/>
      <c r="AB108" s="80"/>
      <c r="AC108" s="80"/>
      <c r="AD108" s="80"/>
      <c r="AE108" s="80"/>
      <c r="AF108" s="80"/>
      <c r="AG108" s="80"/>
      <c r="AH108" s="80"/>
      <c r="AI108" s="80"/>
      <c r="AJ108" s="80"/>
      <c r="AK108" s="80"/>
      <c r="AL108" s="80"/>
      <c r="AM108" s="80"/>
      <c r="AN108" s="80"/>
      <c r="AO108" s="80"/>
      <c r="AP108" s="80"/>
      <c r="AQ108" s="80"/>
      <c r="AR108" s="80"/>
      <c r="AS108" s="80"/>
      <c r="AT108" s="80"/>
      <c r="AU108" s="80"/>
      <c r="AV108" s="80"/>
      <c r="AW108" s="80"/>
      <c r="AX108" s="80"/>
      <c r="AY108" s="80"/>
      <c r="AZ108" s="80"/>
      <c r="BA108" s="80"/>
      <c r="BB108" s="80"/>
      <c r="BC108" s="80"/>
      <c r="BD108" s="80"/>
      <c r="BE108" s="80"/>
      <c r="BF108" s="80"/>
      <c r="BG108" s="80"/>
      <c r="BH108" s="80"/>
      <c r="BI108" s="80"/>
      <c r="BJ108" s="80"/>
      <c r="BK108" s="80"/>
      <c r="BL108" s="80"/>
      <c r="BM108" s="80"/>
      <c r="BN108" s="80"/>
      <c r="BO108" s="80"/>
      <c r="BP108" s="80"/>
    </row>
    <row r="109" spans="4:68" outlineLevel="1" x14ac:dyDescent="0.2">
      <c r="D109" s="10" t="s">
        <v>364</v>
      </c>
      <c r="E109" s="80"/>
      <c r="F109" s="80"/>
      <c r="G109" s="80"/>
      <c r="H109" s="80"/>
      <c r="I109" s="80"/>
      <c r="J109" s="80"/>
      <c r="K109" s="80"/>
      <c r="L109" s="412"/>
      <c r="M109" s="413"/>
      <c r="N109" s="80"/>
      <c r="O109" s="80"/>
      <c r="P109" s="80"/>
      <c r="Q109" s="80"/>
      <c r="R109" s="83"/>
      <c r="S109" s="80"/>
      <c r="T109" s="83"/>
      <c r="U109" s="80"/>
      <c r="V109" s="80"/>
      <c r="W109" s="80"/>
      <c r="X109" s="80"/>
      <c r="Y109" s="80"/>
      <c r="Z109" s="80"/>
      <c r="AA109" s="80"/>
      <c r="AB109" s="80"/>
      <c r="AC109" s="80"/>
      <c r="AD109" s="80"/>
      <c r="AE109" s="80"/>
      <c r="AF109" s="80"/>
      <c r="AG109" s="80"/>
      <c r="AH109" s="80"/>
      <c r="AI109" s="80"/>
      <c r="AJ109" s="80"/>
      <c r="AK109" s="80"/>
      <c r="AL109" s="80"/>
      <c r="AM109" s="80"/>
      <c r="AN109" s="80"/>
      <c r="AO109" s="80"/>
      <c r="AP109" s="80"/>
      <c r="AQ109" s="80"/>
      <c r="AR109" s="80"/>
      <c r="AS109" s="80"/>
      <c r="AT109" s="80"/>
      <c r="AU109" s="80"/>
      <c r="AV109" s="80"/>
      <c r="AW109" s="80"/>
      <c r="AX109" s="80"/>
      <c r="AY109" s="80"/>
      <c r="AZ109" s="80"/>
      <c r="BA109" s="80"/>
      <c r="BB109" s="80"/>
      <c r="BC109" s="80"/>
      <c r="BD109" s="80"/>
      <c r="BE109" s="80"/>
      <c r="BF109" s="80"/>
      <c r="BG109" s="80"/>
      <c r="BH109" s="80"/>
      <c r="BI109" s="80"/>
      <c r="BJ109" s="80"/>
      <c r="BK109" s="80"/>
      <c r="BL109" s="80"/>
      <c r="BM109" s="80"/>
      <c r="BN109" s="80"/>
      <c r="BO109" s="80"/>
      <c r="BP109" s="80"/>
    </row>
    <row r="110" spans="4:68" outlineLevel="1" x14ac:dyDescent="0.2">
      <c r="D110" s="66" t="s">
        <v>365</v>
      </c>
      <c r="E110" s="80"/>
      <c r="F110" s="80"/>
      <c r="G110" s="80"/>
      <c r="H110" s="80"/>
      <c r="I110" s="80"/>
      <c r="J110" s="80"/>
      <c r="K110" s="80"/>
      <c r="L110" s="436"/>
      <c r="M110" s="466"/>
      <c r="N110" s="467"/>
      <c r="O110" s="467"/>
      <c r="P110" s="467"/>
      <c r="Q110" s="467"/>
      <c r="R110" s="29">
        <f t="shared" ref="R110:AW110" si="151">Q110-R41+R85</f>
        <v>0</v>
      </c>
      <c r="S110" s="29">
        <f t="shared" si="151"/>
        <v>0</v>
      </c>
      <c r="T110" s="29">
        <f t="shared" si="151"/>
        <v>0</v>
      </c>
      <c r="U110" s="29">
        <f t="shared" si="151"/>
        <v>2714370</v>
      </c>
      <c r="V110" s="29">
        <f t="shared" si="151"/>
        <v>5432721</v>
      </c>
      <c r="W110" s="29">
        <f t="shared" si="151"/>
        <v>8166973.2000000002</v>
      </c>
      <c r="X110" s="29">
        <f t="shared" si="151"/>
        <v>9702600.1999999993</v>
      </c>
      <c r="Y110" s="29">
        <f t="shared" si="151"/>
        <v>11310954</v>
      </c>
      <c r="Z110" s="29">
        <f t="shared" si="151"/>
        <v>8899761.4000000004</v>
      </c>
      <c r="AA110" s="29">
        <f t="shared" si="151"/>
        <v>7031442.8000000007</v>
      </c>
      <c r="AB110" s="29">
        <f t="shared" si="151"/>
        <v>5815369.2000000011</v>
      </c>
      <c r="AC110" s="29">
        <f t="shared" si="151"/>
        <v>5254190.8000000007</v>
      </c>
      <c r="AD110" s="29">
        <f t="shared" si="151"/>
        <v>5239161.6000000006</v>
      </c>
      <c r="AE110" s="29">
        <f t="shared" si="151"/>
        <v>5894056.8000000007</v>
      </c>
      <c r="AF110" s="29">
        <f t="shared" si="151"/>
        <v>6548952.0000000009</v>
      </c>
      <c r="AG110" s="29">
        <f t="shared" si="151"/>
        <v>7203847.2000000011</v>
      </c>
      <c r="AH110" s="29">
        <f t="shared" si="151"/>
        <v>7858742.4000000013</v>
      </c>
      <c r="AI110" s="29">
        <f t="shared" si="151"/>
        <v>8513637.6000000015</v>
      </c>
      <c r="AJ110" s="29">
        <f t="shared" si="151"/>
        <v>9168532.8000000007</v>
      </c>
      <c r="AK110" s="29">
        <f t="shared" si="151"/>
        <v>9823428</v>
      </c>
      <c r="AL110" s="29">
        <f t="shared" si="151"/>
        <v>10478323.199999999</v>
      </c>
      <c r="AM110" s="29">
        <f t="shared" si="151"/>
        <v>11133218.399999999</v>
      </c>
      <c r="AN110" s="29">
        <f t="shared" si="151"/>
        <v>11788113.599999998</v>
      </c>
      <c r="AO110" s="29">
        <f t="shared" si="151"/>
        <v>12443008.799999997</v>
      </c>
      <c r="AP110" s="29">
        <f t="shared" si="151"/>
        <v>13097903.999999996</v>
      </c>
      <c r="AQ110" s="29">
        <f t="shared" si="151"/>
        <v>13752799.199999996</v>
      </c>
      <c r="AR110" s="29">
        <f t="shared" si="151"/>
        <v>14407694.399999995</v>
      </c>
      <c r="AS110" s="29">
        <f t="shared" si="151"/>
        <v>15062589.599999994</v>
      </c>
      <c r="AT110" s="29">
        <f t="shared" si="151"/>
        <v>15717484.799999993</v>
      </c>
      <c r="AU110" s="29">
        <f t="shared" si="151"/>
        <v>16372379.999999993</v>
      </c>
      <c r="AV110" s="29">
        <f t="shared" si="151"/>
        <v>17027275.199999992</v>
      </c>
      <c r="AW110" s="29">
        <f t="shared" si="151"/>
        <v>17682170.399999991</v>
      </c>
      <c r="AX110" s="29">
        <f t="shared" ref="AX110:BP110" si="152">AW110-AX41+AX85</f>
        <v>18337065.59999999</v>
      </c>
      <c r="AY110" s="29">
        <f t="shared" si="152"/>
        <v>18991960.79999999</v>
      </c>
      <c r="AZ110" s="29">
        <f t="shared" si="152"/>
        <v>19646855.999999989</v>
      </c>
      <c r="BA110" s="29">
        <f t="shared" si="152"/>
        <v>20301751.199999988</v>
      </c>
      <c r="BB110" s="29">
        <f t="shared" si="152"/>
        <v>20956646.399999987</v>
      </c>
      <c r="BC110" s="29">
        <f t="shared" si="152"/>
        <v>21611541.599999987</v>
      </c>
      <c r="BD110" s="29">
        <f t="shared" si="152"/>
        <v>22266436.799999986</v>
      </c>
      <c r="BE110" s="29">
        <f t="shared" si="152"/>
        <v>22921331.999999985</v>
      </c>
      <c r="BF110" s="29">
        <f t="shared" si="152"/>
        <v>23576227.199999984</v>
      </c>
      <c r="BG110" s="29">
        <f t="shared" si="152"/>
        <v>24231122.399999984</v>
      </c>
      <c r="BH110" s="29">
        <f t="shared" si="152"/>
        <v>24886017.599999983</v>
      </c>
      <c r="BI110" s="29">
        <f t="shared" si="152"/>
        <v>25540912.799999982</v>
      </c>
      <c r="BJ110" s="29">
        <f t="shared" si="152"/>
        <v>26195807.999999981</v>
      </c>
      <c r="BK110" s="29">
        <f t="shared" si="152"/>
        <v>26850703.199999981</v>
      </c>
      <c r="BL110" s="29">
        <f t="shared" si="152"/>
        <v>27505598.39999998</v>
      </c>
      <c r="BM110" s="29">
        <f t="shared" si="152"/>
        <v>28160493.599999979</v>
      </c>
      <c r="BN110" s="29">
        <f t="shared" si="152"/>
        <v>28815388.799999978</v>
      </c>
      <c r="BO110" s="29">
        <f t="shared" si="152"/>
        <v>29470283.999999978</v>
      </c>
      <c r="BP110" s="29">
        <f t="shared" si="152"/>
        <v>30125179.199999977</v>
      </c>
    </row>
    <row r="111" spans="4:68" outlineLevel="1" x14ac:dyDescent="0.2">
      <c r="D111" s="66" t="s">
        <v>366</v>
      </c>
      <c r="E111" s="80"/>
      <c r="F111" s="80"/>
      <c r="G111" s="80"/>
      <c r="H111" s="80"/>
      <c r="I111" s="80"/>
      <c r="J111" s="80"/>
      <c r="K111" s="80"/>
      <c r="L111" s="436"/>
      <c r="M111" s="466"/>
      <c r="N111" s="467"/>
      <c r="O111" s="467"/>
      <c r="P111" s="467"/>
      <c r="Q111" s="467"/>
      <c r="R111" s="29">
        <f t="shared" ref="R111:AW111" si="153">Q111-R30+R91</f>
        <v>0</v>
      </c>
      <c r="S111" s="29">
        <f t="shared" si="153"/>
        <v>0</v>
      </c>
      <c r="T111" s="29">
        <f t="shared" si="153"/>
        <v>0</v>
      </c>
      <c r="U111" s="29">
        <f t="shared" si="153"/>
        <v>0</v>
      </c>
      <c r="V111" s="29">
        <f t="shared" si="153"/>
        <v>0</v>
      </c>
      <c r="W111" s="29">
        <f t="shared" si="153"/>
        <v>0</v>
      </c>
      <c r="X111" s="29">
        <f t="shared" si="153"/>
        <v>0</v>
      </c>
      <c r="Y111" s="29">
        <f t="shared" si="153"/>
        <v>0</v>
      </c>
      <c r="Z111" s="29">
        <f t="shared" si="153"/>
        <v>0</v>
      </c>
      <c r="AA111" s="29">
        <f t="shared" si="153"/>
        <v>0</v>
      </c>
      <c r="AB111" s="29">
        <f t="shared" si="153"/>
        <v>0</v>
      </c>
      <c r="AC111" s="29">
        <f t="shared" si="153"/>
        <v>0</v>
      </c>
      <c r="AD111" s="29">
        <f t="shared" si="153"/>
        <v>0</v>
      </c>
      <c r="AE111" s="29">
        <f t="shared" si="153"/>
        <v>0</v>
      </c>
      <c r="AF111" s="29">
        <f t="shared" si="153"/>
        <v>0</v>
      </c>
      <c r="AG111" s="29">
        <f t="shared" si="153"/>
        <v>0</v>
      </c>
      <c r="AH111" s="29">
        <f t="shared" si="153"/>
        <v>0</v>
      </c>
      <c r="AI111" s="29">
        <f t="shared" si="153"/>
        <v>0</v>
      </c>
      <c r="AJ111" s="29">
        <f t="shared" si="153"/>
        <v>0</v>
      </c>
      <c r="AK111" s="29">
        <f t="shared" si="153"/>
        <v>0</v>
      </c>
      <c r="AL111" s="29">
        <f t="shared" si="153"/>
        <v>0</v>
      </c>
      <c r="AM111" s="29">
        <f t="shared" si="153"/>
        <v>0</v>
      </c>
      <c r="AN111" s="29">
        <f t="shared" si="153"/>
        <v>0</v>
      </c>
      <c r="AO111" s="29">
        <f t="shared" si="153"/>
        <v>0</v>
      </c>
      <c r="AP111" s="29">
        <f t="shared" si="153"/>
        <v>0</v>
      </c>
      <c r="AQ111" s="29">
        <f t="shared" si="153"/>
        <v>0</v>
      </c>
      <c r="AR111" s="29">
        <f t="shared" si="153"/>
        <v>0</v>
      </c>
      <c r="AS111" s="29">
        <f t="shared" si="153"/>
        <v>0</v>
      </c>
      <c r="AT111" s="29">
        <f t="shared" si="153"/>
        <v>0</v>
      </c>
      <c r="AU111" s="29">
        <f t="shared" si="153"/>
        <v>0</v>
      </c>
      <c r="AV111" s="29">
        <f t="shared" si="153"/>
        <v>0</v>
      </c>
      <c r="AW111" s="29">
        <f t="shared" si="153"/>
        <v>0</v>
      </c>
      <c r="AX111" s="29">
        <f t="shared" ref="AX111:BP111" si="154">AW111-AX30+AX91</f>
        <v>0</v>
      </c>
      <c r="AY111" s="29">
        <f t="shared" si="154"/>
        <v>0</v>
      </c>
      <c r="AZ111" s="29">
        <f t="shared" si="154"/>
        <v>0</v>
      </c>
      <c r="BA111" s="29">
        <f t="shared" si="154"/>
        <v>0</v>
      </c>
      <c r="BB111" s="29">
        <f t="shared" si="154"/>
        <v>0</v>
      </c>
      <c r="BC111" s="29">
        <f t="shared" si="154"/>
        <v>0</v>
      </c>
      <c r="BD111" s="29">
        <f t="shared" si="154"/>
        <v>0</v>
      </c>
      <c r="BE111" s="29">
        <f t="shared" si="154"/>
        <v>0</v>
      </c>
      <c r="BF111" s="29">
        <f t="shared" si="154"/>
        <v>0</v>
      </c>
      <c r="BG111" s="29">
        <f t="shared" si="154"/>
        <v>0</v>
      </c>
      <c r="BH111" s="29">
        <f t="shared" si="154"/>
        <v>0</v>
      </c>
      <c r="BI111" s="29">
        <f t="shared" si="154"/>
        <v>0</v>
      </c>
      <c r="BJ111" s="29">
        <f t="shared" si="154"/>
        <v>0</v>
      </c>
      <c r="BK111" s="29">
        <f t="shared" si="154"/>
        <v>0</v>
      </c>
      <c r="BL111" s="29">
        <f t="shared" si="154"/>
        <v>0</v>
      </c>
      <c r="BM111" s="29">
        <f t="shared" si="154"/>
        <v>0</v>
      </c>
      <c r="BN111" s="29">
        <f t="shared" si="154"/>
        <v>0</v>
      </c>
      <c r="BO111" s="29">
        <f t="shared" si="154"/>
        <v>0</v>
      </c>
      <c r="BP111" s="29">
        <f t="shared" si="154"/>
        <v>0</v>
      </c>
    </row>
    <row r="112" spans="4:68" outlineLevel="1" x14ac:dyDescent="0.2">
      <c r="D112" s="89" t="s">
        <v>367</v>
      </c>
      <c r="E112" s="80"/>
      <c r="F112" s="80"/>
      <c r="G112" s="80"/>
      <c r="H112" s="80"/>
      <c r="I112" s="80"/>
      <c r="J112" s="80"/>
      <c r="K112" s="80"/>
      <c r="L112" s="436"/>
      <c r="M112" s="466"/>
      <c r="N112" s="467"/>
      <c r="O112" s="467"/>
      <c r="P112" s="467"/>
      <c r="Q112" s="467"/>
      <c r="R112" s="29">
        <f t="shared" ref="R112:AW112" si="155">Q112-R60+R97</f>
        <v>0</v>
      </c>
      <c r="S112" s="29">
        <f t="shared" si="155"/>
        <v>0</v>
      </c>
      <c r="T112" s="29">
        <f t="shared" si="155"/>
        <v>0</v>
      </c>
      <c r="U112" s="29">
        <f t="shared" si="155"/>
        <v>0</v>
      </c>
      <c r="V112" s="29">
        <f t="shared" si="155"/>
        <v>0</v>
      </c>
      <c r="W112" s="29">
        <f t="shared" si="155"/>
        <v>0</v>
      </c>
      <c r="X112" s="29">
        <f t="shared" si="155"/>
        <v>0</v>
      </c>
      <c r="Y112" s="29">
        <f t="shared" si="155"/>
        <v>0</v>
      </c>
      <c r="Z112" s="29">
        <f t="shared" si="155"/>
        <v>0</v>
      </c>
      <c r="AA112" s="29">
        <f t="shared" si="155"/>
        <v>0</v>
      </c>
      <c r="AB112" s="29">
        <f t="shared" si="155"/>
        <v>0</v>
      </c>
      <c r="AC112" s="29">
        <f t="shared" si="155"/>
        <v>0</v>
      </c>
      <c r="AD112" s="29">
        <f t="shared" si="155"/>
        <v>0</v>
      </c>
      <c r="AE112" s="29">
        <f t="shared" si="155"/>
        <v>0</v>
      </c>
      <c r="AF112" s="29">
        <f t="shared" si="155"/>
        <v>0</v>
      </c>
      <c r="AG112" s="29">
        <f t="shared" si="155"/>
        <v>0</v>
      </c>
      <c r="AH112" s="29">
        <f t="shared" si="155"/>
        <v>0</v>
      </c>
      <c r="AI112" s="29">
        <f t="shared" si="155"/>
        <v>0</v>
      </c>
      <c r="AJ112" s="29">
        <f t="shared" si="155"/>
        <v>0</v>
      </c>
      <c r="AK112" s="29">
        <f t="shared" si="155"/>
        <v>0</v>
      </c>
      <c r="AL112" s="29">
        <f t="shared" si="155"/>
        <v>0</v>
      </c>
      <c r="AM112" s="29">
        <f t="shared" si="155"/>
        <v>0</v>
      </c>
      <c r="AN112" s="29">
        <f t="shared" si="155"/>
        <v>0</v>
      </c>
      <c r="AO112" s="29">
        <f t="shared" si="155"/>
        <v>0</v>
      </c>
      <c r="AP112" s="29">
        <f t="shared" si="155"/>
        <v>0</v>
      </c>
      <c r="AQ112" s="29">
        <f t="shared" si="155"/>
        <v>0</v>
      </c>
      <c r="AR112" s="29">
        <f t="shared" si="155"/>
        <v>0</v>
      </c>
      <c r="AS112" s="29">
        <f t="shared" si="155"/>
        <v>0</v>
      </c>
      <c r="AT112" s="29">
        <f t="shared" si="155"/>
        <v>0</v>
      </c>
      <c r="AU112" s="29">
        <f t="shared" si="155"/>
        <v>0</v>
      </c>
      <c r="AV112" s="29">
        <f t="shared" si="155"/>
        <v>0</v>
      </c>
      <c r="AW112" s="29">
        <f t="shared" si="155"/>
        <v>0</v>
      </c>
      <c r="AX112" s="29">
        <f t="shared" ref="AX112:BP112" si="156">AW112-AX60+AX97</f>
        <v>0</v>
      </c>
      <c r="AY112" s="29">
        <f t="shared" si="156"/>
        <v>0</v>
      </c>
      <c r="AZ112" s="29">
        <f t="shared" si="156"/>
        <v>0</v>
      </c>
      <c r="BA112" s="29">
        <f t="shared" si="156"/>
        <v>0</v>
      </c>
      <c r="BB112" s="29">
        <f t="shared" si="156"/>
        <v>0</v>
      </c>
      <c r="BC112" s="29">
        <f t="shared" si="156"/>
        <v>0</v>
      </c>
      <c r="BD112" s="29">
        <f t="shared" si="156"/>
        <v>0</v>
      </c>
      <c r="BE112" s="29">
        <f t="shared" si="156"/>
        <v>0</v>
      </c>
      <c r="BF112" s="29">
        <f t="shared" si="156"/>
        <v>0</v>
      </c>
      <c r="BG112" s="29">
        <f t="shared" si="156"/>
        <v>0</v>
      </c>
      <c r="BH112" s="29">
        <f t="shared" si="156"/>
        <v>0</v>
      </c>
      <c r="BI112" s="29">
        <f t="shared" si="156"/>
        <v>0</v>
      </c>
      <c r="BJ112" s="29">
        <f t="shared" si="156"/>
        <v>0</v>
      </c>
      <c r="BK112" s="29">
        <f t="shared" si="156"/>
        <v>0</v>
      </c>
      <c r="BL112" s="29">
        <f t="shared" si="156"/>
        <v>0</v>
      </c>
      <c r="BM112" s="29">
        <f t="shared" si="156"/>
        <v>0</v>
      </c>
      <c r="BN112" s="29">
        <f t="shared" si="156"/>
        <v>0</v>
      </c>
      <c r="BO112" s="29">
        <f t="shared" si="156"/>
        <v>0</v>
      </c>
      <c r="BP112" s="29">
        <f t="shared" si="156"/>
        <v>0</v>
      </c>
    </row>
    <row r="113" spans="4:68" ht="10.35" customHeight="1" outlineLevel="1" x14ac:dyDescent="0.2">
      <c r="D113" s="88" t="s">
        <v>368</v>
      </c>
      <c r="E113" s="458"/>
      <c r="F113" s="458"/>
      <c r="G113" s="459"/>
      <c r="H113" s="459"/>
      <c r="I113" s="458"/>
      <c r="J113" s="458"/>
      <c r="K113" s="458"/>
      <c r="L113" s="461"/>
      <c r="M113" s="462"/>
      <c r="N113" s="463"/>
      <c r="O113" s="463"/>
      <c r="P113" s="463"/>
      <c r="Q113" s="463"/>
      <c r="R113" s="460">
        <f t="shared" ref="R113:AW113" si="157">SUM(R110:R112)</f>
        <v>0</v>
      </c>
      <c r="S113" s="460">
        <f t="shared" si="157"/>
        <v>0</v>
      </c>
      <c r="T113" s="460">
        <f t="shared" si="157"/>
        <v>0</v>
      </c>
      <c r="U113" s="460">
        <f t="shared" si="157"/>
        <v>2714370</v>
      </c>
      <c r="V113" s="460">
        <f t="shared" si="157"/>
        <v>5432721</v>
      </c>
      <c r="W113" s="460">
        <f t="shared" si="157"/>
        <v>8166973.2000000002</v>
      </c>
      <c r="X113" s="460">
        <f t="shared" si="157"/>
        <v>9702600.1999999993</v>
      </c>
      <c r="Y113" s="460">
        <f t="shared" si="157"/>
        <v>11310954</v>
      </c>
      <c r="Z113" s="460">
        <f t="shared" si="157"/>
        <v>8899761.4000000004</v>
      </c>
      <c r="AA113" s="460">
        <f t="shared" si="157"/>
        <v>7031442.8000000007</v>
      </c>
      <c r="AB113" s="460">
        <f t="shared" si="157"/>
        <v>5815369.2000000011</v>
      </c>
      <c r="AC113" s="460">
        <f t="shared" si="157"/>
        <v>5254190.8000000007</v>
      </c>
      <c r="AD113" s="460">
        <f t="shared" si="157"/>
        <v>5239161.6000000006</v>
      </c>
      <c r="AE113" s="460">
        <f t="shared" si="157"/>
        <v>5894056.8000000007</v>
      </c>
      <c r="AF113" s="460">
        <f t="shared" si="157"/>
        <v>6548952.0000000009</v>
      </c>
      <c r="AG113" s="460">
        <f t="shared" si="157"/>
        <v>7203847.2000000011</v>
      </c>
      <c r="AH113" s="460">
        <f t="shared" si="157"/>
        <v>7858742.4000000013</v>
      </c>
      <c r="AI113" s="460">
        <f t="shared" si="157"/>
        <v>8513637.6000000015</v>
      </c>
      <c r="AJ113" s="460">
        <f t="shared" si="157"/>
        <v>9168532.8000000007</v>
      </c>
      <c r="AK113" s="460">
        <f t="shared" si="157"/>
        <v>9823428</v>
      </c>
      <c r="AL113" s="460">
        <f t="shared" si="157"/>
        <v>10478323.199999999</v>
      </c>
      <c r="AM113" s="460">
        <f t="shared" si="157"/>
        <v>11133218.399999999</v>
      </c>
      <c r="AN113" s="460">
        <f t="shared" si="157"/>
        <v>11788113.599999998</v>
      </c>
      <c r="AO113" s="460">
        <f t="shared" si="157"/>
        <v>12443008.799999997</v>
      </c>
      <c r="AP113" s="460">
        <f t="shared" si="157"/>
        <v>13097903.999999996</v>
      </c>
      <c r="AQ113" s="460">
        <f t="shared" si="157"/>
        <v>13752799.199999996</v>
      </c>
      <c r="AR113" s="460">
        <f t="shared" si="157"/>
        <v>14407694.399999995</v>
      </c>
      <c r="AS113" s="460">
        <f t="shared" si="157"/>
        <v>15062589.599999994</v>
      </c>
      <c r="AT113" s="460">
        <f t="shared" si="157"/>
        <v>15717484.799999993</v>
      </c>
      <c r="AU113" s="460">
        <f t="shared" si="157"/>
        <v>16372379.999999993</v>
      </c>
      <c r="AV113" s="460">
        <f t="shared" si="157"/>
        <v>17027275.199999992</v>
      </c>
      <c r="AW113" s="460">
        <f t="shared" si="157"/>
        <v>17682170.399999991</v>
      </c>
      <c r="AX113" s="460">
        <f t="shared" ref="AX113:BP113" si="158">SUM(AX110:AX112)</f>
        <v>18337065.59999999</v>
      </c>
      <c r="AY113" s="460">
        <f t="shared" si="158"/>
        <v>18991960.79999999</v>
      </c>
      <c r="AZ113" s="460">
        <f t="shared" si="158"/>
        <v>19646855.999999989</v>
      </c>
      <c r="BA113" s="460">
        <f t="shared" si="158"/>
        <v>20301751.199999988</v>
      </c>
      <c r="BB113" s="460">
        <f t="shared" si="158"/>
        <v>20956646.399999987</v>
      </c>
      <c r="BC113" s="460">
        <f t="shared" si="158"/>
        <v>21611541.599999987</v>
      </c>
      <c r="BD113" s="460">
        <f t="shared" si="158"/>
        <v>22266436.799999986</v>
      </c>
      <c r="BE113" s="460">
        <f t="shared" si="158"/>
        <v>22921331.999999985</v>
      </c>
      <c r="BF113" s="460">
        <f t="shared" si="158"/>
        <v>23576227.199999984</v>
      </c>
      <c r="BG113" s="460">
        <f t="shared" si="158"/>
        <v>24231122.399999984</v>
      </c>
      <c r="BH113" s="460">
        <f t="shared" si="158"/>
        <v>24886017.599999983</v>
      </c>
      <c r="BI113" s="460">
        <f t="shared" si="158"/>
        <v>25540912.799999982</v>
      </c>
      <c r="BJ113" s="460">
        <f t="shared" si="158"/>
        <v>26195807.999999981</v>
      </c>
      <c r="BK113" s="460">
        <f t="shared" si="158"/>
        <v>26850703.199999981</v>
      </c>
      <c r="BL113" s="460">
        <f t="shared" si="158"/>
        <v>27505598.39999998</v>
      </c>
      <c r="BM113" s="460">
        <f t="shared" si="158"/>
        <v>28160493.599999979</v>
      </c>
      <c r="BN113" s="460">
        <f t="shared" si="158"/>
        <v>28815388.799999978</v>
      </c>
      <c r="BO113" s="460">
        <f t="shared" si="158"/>
        <v>29470283.999999978</v>
      </c>
      <c r="BP113" s="460">
        <f t="shared" si="158"/>
        <v>30125179.199999977</v>
      </c>
    </row>
    <row r="114" spans="4:68" outlineLevel="1" x14ac:dyDescent="0.2">
      <c r="D114" s="89" t="s">
        <v>369</v>
      </c>
      <c r="E114" s="80"/>
      <c r="F114" s="80"/>
      <c r="G114" s="80"/>
      <c r="H114" s="80"/>
      <c r="I114" s="80"/>
      <c r="J114" s="80"/>
      <c r="K114" s="80"/>
      <c r="L114" s="436"/>
      <c r="M114" s="466"/>
      <c r="N114" s="467"/>
      <c r="O114" s="467"/>
      <c r="P114" s="467"/>
      <c r="Q114" s="467"/>
      <c r="R114" s="384"/>
      <c r="S114" s="384"/>
      <c r="T114" s="384"/>
      <c r="U114" s="384"/>
      <c r="V114" s="384"/>
      <c r="W114" s="384"/>
      <c r="X114" s="384"/>
      <c r="Y114" s="384"/>
      <c r="Z114" s="384"/>
      <c r="AA114" s="384"/>
      <c r="AB114" s="384"/>
      <c r="AC114" s="384"/>
      <c r="AD114" s="384"/>
      <c r="AE114" s="384"/>
      <c r="AF114" s="384"/>
      <c r="AG114" s="384"/>
      <c r="AH114" s="384"/>
      <c r="AI114" s="384"/>
      <c r="AJ114" s="384"/>
      <c r="AK114" s="384"/>
      <c r="AL114" s="384"/>
      <c r="AM114" s="384"/>
      <c r="AN114" s="384"/>
      <c r="AO114" s="384"/>
      <c r="AP114" s="384"/>
      <c r="AQ114" s="384"/>
      <c r="AR114" s="384"/>
      <c r="AS114" s="384"/>
      <c r="AT114" s="384"/>
      <c r="AU114" s="384"/>
      <c r="AV114" s="384"/>
      <c r="AW114" s="384"/>
      <c r="AX114" s="384"/>
      <c r="AY114" s="384"/>
      <c r="AZ114" s="384"/>
      <c r="BA114" s="384"/>
      <c r="BB114" s="384"/>
      <c r="BC114" s="384"/>
      <c r="BD114" s="384"/>
      <c r="BE114" s="384"/>
      <c r="BF114" s="384"/>
      <c r="BG114" s="384"/>
      <c r="BH114" s="384"/>
      <c r="BI114" s="384"/>
      <c r="BJ114" s="384"/>
      <c r="BK114" s="384"/>
      <c r="BL114" s="384"/>
      <c r="BM114" s="384"/>
      <c r="BN114" s="384"/>
      <c r="BO114" s="384"/>
      <c r="BP114" s="384"/>
    </row>
    <row r="115" spans="4:68" outlineLevel="1" x14ac:dyDescent="0.2">
      <c r="D115" s="80"/>
      <c r="E115" s="80"/>
      <c r="F115" s="80"/>
      <c r="G115" s="80"/>
      <c r="H115" s="80"/>
      <c r="I115" s="80"/>
      <c r="J115" s="80"/>
      <c r="K115" s="80"/>
      <c r="L115" s="412"/>
      <c r="M115" s="413"/>
      <c r="N115" s="80"/>
      <c r="O115" s="80"/>
      <c r="P115" s="80"/>
      <c r="Q115" s="80"/>
      <c r="R115" s="80"/>
      <c r="S115" s="80"/>
      <c r="T115" s="83"/>
      <c r="U115" s="80"/>
      <c r="V115" s="80"/>
      <c r="W115" s="80"/>
      <c r="X115" s="80"/>
      <c r="Y115" s="80"/>
      <c r="Z115" s="80"/>
      <c r="AA115" s="80"/>
      <c r="AB115" s="80"/>
      <c r="AC115" s="80"/>
      <c r="AD115" s="80"/>
      <c r="AE115" s="80"/>
      <c r="AF115" s="80"/>
      <c r="AG115" s="80"/>
      <c r="AH115" s="80"/>
      <c r="AI115" s="80"/>
      <c r="AJ115" s="80"/>
      <c r="AK115" s="80"/>
      <c r="AL115" s="80"/>
      <c r="AM115" s="80"/>
      <c r="AN115" s="80"/>
      <c r="AO115" s="80"/>
      <c r="AP115" s="80"/>
      <c r="AQ115" s="80"/>
      <c r="AR115" s="80"/>
      <c r="AS115" s="80"/>
      <c r="AT115" s="80"/>
      <c r="AU115" s="80"/>
      <c r="AV115" s="80"/>
      <c r="AW115" s="80"/>
      <c r="AX115" s="80"/>
      <c r="AY115" s="80"/>
      <c r="AZ115" s="80"/>
      <c r="BA115" s="80"/>
      <c r="BB115" s="80"/>
      <c r="BC115" s="80"/>
      <c r="BD115" s="80"/>
      <c r="BE115" s="80"/>
      <c r="BF115" s="80"/>
      <c r="BG115" s="80"/>
      <c r="BH115" s="80"/>
      <c r="BI115" s="80"/>
      <c r="BJ115" s="80"/>
      <c r="BK115" s="80"/>
      <c r="BL115" s="80"/>
      <c r="BM115" s="80"/>
      <c r="BN115" s="80"/>
      <c r="BO115" s="80"/>
      <c r="BP115" s="80"/>
    </row>
    <row r="116" spans="4:68" outlineLevel="1" x14ac:dyDescent="0.2">
      <c r="D116" s="362" t="s">
        <v>370</v>
      </c>
      <c r="E116" s="80"/>
      <c r="F116" s="80"/>
      <c r="G116" s="80"/>
      <c r="H116" s="80"/>
      <c r="I116" s="80"/>
      <c r="J116" s="80"/>
      <c r="K116" s="80"/>
      <c r="L116" s="436">
        <f>SUM(R116:BP116)</f>
        <v>0</v>
      </c>
      <c r="M116" s="466"/>
      <c r="N116" s="467"/>
      <c r="O116" s="467"/>
      <c r="P116" s="467"/>
      <c r="Q116" s="467"/>
      <c r="R116" s="29">
        <f t="shared" ref="R116:AW116" si="159">R114*R$22</f>
        <v>0</v>
      </c>
      <c r="S116" s="29">
        <f t="shared" si="159"/>
        <v>0</v>
      </c>
      <c r="T116" s="29">
        <f t="shared" si="159"/>
        <v>0</v>
      </c>
      <c r="U116" s="29">
        <f t="shared" si="159"/>
        <v>0</v>
      </c>
      <c r="V116" s="29">
        <f t="shared" si="159"/>
        <v>0</v>
      </c>
      <c r="W116" s="29">
        <f t="shared" si="159"/>
        <v>0</v>
      </c>
      <c r="X116" s="29">
        <f t="shared" si="159"/>
        <v>0</v>
      </c>
      <c r="Y116" s="29">
        <f t="shared" si="159"/>
        <v>0</v>
      </c>
      <c r="Z116" s="29">
        <f t="shared" si="159"/>
        <v>0</v>
      </c>
      <c r="AA116" s="29">
        <f t="shared" si="159"/>
        <v>0</v>
      </c>
      <c r="AB116" s="29">
        <f t="shared" si="159"/>
        <v>0</v>
      </c>
      <c r="AC116" s="29">
        <f t="shared" si="159"/>
        <v>0</v>
      </c>
      <c r="AD116" s="29">
        <f t="shared" si="159"/>
        <v>0</v>
      </c>
      <c r="AE116" s="29">
        <f t="shared" si="159"/>
        <v>0</v>
      </c>
      <c r="AF116" s="29">
        <f t="shared" si="159"/>
        <v>0</v>
      </c>
      <c r="AG116" s="29">
        <f t="shared" si="159"/>
        <v>0</v>
      </c>
      <c r="AH116" s="29">
        <f t="shared" si="159"/>
        <v>0</v>
      </c>
      <c r="AI116" s="29">
        <f t="shared" si="159"/>
        <v>0</v>
      </c>
      <c r="AJ116" s="29">
        <f t="shared" si="159"/>
        <v>0</v>
      </c>
      <c r="AK116" s="29">
        <f t="shared" si="159"/>
        <v>0</v>
      </c>
      <c r="AL116" s="29">
        <f t="shared" si="159"/>
        <v>0</v>
      </c>
      <c r="AM116" s="29">
        <f t="shared" si="159"/>
        <v>0</v>
      </c>
      <c r="AN116" s="29">
        <f t="shared" si="159"/>
        <v>0</v>
      </c>
      <c r="AO116" s="29">
        <f t="shared" si="159"/>
        <v>0</v>
      </c>
      <c r="AP116" s="29">
        <f t="shared" si="159"/>
        <v>0</v>
      </c>
      <c r="AQ116" s="29">
        <f t="shared" si="159"/>
        <v>0</v>
      </c>
      <c r="AR116" s="29">
        <f t="shared" si="159"/>
        <v>0</v>
      </c>
      <c r="AS116" s="29">
        <f t="shared" si="159"/>
        <v>0</v>
      </c>
      <c r="AT116" s="29">
        <f t="shared" si="159"/>
        <v>0</v>
      </c>
      <c r="AU116" s="29">
        <f t="shared" si="159"/>
        <v>0</v>
      </c>
      <c r="AV116" s="29">
        <f t="shared" si="159"/>
        <v>0</v>
      </c>
      <c r="AW116" s="29">
        <f t="shared" si="159"/>
        <v>0</v>
      </c>
      <c r="AX116" s="29">
        <f t="shared" ref="AX116:BP116" si="160">AX114*AX$22</f>
        <v>0</v>
      </c>
      <c r="AY116" s="29">
        <f t="shared" si="160"/>
        <v>0</v>
      </c>
      <c r="AZ116" s="29">
        <f t="shared" si="160"/>
        <v>0</v>
      </c>
      <c r="BA116" s="29">
        <f t="shared" si="160"/>
        <v>0</v>
      </c>
      <c r="BB116" s="29">
        <f t="shared" si="160"/>
        <v>0</v>
      </c>
      <c r="BC116" s="29">
        <f t="shared" si="160"/>
        <v>0</v>
      </c>
      <c r="BD116" s="29">
        <f t="shared" si="160"/>
        <v>0</v>
      </c>
      <c r="BE116" s="29">
        <f t="shared" si="160"/>
        <v>0</v>
      </c>
      <c r="BF116" s="29">
        <f t="shared" si="160"/>
        <v>0</v>
      </c>
      <c r="BG116" s="29">
        <f t="shared" si="160"/>
        <v>0</v>
      </c>
      <c r="BH116" s="29">
        <f t="shared" si="160"/>
        <v>0</v>
      </c>
      <c r="BI116" s="29">
        <f t="shared" si="160"/>
        <v>0</v>
      </c>
      <c r="BJ116" s="29">
        <f t="shared" si="160"/>
        <v>0</v>
      </c>
      <c r="BK116" s="29">
        <f t="shared" si="160"/>
        <v>0</v>
      </c>
      <c r="BL116" s="29">
        <f t="shared" si="160"/>
        <v>0</v>
      </c>
      <c r="BM116" s="29">
        <f t="shared" si="160"/>
        <v>0</v>
      </c>
      <c r="BN116" s="29">
        <f t="shared" si="160"/>
        <v>0</v>
      </c>
      <c r="BO116" s="29">
        <f t="shared" si="160"/>
        <v>0</v>
      </c>
      <c r="BP116" s="29">
        <f t="shared" si="160"/>
        <v>0</v>
      </c>
    </row>
    <row r="117" spans="4:68" outlineLevel="1" x14ac:dyDescent="0.2">
      <c r="D117" s="80"/>
      <c r="E117" s="80"/>
      <c r="F117" s="80"/>
      <c r="G117" s="80"/>
      <c r="H117" s="80"/>
      <c r="I117" s="80"/>
      <c r="J117" s="80"/>
      <c r="K117" s="80"/>
      <c r="L117" s="412"/>
      <c r="M117" s="413"/>
      <c r="N117" s="80"/>
      <c r="O117" s="80"/>
      <c r="P117" s="80"/>
      <c r="Q117" s="80"/>
      <c r="R117" s="80"/>
      <c r="S117" s="80"/>
      <c r="T117" s="83"/>
      <c r="U117" s="80"/>
      <c r="V117" s="80"/>
      <c r="W117" s="80"/>
      <c r="X117" s="80"/>
      <c r="Y117" s="80"/>
      <c r="Z117" s="80"/>
      <c r="AA117" s="80"/>
      <c r="AB117" s="80"/>
      <c r="AC117" s="80"/>
      <c r="AD117" s="80"/>
      <c r="AE117" s="80"/>
      <c r="AF117" s="80"/>
      <c r="AG117" s="80"/>
      <c r="AH117" s="80"/>
      <c r="AI117" s="80"/>
      <c r="AJ117" s="80"/>
      <c r="AK117" s="80"/>
      <c r="AL117" s="80"/>
      <c r="AM117" s="80"/>
      <c r="AN117" s="80"/>
      <c r="AO117" s="80"/>
      <c r="AP117" s="80"/>
      <c r="AQ117" s="80"/>
      <c r="AR117" s="80"/>
      <c r="AS117" s="80"/>
      <c r="AT117" s="80"/>
      <c r="AU117" s="80"/>
      <c r="AV117" s="80"/>
      <c r="AW117" s="80"/>
      <c r="AX117" s="80"/>
      <c r="AY117" s="80"/>
      <c r="AZ117" s="80"/>
      <c r="BA117" s="80"/>
      <c r="BB117" s="80"/>
      <c r="BC117" s="80"/>
      <c r="BD117" s="80"/>
      <c r="BE117" s="80"/>
      <c r="BF117" s="80"/>
      <c r="BG117" s="80"/>
      <c r="BH117" s="80"/>
      <c r="BI117" s="80"/>
      <c r="BJ117" s="80"/>
      <c r="BK117" s="80"/>
      <c r="BL117" s="80"/>
      <c r="BM117" s="80"/>
      <c r="BN117" s="80"/>
      <c r="BO117" s="80"/>
      <c r="BP117" s="80"/>
    </row>
    <row r="118" spans="4:68" outlineLevel="1" x14ac:dyDescent="0.2">
      <c r="D118" s="10" t="s">
        <v>249</v>
      </c>
      <c r="E118" s="80"/>
      <c r="F118" s="80"/>
      <c r="G118" s="80"/>
      <c r="H118" s="80"/>
      <c r="I118" s="80"/>
      <c r="J118" s="80"/>
      <c r="K118" s="80"/>
      <c r="L118" s="412"/>
      <c r="M118" s="413"/>
      <c r="N118" s="80"/>
      <c r="O118" s="80"/>
      <c r="P118" s="80"/>
      <c r="Q118" s="80"/>
      <c r="R118" s="80"/>
      <c r="S118" s="80"/>
      <c r="T118" s="83"/>
      <c r="U118" s="80"/>
      <c r="V118" s="80"/>
      <c r="W118" s="80"/>
      <c r="X118" s="80"/>
      <c r="Y118" s="80"/>
      <c r="Z118" s="80"/>
      <c r="AA118" s="80"/>
      <c r="AB118" s="80"/>
      <c r="AC118" s="80"/>
      <c r="AD118" s="80"/>
      <c r="AE118" s="80"/>
      <c r="AF118" s="80"/>
      <c r="AG118" s="80"/>
      <c r="AH118" s="80"/>
      <c r="AI118" s="80"/>
      <c r="AJ118" s="80"/>
      <c r="AK118" s="80"/>
      <c r="AL118" s="80"/>
      <c r="AM118" s="80"/>
      <c r="AN118" s="80"/>
      <c r="AO118" s="80"/>
      <c r="AP118" s="80"/>
      <c r="AQ118" s="80"/>
      <c r="AR118" s="80"/>
      <c r="AS118" s="80"/>
      <c r="AT118" s="80"/>
      <c r="AU118" s="80"/>
      <c r="AV118" s="80"/>
      <c r="AW118" s="80"/>
      <c r="AX118" s="80"/>
      <c r="AY118" s="80"/>
      <c r="AZ118" s="80"/>
      <c r="BA118" s="80"/>
      <c r="BB118" s="80"/>
      <c r="BC118" s="80"/>
      <c r="BD118" s="80"/>
      <c r="BE118" s="80"/>
      <c r="BF118" s="80"/>
      <c r="BG118" s="80"/>
      <c r="BH118" s="80"/>
      <c r="BI118" s="80"/>
      <c r="BJ118" s="80"/>
      <c r="BK118" s="80"/>
      <c r="BL118" s="80"/>
      <c r="BM118" s="80"/>
      <c r="BN118" s="80"/>
      <c r="BO118" s="80"/>
      <c r="BP118" s="80"/>
    </row>
    <row r="119" spans="4:68" outlineLevel="1" x14ac:dyDescent="0.2">
      <c r="D119" s="66" t="s">
        <v>371</v>
      </c>
      <c r="E119" s="80"/>
      <c r="F119" s="80"/>
      <c r="G119" s="80"/>
      <c r="H119" s="80"/>
      <c r="I119" s="80"/>
      <c r="J119" s="80"/>
      <c r="K119" s="80"/>
      <c r="L119" s="436">
        <f t="shared" ref="L119:L121" si="161">SUM(R119:BP119)</f>
        <v>25935296.170079987</v>
      </c>
      <c r="M119" s="466"/>
      <c r="N119" s="467"/>
      <c r="O119" s="467"/>
      <c r="P119" s="467"/>
      <c r="Q119" s="467"/>
      <c r="R119" s="29">
        <f t="shared" ref="R119:AW119" si="162">R110*R$22</f>
        <v>0</v>
      </c>
      <c r="S119" s="29">
        <f t="shared" si="162"/>
        <v>0</v>
      </c>
      <c r="T119" s="29">
        <f t="shared" si="162"/>
        <v>0</v>
      </c>
      <c r="U119" s="29">
        <f t="shared" si="162"/>
        <v>93374.327999999994</v>
      </c>
      <c r="V119" s="29">
        <f t="shared" si="162"/>
        <v>186885.6024</v>
      </c>
      <c r="W119" s="29">
        <f t="shared" si="162"/>
        <v>280943.87807999999</v>
      </c>
      <c r="X119" s="29">
        <f t="shared" si="162"/>
        <v>333769.44688</v>
      </c>
      <c r="Y119" s="29">
        <f t="shared" si="162"/>
        <v>389096.81760000001</v>
      </c>
      <c r="Z119" s="29">
        <f t="shared" si="162"/>
        <v>306151.79216000001</v>
      </c>
      <c r="AA119" s="29">
        <f t="shared" si="162"/>
        <v>241881.63232000003</v>
      </c>
      <c r="AB119" s="29">
        <f t="shared" si="162"/>
        <v>200048.70048000003</v>
      </c>
      <c r="AC119" s="29">
        <f t="shared" si="162"/>
        <v>180744.16352000003</v>
      </c>
      <c r="AD119" s="29">
        <f t="shared" si="162"/>
        <v>180227.15904000003</v>
      </c>
      <c r="AE119" s="29">
        <f t="shared" si="162"/>
        <v>202755.55392000003</v>
      </c>
      <c r="AF119" s="29">
        <f t="shared" si="162"/>
        <v>225283.94880000004</v>
      </c>
      <c r="AG119" s="29">
        <f t="shared" si="162"/>
        <v>247812.34368000005</v>
      </c>
      <c r="AH119" s="29">
        <f t="shared" si="162"/>
        <v>270340.73856000003</v>
      </c>
      <c r="AI119" s="29">
        <f t="shared" si="162"/>
        <v>292869.13344000006</v>
      </c>
      <c r="AJ119" s="29">
        <f t="shared" si="162"/>
        <v>315397.52832000004</v>
      </c>
      <c r="AK119" s="29">
        <f t="shared" si="162"/>
        <v>337925.92320000002</v>
      </c>
      <c r="AL119" s="29">
        <f t="shared" si="162"/>
        <v>360454.31808</v>
      </c>
      <c r="AM119" s="29">
        <f t="shared" si="162"/>
        <v>382982.71295999998</v>
      </c>
      <c r="AN119" s="29">
        <f t="shared" si="162"/>
        <v>405511.1078399999</v>
      </c>
      <c r="AO119" s="29">
        <f t="shared" si="162"/>
        <v>428039.50271999987</v>
      </c>
      <c r="AP119" s="29">
        <f t="shared" si="162"/>
        <v>450567.89759999985</v>
      </c>
      <c r="AQ119" s="29">
        <f t="shared" si="162"/>
        <v>473096.29247999983</v>
      </c>
      <c r="AR119" s="29">
        <f t="shared" si="162"/>
        <v>495624.68735999981</v>
      </c>
      <c r="AS119" s="29">
        <f t="shared" si="162"/>
        <v>518153.08223999979</v>
      </c>
      <c r="AT119" s="29">
        <f t="shared" si="162"/>
        <v>540681.47711999982</v>
      </c>
      <c r="AU119" s="29">
        <f t="shared" si="162"/>
        <v>563209.87199999974</v>
      </c>
      <c r="AV119" s="29">
        <f t="shared" si="162"/>
        <v>585738.26687999966</v>
      </c>
      <c r="AW119" s="29">
        <f t="shared" si="162"/>
        <v>608266.6617599997</v>
      </c>
      <c r="AX119" s="29">
        <f t="shared" ref="AX119:BP119" si="163">AX110*AX$22</f>
        <v>630795.05663999962</v>
      </c>
      <c r="AY119" s="29">
        <f t="shared" si="163"/>
        <v>653323.45151999965</v>
      </c>
      <c r="AZ119" s="29">
        <f t="shared" si="163"/>
        <v>675851.84639999957</v>
      </c>
      <c r="BA119" s="29">
        <f t="shared" si="163"/>
        <v>698380.24127999961</v>
      </c>
      <c r="BB119" s="29">
        <f t="shared" si="163"/>
        <v>720908.63615999953</v>
      </c>
      <c r="BC119" s="29">
        <f t="shared" si="163"/>
        <v>743437.03103999957</v>
      </c>
      <c r="BD119" s="29">
        <f t="shared" si="163"/>
        <v>765965.42591999948</v>
      </c>
      <c r="BE119" s="29">
        <f t="shared" si="163"/>
        <v>788493.82079999952</v>
      </c>
      <c r="BF119" s="29">
        <f t="shared" si="163"/>
        <v>811022.21567999944</v>
      </c>
      <c r="BG119" s="29">
        <f t="shared" si="163"/>
        <v>833550.61055999948</v>
      </c>
      <c r="BH119" s="29">
        <f t="shared" si="163"/>
        <v>856079.0054399994</v>
      </c>
      <c r="BI119" s="29">
        <f t="shared" si="163"/>
        <v>878607.40031999943</v>
      </c>
      <c r="BJ119" s="29">
        <f t="shared" si="163"/>
        <v>901135.79519999935</v>
      </c>
      <c r="BK119" s="29">
        <f t="shared" si="163"/>
        <v>923664.19007999939</v>
      </c>
      <c r="BL119" s="29">
        <f t="shared" si="163"/>
        <v>946192.58495999931</v>
      </c>
      <c r="BM119" s="29">
        <f t="shared" si="163"/>
        <v>968720.97983999923</v>
      </c>
      <c r="BN119" s="29">
        <f t="shared" si="163"/>
        <v>991249.37471999926</v>
      </c>
      <c r="BO119" s="29">
        <f t="shared" si="163"/>
        <v>1013777.7695999992</v>
      </c>
      <c r="BP119" s="29">
        <f t="shared" si="163"/>
        <v>1036306.1644799992</v>
      </c>
    </row>
    <row r="120" spans="4:68" outlineLevel="1" x14ac:dyDescent="0.2">
      <c r="D120" s="66" t="s">
        <v>372</v>
      </c>
      <c r="E120" s="80"/>
      <c r="F120" s="80"/>
      <c r="G120" s="80"/>
      <c r="H120" s="80"/>
      <c r="I120" s="80"/>
      <c r="J120" s="80"/>
      <c r="K120" s="80"/>
      <c r="L120" s="436">
        <f t="shared" si="161"/>
        <v>0</v>
      </c>
      <c r="M120" s="466"/>
      <c r="N120" s="467"/>
      <c r="O120" s="467"/>
      <c r="P120" s="467"/>
      <c r="Q120" s="467"/>
      <c r="R120" s="29">
        <f t="shared" ref="R120:AW120" si="164">R111*R$22</f>
        <v>0</v>
      </c>
      <c r="S120" s="29">
        <f t="shared" si="164"/>
        <v>0</v>
      </c>
      <c r="T120" s="29">
        <f t="shared" si="164"/>
        <v>0</v>
      </c>
      <c r="U120" s="29">
        <f t="shared" si="164"/>
        <v>0</v>
      </c>
      <c r="V120" s="29">
        <f t="shared" si="164"/>
        <v>0</v>
      </c>
      <c r="W120" s="29">
        <f t="shared" si="164"/>
        <v>0</v>
      </c>
      <c r="X120" s="29">
        <f t="shared" si="164"/>
        <v>0</v>
      </c>
      <c r="Y120" s="29">
        <f t="shared" si="164"/>
        <v>0</v>
      </c>
      <c r="Z120" s="29">
        <f t="shared" si="164"/>
        <v>0</v>
      </c>
      <c r="AA120" s="29">
        <f t="shared" si="164"/>
        <v>0</v>
      </c>
      <c r="AB120" s="29">
        <f t="shared" si="164"/>
        <v>0</v>
      </c>
      <c r="AC120" s="29">
        <f t="shared" si="164"/>
        <v>0</v>
      </c>
      <c r="AD120" s="29">
        <f t="shared" si="164"/>
        <v>0</v>
      </c>
      <c r="AE120" s="29">
        <f t="shared" si="164"/>
        <v>0</v>
      </c>
      <c r="AF120" s="29">
        <f t="shared" si="164"/>
        <v>0</v>
      </c>
      <c r="AG120" s="29">
        <f t="shared" si="164"/>
        <v>0</v>
      </c>
      <c r="AH120" s="29">
        <f t="shared" si="164"/>
        <v>0</v>
      </c>
      <c r="AI120" s="29">
        <f t="shared" si="164"/>
        <v>0</v>
      </c>
      <c r="AJ120" s="29">
        <f t="shared" si="164"/>
        <v>0</v>
      </c>
      <c r="AK120" s="29">
        <f t="shared" si="164"/>
        <v>0</v>
      </c>
      <c r="AL120" s="29">
        <f t="shared" si="164"/>
        <v>0</v>
      </c>
      <c r="AM120" s="29">
        <f t="shared" si="164"/>
        <v>0</v>
      </c>
      <c r="AN120" s="29">
        <f t="shared" si="164"/>
        <v>0</v>
      </c>
      <c r="AO120" s="29">
        <f t="shared" si="164"/>
        <v>0</v>
      </c>
      <c r="AP120" s="29">
        <f t="shared" si="164"/>
        <v>0</v>
      </c>
      <c r="AQ120" s="29">
        <f t="shared" si="164"/>
        <v>0</v>
      </c>
      <c r="AR120" s="29">
        <f t="shared" si="164"/>
        <v>0</v>
      </c>
      <c r="AS120" s="29">
        <f t="shared" si="164"/>
        <v>0</v>
      </c>
      <c r="AT120" s="29">
        <f t="shared" si="164"/>
        <v>0</v>
      </c>
      <c r="AU120" s="29">
        <f t="shared" si="164"/>
        <v>0</v>
      </c>
      <c r="AV120" s="29">
        <f t="shared" si="164"/>
        <v>0</v>
      </c>
      <c r="AW120" s="29">
        <f t="shared" si="164"/>
        <v>0</v>
      </c>
      <c r="AX120" s="29">
        <f t="shared" ref="AX120:BP120" si="165">AX111*AX$22</f>
        <v>0</v>
      </c>
      <c r="AY120" s="29">
        <f t="shared" si="165"/>
        <v>0</v>
      </c>
      <c r="AZ120" s="29">
        <f t="shared" si="165"/>
        <v>0</v>
      </c>
      <c r="BA120" s="29">
        <f t="shared" si="165"/>
        <v>0</v>
      </c>
      <c r="BB120" s="29">
        <f t="shared" si="165"/>
        <v>0</v>
      </c>
      <c r="BC120" s="29">
        <f t="shared" si="165"/>
        <v>0</v>
      </c>
      <c r="BD120" s="29">
        <f t="shared" si="165"/>
        <v>0</v>
      </c>
      <c r="BE120" s="29">
        <f t="shared" si="165"/>
        <v>0</v>
      </c>
      <c r="BF120" s="29">
        <f t="shared" si="165"/>
        <v>0</v>
      </c>
      <c r="BG120" s="29">
        <f t="shared" si="165"/>
        <v>0</v>
      </c>
      <c r="BH120" s="29">
        <f t="shared" si="165"/>
        <v>0</v>
      </c>
      <c r="BI120" s="29">
        <f t="shared" si="165"/>
        <v>0</v>
      </c>
      <c r="BJ120" s="29">
        <f t="shared" si="165"/>
        <v>0</v>
      </c>
      <c r="BK120" s="29">
        <f t="shared" si="165"/>
        <v>0</v>
      </c>
      <c r="BL120" s="29">
        <f t="shared" si="165"/>
        <v>0</v>
      </c>
      <c r="BM120" s="29">
        <f t="shared" si="165"/>
        <v>0</v>
      </c>
      <c r="BN120" s="29">
        <f t="shared" si="165"/>
        <v>0</v>
      </c>
      <c r="BO120" s="29">
        <f t="shared" si="165"/>
        <v>0</v>
      </c>
      <c r="BP120" s="29">
        <f t="shared" si="165"/>
        <v>0</v>
      </c>
    </row>
    <row r="121" spans="4:68" outlineLevel="1" x14ac:dyDescent="0.2">
      <c r="D121" s="89" t="s">
        <v>373</v>
      </c>
      <c r="E121" s="80"/>
      <c r="F121" s="80"/>
      <c r="G121" s="80"/>
      <c r="H121" s="80"/>
      <c r="I121" s="80"/>
      <c r="J121" s="80"/>
      <c r="K121" s="80"/>
      <c r="L121" s="436">
        <f t="shared" si="161"/>
        <v>0</v>
      </c>
      <c r="M121" s="466"/>
      <c r="N121" s="467"/>
      <c r="O121" s="467"/>
      <c r="P121" s="467"/>
      <c r="Q121" s="467"/>
      <c r="R121" s="29">
        <f t="shared" ref="R121:AW121" si="166">R112*R$22</f>
        <v>0</v>
      </c>
      <c r="S121" s="29">
        <f t="shared" si="166"/>
        <v>0</v>
      </c>
      <c r="T121" s="29">
        <f t="shared" si="166"/>
        <v>0</v>
      </c>
      <c r="U121" s="29">
        <f t="shared" si="166"/>
        <v>0</v>
      </c>
      <c r="V121" s="29">
        <f t="shared" si="166"/>
        <v>0</v>
      </c>
      <c r="W121" s="29">
        <f t="shared" si="166"/>
        <v>0</v>
      </c>
      <c r="X121" s="29">
        <f t="shared" si="166"/>
        <v>0</v>
      </c>
      <c r="Y121" s="29">
        <f t="shared" si="166"/>
        <v>0</v>
      </c>
      <c r="Z121" s="29">
        <f t="shared" si="166"/>
        <v>0</v>
      </c>
      <c r="AA121" s="29">
        <f t="shared" si="166"/>
        <v>0</v>
      </c>
      <c r="AB121" s="29">
        <f t="shared" si="166"/>
        <v>0</v>
      </c>
      <c r="AC121" s="29">
        <f t="shared" si="166"/>
        <v>0</v>
      </c>
      <c r="AD121" s="29">
        <f t="shared" si="166"/>
        <v>0</v>
      </c>
      <c r="AE121" s="29">
        <f t="shared" si="166"/>
        <v>0</v>
      </c>
      <c r="AF121" s="29">
        <f t="shared" si="166"/>
        <v>0</v>
      </c>
      <c r="AG121" s="29">
        <f t="shared" si="166"/>
        <v>0</v>
      </c>
      <c r="AH121" s="29">
        <f t="shared" si="166"/>
        <v>0</v>
      </c>
      <c r="AI121" s="29">
        <f t="shared" si="166"/>
        <v>0</v>
      </c>
      <c r="AJ121" s="29">
        <f t="shared" si="166"/>
        <v>0</v>
      </c>
      <c r="AK121" s="29">
        <f t="shared" si="166"/>
        <v>0</v>
      </c>
      <c r="AL121" s="29">
        <f t="shared" si="166"/>
        <v>0</v>
      </c>
      <c r="AM121" s="29">
        <f t="shared" si="166"/>
        <v>0</v>
      </c>
      <c r="AN121" s="29">
        <f t="shared" si="166"/>
        <v>0</v>
      </c>
      <c r="AO121" s="29">
        <f t="shared" si="166"/>
        <v>0</v>
      </c>
      <c r="AP121" s="29">
        <f t="shared" si="166"/>
        <v>0</v>
      </c>
      <c r="AQ121" s="29">
        <f t="shared" si="166"/>
        <v>0</v>
      </c>
      <c r="AR121" s="29">
        <f t="shared" si="166"/>
        <v>0</v>
      </c>
      <c r="AS121" s="29">
        <f t="shared" si="166"/>
        <v>0</v>
      </c>
      <c r="AT121" s="29">
        <f t="shared" si="166"/>
        <v>0</v>
      </c>
      <c r="AU121" s="29">
        <f t="shared" si="166"/>
        <v>0</v>
      </c>
      <c r="AV121" s="29">
        <f t="shared" si="166"/>
        <v>0</v>
      </c>
      <c r="AW121" s="29">
        <f t="shared" si="166"/>
        <v>0</v>
      </c>
      <c r="AX121" s="29">
        <f t="shared" ref="AX121:BP121" si="167">AX112*AX$22</f>
        <v>0</v>
      </c>
      <c r="AY121" s="29">
        <f t="shared" si="167"/>
        <v>0</v>
      </c>
      <c r="AZ121" s="29">
        <f t="shared" si="167"/>
        <v>0</v>
      </c>
      <c r="BA121" s="29">
        <f t="shared" si="167"/>
        <v>0</v>
      </c>
      <c r="BB121" s="29">
        <f t="shared" si="167"/>
        <v>0</v>
      </c>
      <c r="BC121" s="29">
        <f t="shared" si="167"/>
        <v>0</v>
      </c>
      <c r="BD121" s="29">
        <f t="shared" si="167"/>
        <v>0</v>
      </c>
      <c r="BE121" s="29">
        <f t="shared" si="167"/>
        <v>0</v>
      </c>
      <c r="BF121" s="29">
        <f t="shared" si="167"/>
        <v>0</v>
      </c>
      <c r="BG121" s="29">
        <f t="shared" si="167"/>
        <v>0</v>
      </c>
      <c r="BH121" s="29">
        <f t="shared" si="167"/>
        <v>0</v>
      </c>
      <c r="BI121" s="29">
        <f t="shared" si="167"/>
        <v>0</v>
      </c>
      <c r="BJ121" s="29">
        <f t="shared" si="167"/>
        <v>0</v>
      </c>
      <c r="BK121" s="29">
        <f t="shared" si="167"/>
        <v>0</v>
      </c>
      <c r="BL121" s="29">
        <f t="shared" si="167"/>
        <v>0</v>
      </c>
      <c r="BM121" s="29">
        <f t="shared" si="167"/>
        <v>0</v>
      </c>
      <c r="BN121" s="29">
        <f t="shared" si="167"/>
        <v>0</v>
      </c>
      <c r="BO121" s="29">
        <f t="shared" si="167"/>
        <v>0</v>
      </c>
      <c r="BP121" s="29">
        <f t="shared" si="167"/>
        <v>0</v>
      </c>
    </row>
    <row r="122" spans="4:68" ht="10.35" customHeight="1" outlineLevel="1" x14ac:dyDescent="0.2">
      <c r="D122" s="88" t="s">
        <v>374</v>
      </c>
      <c r="E122" s="458"/>
      <c r="F122" s="458"/>
      <c r="G122" s="459"/>
      <c r="H122" s="459"/>
      <c r="I122" s="458"/>
      <c r="J122" s="458"/>
      <c r="K122" s="458"/>
      <c r="L122" s="461">
        <f>SUM(R122:BP122)</f>
        <v>25935296.170079987</v>
      </c>
      <c r="M122" s="462"/>
      <c r="N122" s="463"/>
      <c r="O122" s="463"/>
      <c r="P122" s="463"/>
      <c r="Q122" s="463"/>
      <c r="R122" s="460">
        <f t="shared" ref="R122:AW122" si="168">SUM(R119:R121)</f>
        <v>0</v>
      </c>
      <c r="S122" s="460">
        <f t="shared" si="168"/>
        <v>0</v>
      </c>
      <c r="T122" s="460">
        <f t="shared" si="168"/>
        <v>0</v>
      </c>
      <c r="U122" s="460">
        <f t="shared" si="168"/>
        <v>93374.327999999994</v>
      </c>
      <c r="V122" s="460">
        <f t="shared" si="168"/>
        <v>186885.6024</v>
      </c>
      <c r="W122" s="460">
        <f t="shared" si="168"/>
        <v>280943.87807999999</v>
      </c>
      <c r="X122" s="460">
        <f t="shared" si="168"/>
        <v>333769.44688</v>
      </c>
      <c r="Y122" s="460">
        <f t="shared" si="168"/>
        <v>389096.81760000001</v>
      </c>
      <c r="Z122" s="460">
        <f t="shared" si="168"/>
        <v>306151.79216000001</v>
      </c>
      <c r="AA122" s="460">
        <f t="shared" si="168"/>
        <v>241881.63232000003</v>
      </c>
      <c r="AB122" s="460">
        <f t="shared" si="168"/>
        <v>200048.70048000003</v>
      </c>
      <c r="AC122" s="460">
        <f t="shared" si="168"/>
        <v>180744.16352000003</v>
      </c>
      <c r="AD122" s="460">
        <f t="shared" si="168"/>
        <v>180227.15904000003</v>
      </c>
      <c r="AE122" s="460">
        <f t="shared" si="168"/>
        <v>202755.55392000003</v>
      </c>
      <c r="AF122" s="460">
        <f t="shared" si="168"/>
        <v>225283.94880000004</v>
      </c>
      <c r="AG122" s="460">
        <f t="shared" si="168"/>
        <v>247812.34368000005</v>
      </c>
      <c r="AH122" s="460">
        <f t="shared" si="168"/>
        <v>270340.73856000003</v>
      </c>
      <c r="AI122" s="460">
        <f t="shared" si="168"/>
        <v>292869.13344000006</v>
      </c>
      <c r="AJ122" s="460">
        <f t="shared" si="168"/>
        <v>315397.52832000004</v>
      </c>
      <c r="AK122" s="460">
        <f t="shared" si="168"/>
        <v>337925.92320000002</v>
      </c>
      <c r="AL122" s="460">
        <f t="shared" si="168"/>
        <v>360454.31808</v>
      </c>
      <c r="AM122" s="460">
        <f t="shared" si="168"/>
        <v>382982.71295999998</v>
      </c>
      <c r="AN122" s="460">
        <f t="shared" si="168"/>
        <v>405511.1078399999</v>
      </c>
      <c r="AO122" s="460">
        <f t="shared" si="168"/>
        <v>428039.50271999987</v>
      </c>
      <c r="AP122" s="460">
        <f t="shared" si="168"/>
        <v>450567.89759999985</v>
      </c>
      <c r="AQ122" s="460">
        <f t="shared" si="168"/>
        <v>473096.29247999983</v>
      </c>
      <c r="AR122" s="460">
        <f t="shared" si="168"/>
        <v>495624.68735999981</v>
      </c>
      <c r="AS122" s="460">
        <f t="shared" si="168"/>
        <v>518153.08223999979</v>
      </c>
      <c r="AT122" s="460">
        <f t="shared" si="168"/>
        <v>540681.47711999982</v>
      </c>
      <c r="AU122" s="460">
        <f t="shared" si="168"/>
        <v>563209.87199999974</v>
      </c>
      <c r="AV122" s="460">
        <f t="shared" si="168"/>
        <v>585738.26687999966</v>
      </c>
      <c r="AW122" s="460">
        <f t="shared" si="168"/>
        <v>608266.6617599997</v>
      </c>
      <c r="AX122" s="460">
        <f t="shared" ref="AX122:BP122" si="169">SUM(AX119:AX121)</f>
        <v>630795.05663999962</v>
      </c>
      <c r="AY122" s="460">
        <f t="shared" si="169"/>
        <v>653323.45151999965</v>
      </c>
      <c r="AZ122" s="460">
        <f t="shared" si="169"/>
        <v>675851.84639999957</v>
      </c>
      <c r="BA122" s="460">
        <f t="shared" si="169"/>
        <v>698380.24127999961</v>
      </c>
      <c r="BB122" s="460">
        <f t="shared" si="169"/>
        <v>720908.63615999953</v>
      </c>
      <c r="BC122" s="460">
        <f t="shared" si="169"/>
        <v>743437.03103999957</v>
      </c>
      <c r="BD122" s="460">
        <f t="shared" si="169"/>
        <v>765965.42591999948</v>
      </c>
      <c r="BE122" s="460">
        <f t="shared" si="169"/>
        <v>788493.82079999952</v>
      </c>
      <c r="BF122" s="460">
        <f t="shared" si="169"/>
        <v>811022.21567999944</v>
      </c>
      <c r="BG122" s="460">
        <f t="shared" si="169"/>
        <v>833550.61055999948</v>
      </c>
      <c r="BH122" s="460">
        <f t="shared" si="169"/>
        <v>856079.0054399994</v>
      </c>
      <c r="BI122" s="460">
        <f t="shared" si="169"/>
        <v>878607.40031999943</v>
      </c>
      <c r="BJ122" s="460">
        <f t="shared" si="169"/>
        <v>901135.79519999935</v>
      </c>
      <c r="BK122" s="460">
        <f t="shared" si="169"/>
        <v>923664.19007999939</v>
      </c>
      <c r="BL122" s="460">
        <f t="shared" si="169"/>
        <v>946192.58495999931</v>
      </c>
      <c r="BM122" s="460">
        <f t="shared" si="169"/>
        <v>968720.97983999923</v>
      </c>
      <c r="BN122" s="460">
        <f t="shared" si="169"/>
        <v>991249.37471999926</v>
      </c>
      <c r="BO122" s="460">
        <f t="shared" si="169"/>
        <v>1013777.7695999992</v>
      </c>
      <c r="BP122" s="460">
        <f t="shared" si="169"/>
        <v>1036306.1644799992</v>
      </c>
    </row>
    <row r="123" spans="4:68" outlineLevel="1" x14ac:dyDescent="0.2">
      <c r="D123" s="80"/>
      <c r="E123" s="80"/>
      <c r="F123" s="80"/>
      <c r="G123" s="80"/>
      <c r="H123" s="80"/>
      <c r="I123" s="80"/>
      <c r="J123" s="80"/>
      <c r="K123" s="80"/>
      <c r="L123" s="412"/>
      <c r="M123" s="413"/>
      <c r="N123" s="80"/>
      <c r="O123" s="80"/>
      <c r="P123" s="80"/>
      <c r="Q123" s="80"/>
      <c r="R123" s="29"/>
      <c r="S123" s="29"/>
      <c r="T123" s="29"/>
      <c r="U123" s="29"/>
      <c r="V123" s="29"/>
      <c r="W123" s="29"/>
      <c r="X123" s="29"/>
      <c r="Y123" s="29"/>
      <c r="Z123" s="29"/>
      <c r="AA123" s="29"/>
      <c r="AB123" s="29"/>
      <c r="AC123" s="29"/>
      <c r="AD123" s="29"/>
      <c r="AE123" s="29"/>
      <c r="AF123" s="29"/>
      <c r="AG123" s="29"/>
      <c r="AH123" s="29"/>
      <c r="AI123" s="29"/>
      <c r="AJ123" s="29"/>
      <c r="AK123" s="29"/>
      <c r="AL123" s="29"/>
      <c r="AM123" s="29"/>
      <c r="AN123" s="29"/>
      <c r="AO123" s="29"/>
      <c r="AP123" s="29"/>
      <c r="AQ123" s="29"/>
      <c r="AR123" s="29"/>
      <c r="AS123" s="29"/>
      <c r="AT123" s="29"/>
      <c r="AU123" s="29"/>
      <c r="AV123" s="29"/>
      <c r="AW123" s="29"/>
      <c r="AX123" s="29"/>
      <c r="AY123" s="29"/>
      <c r="AZ123" s="29"/>
      <c r="BA123" s="29"/>
      <c r="BB123" s="29"/>
      <c r="BC123" s="29"/>
      <c r="BD123" s="29"/>
      <c r="BE123" s="29"/>
      <c r="BF123" s="29"/>
      <c r="BG123" s="29"/>
      <c r="BH123" s="29"/>
      <c r="BI123" s="29"/>
      <c r="BJ123" s="29"/>
      <c r="BK123" s="29"/>
      <c r="BL123" s="29"/>
      <c r="BM123" s="29"/>
      <c r="BN123" s="29"/>
      <c r="BO123" s="29"/>
      <c r="BP123" s="29"/>
    </row>
    <row r="124" spans="4:68" outlineLevel="1" x14ac:dyDescent="0.2">
      <c r="D124" s="362" t="s">
        <v>375</v>
      </c>
      <c r="E124" s="80"/>
      <c r="F124" s="80"/>
      <c r="G124" s="80"/>
      <c r="H124" s="80"/>
      <c r="I124" s="80"/>
      <c r="J124" s="80"/>
      <c r="K124" s="80"/>
      <c r="L124" s="436">
        <f t="shared" ref="L124" si="170">SUM(R124:BP124)</f>
        <v>674885.50411962823</v>
      </c>
      <c r="M124" s="466"/>
      <c r="N124" s="467"/>
      <c r="O124" s="467"/>
      <c r="P124" s="467"/>
      <c r="Q124" s="467"/>
      <c r="R124" s="29">
        <f>R74</f>
        <v>0</v>
      </c>
      <c r="S124" s="29">
        <f t="shared" ref="S124:BP124" si="171">S74</f>
        <v>0</v>
      </c>
      <c r="T124" s="29">
        <f t="shared" si="171"/>
        <v>0</v>
      </c>
      <c r="U124" s="29">
        <f t="shared" si="171"/>
        <v>82215.499612420273</v>
      </c>
      <c r="V124" s="29">
        <f t="shared" si="171"/>
        <v>83418.633341835346</v>
      </c>
      <c r="W124" s="29">
        <f t="shared" si="171"/>
        <v>83981.778737012559</v>
      </c>
      <c r="X124" s="29">
        <f t="shared" si="171"/>
        <v>84039.932594823957</v>
      </c>
      <c r="Y124" s="29">
        <f t="shared" si="171"/>
        <v>85307.414958384019</v>
      </c>
      <c r="Z124" s="29">
        <f t="shared" si="171"/>
        <v>85307.414958384019</v>
      </c>
      <c r="AA124" s="29">
        <f t="shared" si="171"/>
        <v>85307.414958384019</v>
      </c>
      <c r="AB124" s="29">
        <f t="shared" si="171"/>
        <v>85307.414958384019</v>
      </c>
      <c r="AC124" s="29">
        <f t="shared" si="171"/>
        <v>0</v>
      </c>
      <c r="AD124" s="29">
        <f t="shared" si="171"/>
        <v>0</v>
      </c>
      <c r="AE124" s="29">
        <f t="shared" si="171"/>
        <v>0</v>
      </c>
      <c r="AF124" s="29">
        <f t="shared" si="171"/>
        <v>0</v>
      </c>
      <c r="AG124" s="29">
        <f t="shared" si="171"/>
        <v>0</v>
      </c>
      <c r="AH124" s="29">
        <f t="shared" si="171"/>
        <v>0</v>
      </c>
      <c r="AI124" s="29">
        <f t="shared" si="171"/>
        <v>0</v>
      </c>
      <c r="AJ124" s="29">
        <f t="shared" si="171"/>
        <v>0</v>
      </c>
      <c r="AK124" s="29">
        <f t="shared" si="171"/>
        <v>0</v>
      </c>
      <c r="AL124" s="29">
        <f t="shared" si="171"/>
        <v>0</v>
      </c>
      <c r="AM124" s="29">
        <f t="shared" si="171"/>
        <v>0</v>
      </c>
      <c r="AN124" s="29">
        <f t="shared" si="171"/>
        <v>0</v>
      </c>
      <c r="AO124" s="29">
        <f t="shared" si="171"/>
        <v>0</v>
      </c>
      <c r="AP124" s="29">
        <f t="shared" si="171"/>
        <v>0</v>
      </c>
      <c r="AQ124" s="29">
        <f t="shared" si="171"/>
        <v>0</v>
      </c>
      <c r="AR124" s="29">
        <f t="shared" si="171"/>
        <v>0</v>
      </c>
      <c r="AS124" s="29">
        <f t="shared" si="171"/>
        <v>0</v>
      </c>
      <c r="AT124" s="29">
        <f t="shared" si="171"/>
        <v>0</v>
      </c>
      <c r="AU124" s="29">
        <f t="shared" si="171"/>
        <v>0</v>
      </c>
      <c r="AV124" s="29">
        <f t="shared" si="171"/>
        <v>0</v>
      </c>
      <c r="AW124" s="29">
        <f t="shared" si="171"/>
        <v>0</v>
      </c>
      <c r="AX124" s="29">
        <f t="shared" si="171"/>
        <v>0</v>
      </c>
      <c r="AY124" s="29">
        <f t="shared" si="171"/>
        <v>0</v>
      </c>
      <c r="AZ124" s="29">
        <f t="shared" si="171"/>
        <v>0</v>
      </c>
      <c r="BA124" s="29">
        <f t="shared" si="171"/>
        <v>0</v>
      </c>
      <c r="BB124" s="29">
        <f t="shared" si="171"/>
        <v>0</v>
      </c>
      <c r="BC124" s="29">
        <f t="shared" si="171"/>
        <v>0</v>
      </c>
      <c r="BD124" s="29">
        <f t="shared" si="171"/>
        <v>0</v>
      </c>
      <c r="BE124" s="29">
        <f t="shared" si="171"/>
        <v>0</v>
      </c>
      <c r="BF124" s="29">
        <f t="shared" si="171"/>
        <v>0</v>
      </c>
      <c r="BG124" s="29">
        <f t="shared" si="171"/>
        <v>0</v>
      </c>
      <c r="BH124" s="29">
        <f t="shared" si="171"/>
        <v>0</v>
      </c>
      <c r="BI124" s="29">
        <f t="shared" si="171"/>
        <v>0</v>
      </c>
      <c r="BJ124" s="29">
        <f t="shared" si="171"/>
        <v>0</v>
      </c>
      <c r="BK124" s="29">
        <f t="shared" si="171"/>
        <v>0</v>
      </c>
      <c r="BL124" s="29">
        <f t="shared" si="171"/>
        <v>0</v>
      </c>
      <c r="BM124" s="29">
        <f t="shared" si="171"/>
        <v>0</v>
      </c>
      <c r="BN124" s="29">
        <f t="shared" si="171"/>
        <v>0</v>
      </c>
      <c r="BO124" s="29">
        <f t="shared" si="171"/>
        <v>0</v>
      </c>
      <c r="BP124" s="29">
        <f t="shared" si="171"/>
        <v>0</v>
      </c>
    </row>
    <row r="125" spans="4:68" outlineLevel="1" x14ac:dyDescent="0.2">
      <c r="D125" s="80"/>
      <c r="E125" s="80"/>
      <c r="F125" s="80"/>
      <c r="G125" s="80"/>
      <c r="H125" s="80"/>
      <c r="I125" s="80"/>
      <c r="J125" s="80"/>
      <c r="K125" s="80"/>
      <c r="L125" s="412"/>
      <c r="M125" s="413"/>
      <c r="N125" s="80"/>
      <c r="O125" s="80"/>
      <c r="P125" s="80"/>
      <c r="Q125" s="80"/>
      <c r="R125" s="29"/>
      <c r="S125" s="29"/>
      <c r="T125" s="29"/>
      <c r="U125" s="29"/>
      <c r="V125" s="29"/>
      <c r="W125" s="29"/>
      <c r="X125" s="29"/>
      <c r="Y125" s="29"/>
      <c r="Z125" s="29"/>
      <c r="AA125" s="29"/>
      <c r="AB125" s="29"/>
      <c r="AC125" s="29"/>
      <c r="AD125" s="29"/>
      <c r="AE125" s="29"/>
      <c r="AF125" s="29"/>
      <c r="AG125" s="29"/>
      <c r="AH125" s="29"/>
      <c r="AI125" s="29"/>
      <c r="AJ125" s="29"/>
      <c r="AK125" s="29"/>
      <c r="AL125" s="29"/>
      <c r="AM125" s="29"/>
      <c r="AN125" s="29"/>
      <c r="AO125" s="29"/>
      <c r="AP125" s="29"/>
      <c r="AQ125" s="29"/>
      <c r="AR125" s="29"/>
      <c r="AS125" s="29"/>
      <c r="AT125" s="29"/>
      <c r="AU125" s="29"/>
      <c r="AV125" s="29"/>
      <c r="AW125" s="29"/>
      <c r="AX125" s="29"/>
      <c r="AY125" s="29"/>
      <c r="AZ125" s="29"/>
      <c r="BA125" s="29"/>
      <c r="BB125" s="29"/>
      <c r="BC125" s="29"/>
      <c r="BD125" s="29"/>
      <c r="BE125" s="29"/>
      <c r="BF125" s="29"/>
      <c r="BG125" s="29"/>
      <c r="BH125" s="29"/>
      <c r="BI125" s="29"/>
      <c r="BJ125" s="29"/>
      <c r="BK125" s="29"/>
      <c r="BL125" s="29"/>
      <c r="BM125" s="29"/>
      <c r="BN125" s="29"/>
      <c r="BO125" s="29"/>
      <c r="BP125" s="29"/>
    </row>
    <row r="126" spans="4:68" outlineLevel="1" x14ac:dyDescent="0.2">
      <c r="D126" s="10" t="s">
        <v>250</v>
      </c>
      <c r="E126" s="80"/>
      <c r="F126" s="80"/>
      <c r="G126" s="80"/>
      <c r="H126" s="80"/>
      <c r="I126" s="80"/>
      <c r="J126" s="80"/>
      <c r="K126" s="80"/>
      <c r="L126" s="412"/>
      <c r="M126" s="413"/>
      <c r="N126" s="80"/>
      <c r="O126" s="80"/>
      <c r="P126" s="80"/>
      <c r="Q126" s="80"/>
      <c r="R126" s="80"/>
      <c r="S126" s="80"/>
      <c r="T126" s="83"/>
      <c r="U126" s="80"/>
      <c r="V126" s="80"/>
      <c r="W126" s="80"/>
      <c r="X126" s="80"/>
      <c r="Y126" s="80"/>
      <c r="Z126" s="80"/>
      <c r="AA126" s="80"/>
      <c r="AB126" s="80"/>
      <c r="AC126" s="80"/>
      <c r="AD126" s="80"/>
      <c r="AE126" s="80"/>
      <c r="AF126" s="80"/>
      <c r="AG126" s="80"/>
      <c r="AH126" s="80"/>
      <c r="AI126" s="80"/>
      <c r="AJ126" s="80"/>
      <c r="AK126" s="80"/>
      <c r="AL126" s="80"/>
      <c r="AM126" s="80"/>
      <c r="AN126" s="80"/>
      <c r="AO126" s="80"/>
      <c r="AP126" s="80"/>
      <c r="AQ126" s="80"/>
      <c r="AR126" s="80"/>
      <c r="AS126" s="80"/>
      <c r="AT126" s="80"/>
      <c r="AU126" s="80"/>
      <c r="AV126" s="80"/>
      <c r="AW126" s="80"/>
      <c r="AX126" s="80"/>
      <c r="AY126" s="80"/>
      <c r="AZ126" s="80"/>
      <c r="BA126" s="80"/>
      <c r="BB126" s="80"/>
      <c r="BC126" s="80"/>
      <c r="BD126" s="80"/>
      <c r="BE126" s="80"/>
      <c r="BF126" s="80"/>
      <c r="BG126" s="80"/>
      <c r="BH126" s="80"/>
      <c r="BI126" s="80"/>
      <c r="BJ126" s="80"/>
      <c r="BK126" s="80"/>
      <c r="BL126" s="80"/>
      <c r="BM126" s="80"/>
      <c r="BN126" s="80"/>
      <c r="BO126" s="80"/>
      <c r="BP126" s="80"/>
    </row>
    <row r="127" spans="4:68" outlineLevel="1" x14ac:dyDescent="0.2">
      <c r="D127" s="66" t="s">
        <v>376</v>
      </c>
      <c r="E127" s="80"/>
      <c r="F127" s="80"/>
      <c r="G127" s="80"/>
      <c r="H127" s="80"/>
      <c r="I127" s="80"/>
      <c r="J127" s="80"/>
      <c r="K127" s="80"/>
      <c r="L127" s="436">
        <f t="shared" ref="L127:L130" si="172">SUM(R127:BP127)</f>
        <v>-14794740.199999992</v>
      </c>
      <c r="M127" s="466"/>
      <c r="N127" s="467"/>
      <c r="O127" s="467"/>
      <c r="P127" s="467"/>
      <c r="Q127" s="467"/>
      <c r="R127" s="29">
        <f t="shared" ref="R127:AW127" si="173">-R85</f>
        <v>0</v>
      </c>
      <c r="S127" s="29">
        <f t="shared" si="173"/>
        <v>0</v>
      </c>
      <c r="T127" s="29">
        <f t="shared" si="173"/>
        <v>0</v>
      </c>
      <c r="U127" s="29">
        <f t="shared" si="173"/>
        <v>0</v>
      </c>
      <c r="V127" s="29">
        <f t="shared" si="173"/>
        <v>542874</v>
      </c>
      <c r="W127" s="29">
        <f t="shared" si="173"/>
        <v>540223.80000000005</v>
      </c>
      <c r="X127" s="29">
        <f t="shared" si="173"/>
        <v>1195119</v>
      </c>
      <c r="Y127" s="29">
        <f t="shared" si="173"/>
        <v>1741268.2</v>
      </c>
      <c r="Z127" s="29">
        <f t="shared" si="173"/>
        <v>2411192.6</v>
      </c>
      <c r="AA127" s="29">
        <f t="shared" si="173"/>
        <v>1868318.6</v>
      </c>
      <c r="AB127" s="29">
        <f t="shared" si="173"/>
        <v>1216073.6000000001</v>
      </c>
      <c r="AC127" s="29">
        <f t="shared" si="173"/>
        <v>561178.40000000014</v>
      </c>
      <c r="AD127" s="29">
        <f t="shared" si="173"/>
        <v>15029.200000000186</v>
      </c>
      <c r="AE127" s="29">
        <f t="shared" si="173"/>
        <v>-654895.19999999984</v>
      </c>
      <c r="AF127" s="29">
        <f t="shared" si="173"/>
        <v>-654895.19999999984</v>
      </c>
      <c r="AG127" s="29">
        <f t="shared" si="173"/>
        <v>-654895.19999999984</v>
      </c>
      <c r="AH127" s="29">
        <f t="shared" si="173"/>
        <v>-654895.19999999984</v>
      </c>
      <c r="AI127" s="29">
        <f t="shared" si="173"/>
        <v>-654895.19999999984</v>
      </c>
      <c r="AJ127" s="29">
        <f t="shared" si="173"/>
        <v>-654895.19999999984</v>
      </c>
      <c r="AK127" s="29">
        <f t="shared" si="173"/>
        <v>-654895.19999999984</v>
      </c>
      <c r="AL127" s="29">
        <f t="shared" si="173"/>
        <v>-654895.19999999984</v>
      </c>
      <c r="AM127" s="29">
        <f t="shared" si="173"/>
        <v>-654895.19999999984</v>
      </c>
      <c r="AN127" s="29">
        <f t="shared" si="173"/>
        <v>-654895.19999999984</v>
      </c>
      <c r="AO127" s="29">
        <f t="shared" si="173"/>
        <v>-654895.19999999984</v>
      </c>
      <c r="AP127" s="29">
        <f t="shared" si="173"/>
        <v>-654895.19999999984</v>
      </c>
      <c r="AQ127" s="29">
        <f t="shared" si="173"/>
        <v>-654895.19999999984</v>
      </c>
      <c r="AR127" s="29">
        <f t="shared" si="173"/>
        <v>-654895.19999999984</v>
      </c>
      <c r="AS127" s="29">
        <f t="shared" si="173"/>
        <v>-654895.19999999984</v>
      </c>
      <c r="AT127" s="29">
        <f t="shared" si="173"/>
        <v>-654895.19999999984</v>
      </c>
      <c r="AU127" s="29">
        <f t="shared" si="173"/>
        <v>-654895.19999999984</v>
      </c>
      <c r="AV127" s="29">
        <f t="shared" si="173"/>
        <v>-654895.19999999984</v>
      </c>
      <c r="AW127" s="29">
        <f t="shared" si="173"/>
        <v>-654895.19999999984</v>
      </c>
      <c r="AX127" s="29">
        <f t="shared" ref="AX127:BP127" si="174">-AX85</f>
        <v>-654895.19999999984</v>
      </c>
      <c r="AY127" s="29">
        <f t="shared" si="174"/>
        <v>-654895.19999999984</v>
      </c>
      <c r="AZ127" s="29">
        <f t="shared" si="174"/>
        <v>-654895.19999999984</v>
      </c>
      <c r="BA127" s="29">
        <f t="shared" si="174"/>
        <v>-654895.19999999984</v>
      </c>
      <c r="BB127" s="29">
        <f t="shared" si="174"/>
        <v>-654895.19999999984</v>
      </c>
      <c r="BC127" s="29">
        <f t="shared" si="174"/>
        <v>-654895.19999999984</v>
      </c>
      <c r="BD127" s="29">
        <f t="shared" si="174"/>
        <v>-654895.19999999984</v>
      </c>
      <c r="BE127" s="29">
        <f t="shared" si="174"/>
        <v>-654895.19999999984</v>
      </c>
      <c r="BF127" s="29">
        <f t="shared" si="174"/>
        <v>-654895.19999999984</v>
      </c>
      <c r="BG127" s="29">
        <f t="shared" si="174"/>
        <v>-654895.19999999984</v>
      </c>
      <c r="BH127" s="29">
        <f t="shared" si="174"/>
        <v>-654895.19999999984</v>
      </c>
      <c r="BI127" s="29">
        <f t="shared" si="174"/>
        <v>-654895.19999999984</v>
      </c>
      <c r="BJ127" s="29">
        <f t="shared" si="174"/>
        <v>-654895.19999999984</v>
      </c>
      <c r="BK127" s="29">
        <f t="shared" si="174"/>
        <v>-654895.19999999984</v>
      </c>
      <c r="BL127" s="29">
        <f t="shared" si="174"/>
        <v>-654895.19999999984</v>
      </c>
      <c r="BM127" s="29">
        <f t="shared" si="174"/>
        <v>-654895.19999999984</v>
      </c>
      <c r="BN127" s="29">
        <f t="shared" si="174"/>
        <v>-654895.19999999984</v>
      </c>
      <c r="BO127" s="29">
        <f t="shared" si="174"/>
        <v>-654895.19999999984</v>
      </c>
      <c r="BP127" s="29">
        <f t="shared" si="174"/>
        <v>-654895.19999999984</v>
      </c>
    </row>
    <row r="128" spans="4:68" outlineLevel="1" x14ac:dyDescent="0.2">
      <c r="D128" s="66" t="s">
        <v>377</v>
      </c>
      <c r="E128" s="80"/>
      <c r="F128" s="80"/>
      <c r="G128" s="80"/>
      <c r="H128" s="80"/>
      <c r="I128" s="80"/>
      <c r="J128" s="80"/>
      <c r="K128" s="80"/>
      <c r="L128" s="436">
        <f t="shared" si="172"/>
        <v>0</v>
      </c>
      <c r="M128" s="466"/>
      <c r="N128" s="467"/>
      <c r="O128" s="467"/>
      <c r="P128" s="467"/>
      <c r="Q128" s="467"/>
      <c r="R128" s="29">
        <f t="shared" ref="R128:AW128" si="175">-R91</f>
        <v>0</v>
      </c>
      <c r="S128" s="29">
        <f t="shared" si="175"/>
        <v>0</v>
      </c>
      <c r="T128" s="29">
        <f t="shared" si="175"/>
        <v>0</v>
      </c>
      <c r="U128" s="29">
        <f t="shared" si="175"/>
        <v>0</v>
      </c>
      <c r="V128" s="29">
        <f t="shared" si="175"/>
        <v>0</v>
      </c>
      <c r="W128" s="29">
        <f t="shared" si="175"/>
        <v>0</v>
      </c>
      <c r="X128" s="29">
        <f t="shared" si="175"/>
        <v>0</v>
      </c>
      <c r="Y128" s="29">
        <f t="shared" si="175"/>
        <v>0</v>
      </c>
      <c r="Z128" s="29">
        <f t="shared" si="175"/>
        <v>0</v>
      </c>
      <c r="AA128" s="29">
        <f t="shared" si="175"/>
        <v>0</v>
      </c>
      <c r="AB128" s="29">
        <f t="shared" si="175"/>
        <v>0</v>
      </c>
      <c r="AC128" s="29">
        <f t="shared" si="175"/>
        <v>0</v>
      </c>
      <c r="AD128" s="29">
        <f t="shared" si="175"/>
        <v>0</v>
      </c>
      <c r="AE128" s="29">
        <f t="shared" si="175"/>
        <v>0</v>
      </c>
      <c r="AF128" s="29">
        <f t="shared" si="175"/>
        <v>0</v>
      </c>
      <c r="AG128" s="29">
        <f t="shared" si="175"/>
        <v>0</v>
      </c>
      <c r="AH128" s="29">
        <f t="shared" si="175"/>
        <v>0</v>
      </c>
      <c r="AI128" s="29">
        <f t="shared" si="175"/>
        <v>0</v>
      </c>
      <c r="AJ128" s="29">
        <f t="shared" si="175"/>
        <v>0</v>
      </c>
      <c r="AK128" s="29">
        <f t="shared" si="175"/>
        <v>0</v>
      </c>
      <c r="AL128" s="29">
        <f t="shared" si="175"/>
        <v>0</v>
      </c>
      <c r="AM128" s="29">
        <f t="shared" si="175"/>
        <v>0</v>
      </c>
      <c r="AN128" s="29">
        <f t="shared" si="175"/>
        <v>0</v>
      </c>
      <c r="AO128" s="29">
        <f t="shared" si="175"/>
        <v>0</v>
      </c>
      <c r="AP128" s="29">
        <f t="shared" si="175"/>
        <v>0</v>
      </c>
      <c r="AQ128" s="29">
        <f t="shared" si="175"/>
        <v>0</v>
      </c>
      <c r="AR128" s="29">
        <f t="shared" si="175"/>
        <v>0</v>
      </c>
      <c r="AS128" s="29">
        <f t="shared" si="175"/>
        <v>0</v>
      </c>
      <c r="AT128" s="29">
        <f t="shared" si="175"/>
        <v>0</v>
      </c>
      <c r="AU128" s="29">
        <f t="shared" si="175"/>
        <v>0</v>
      </c>
      <c r="AV128" s="29">
        <f t="shared" si="175"/>
        <v>0</v>
      </c>
      <c r="AW128" s="29">
        <f t="shared" si="175"/>
        <v>0</v>
      </c>
      <c r="AX128" s="29">
        <f t="shared" ref="AX128:BP128" si="176">-AX91</f>
        <v>0</v>
      </c>
      <c r="AY128" s="29">
        <f t="shared" si="176"/>
        <v>0</v>
      </c>
      <c r="AZ128" s="29">
        <f t="shared" si="176"/>
        <v>0</v>
      </c>
      <c r="BA128" s="29">
        <f t="shared" si="176"/>
        <v>0</v>
      </c>
      <c r="BB128" s="29">
        <f t="shared" si="176"/>
        <v>0</v>
      </c>
      <c r="BC128" s="29">
        <f t="shared" si="176"/>
        <v>0</v>
      </c>
      <c r="BD128" s="29">
        <f t="shared" si="176"/>
        <v>0</v>
      </c>
      <c r="BE128" s="29">
        <f t="shared" si="176"/>
        <v>0</v>
      </c>
      <c r="BF128" s="29">
        <f t="shared" si="176"/>
        <v>0</v>
      </c>
      <c r="BG128" s="29">
        <f t="shared" si="176"/>
        <v>0</v>
      </c>
      <c r="BH128" s="29">
        <f t="shared" si="176"/>
        <v>0</v>
      </c>
      <c r="BI128" s="29">
        <f t="shared" si="176"/>
        <v>0</v>
      </c>
      <c r="BJ128" s="29">
        <f t="shared" si="176"/>
        <v>0</v>
      </c>
      <c r="BK128" s="29">
        <f t="shared" si="176"/>
        <v>0</v>
      </c>
      <c r="BL128" s="29">
        <f t="shared" si="176"/>
        <v>0</v>
      </c>
      <c r="BM128" s="29">
        <f t="shared" si="176"/>
        <v>0</v>
      </c>
      <c r="BN128" s="29">
        <f t="shared" si="176"/>
        <v>0</v>
      </c>
      <c r="BO128" s="29">
        <f t="shared" si="176"/>
        <v>0</v>
      </c>
      <c r="BP128" s="29">
        <f t="shared" si="176"/>
        <v>0</v>
      </c>
    </row>
    <row r="129" spans="2:68" outlineLevel="1" x14ac:dyDescent="0.2">
      <c r="B129" s="80"/>
      <c r="C129" s="80"/>
      <c r="D129" s="89" t="s">
        <v>378</v>
      </c>
      <c r="E129" s="80"/>
      <c r="F129" s="80"/>
      <c r="G129" s="80"/>
      <c r="H129" s="80"/>
      <c r="I129" s="80"/>
      <c r="J129" s="80"/>
      <c r="K129" s="80"/>
      <c r="L129" s="436">
        <f t="shared" si="172"/>
        <v>0</v>
      </c>
      <c r="M129" s="466"/>
      <c r="N129" s="467"/>
      <c r="O129" s="467"/>
      <c r="P129" s="467"/>
      <c r="Q129" s="467"/>
      <c r="R129" s="29">
        <f t="shared" ref="R129:AW129" si="177">-R97</f>
        <v>0</v>
      </c>
      <c r="S129" s="29">
        <f t="shared" si="177"/>
        <v>0</v>
      </c>
      <c r="T129" s="29">
        <f t="shared" si="177"/>
        <v>0</v>
      </c>
      <c r="U129" s="29">
        <f t="shared" si="177"/>
        <v>0</v>
      </c>
      <c r="V129" s="29">
        <f t="shared" si="177"/>
        <v>0</v>
      </c>
      <c r="W129" s="29">
        <f t="shared" si="177"/>
        <v>0</v>
      </c>
      <c r="X129" s="29">
        <f t="shared" si="177"/>
        <v>0</v>
      </c>
      <c r="Y129" s="29">
        <f t="shared" si="177"/>
        <v>0</v>
      </c>
      <c r="Z129" s="29">
        <f t="shared" si="177"/>
        <v>0</v>
      </c>
      <c r="AA129" s="29">
        <f t="shared" si="177"/>
        <v>0</v>
      </c>
      <c r="AB129" s="29">
        <f t="shared" si="177"/>
        <v>0</v>
      </c>
      <c r="AC129" s="29">
        <f t="shared" si="177"/>
        <v>0</v>
      </c>
      <c r="AD129" s="29">
        <f t="shared" si="177"/>
        <v>0</v>
      </c>
      <c r="AE129" s="29">
        <f t="shared" si="177"/>
        <v>0</v>
      </c>
      <c r="AF129" s="29">
        <f t="shared" si="177"/>
        <v>0</v>
      </c>
      <c r="AG129" s="29">
        <f t="shared" si="177"/>
        <v>0</v>
      </c>
      <c r="AH129" s="29">
        <f t="shared" si="177"/>
        <v>0</v>
      </c>
      <c r="AI129" s="29">
        <f t="shared" si="177"/>
        <v>0</v>
      </c>
      <c r="AJ129" s="29">
        <f t="shared" si="177"/>
        <v>0</v>
      </c>
      <c r="AK129" s="29">
        <f t="shared" si="177"/>
        <v>0</v>
      </c>
      <c r="AL129" s="29">
        <f t="shared" si="177"/>
        <v>0</v>
      </c>
      <c r="AM129" s="29">
        <f t="shared" si="177"/>
        <v>0</v>
      </c>
      <c r="AN129" s="29">
        <f t="shared" si="177"/>
        <v>0</v>
      </c>
      <c r="AO129" s="29">
        <f t="shared" si="177"/>
        <v>0</v>
      </c>
      <c r="AP129" s="29">
        <f t="shared" si="177"/>
        <v>0</v>
      </c>
      <c r="AQ129" s="29">
        <f t="shared" si="177"/>
        <v>0</v>
      </c>
      <c r="AR129" s="29">
        <f t="shared" si="177"/>
        <v>0</v>
      </c>
      <c r="AS129" s="29">
        <f t="shared" si="177"/>
        <v>0</v>
      </c>
      <c r="AT129" s="29">
        <f t="shared" si="177"/>
        <v>0</v>
      </c>
      <c r="AU129" s="29">
        <f t="shared" si="177"/>
        <v>0</v>
      </c>
      <c r="AV129" s="29">
        <f t="shared" si="177"/>
        <v>0</v>
      </c>
      <c r="AW129" s="29">
        <f t="shared" si="177"/>
        <v>0</v>
      </c>
      <c r="AX129" s="29">
        <f t="shared" ref="AX129:BP129" si="178">-AX97</f>
        <v>0</v>
      </c>
      <c r="AY129" s="29">
        <f t="shared" si="178"/>
        <v>0</v>
      </c>
      <c r="AZ129" s="29">
        <f t="shared" si="178"/>
        <v>0</v>
      </c>
      <c r="BA129" s="29">
        <f t="shared" si="178"/>
        <v>0</v>
      </c>
      <c r="BB129" s="29">
        <f t="shared" si="178"/>
        <v>0</v>
      </c>
      <c r="BC129" s="29">
        <f t="shared" si="178"/>
        <v>0</v>
      </c>
      <c r="BD129" s="29">
        <f t="shared" si="178"/>
        <v>0</v>
      </c>
      <c r="BE129" s="29">
        <f t="shared" si="178"/>
        <v>0</v>
      </c>
      <c r="BF129" s="29">
        <f t="shared" si="178"/>
        <v>0</v>
      </c>
      <c r="BG129" s="29">
        <f t="shared" si="178"/>
        <v>0</v>
      </c>
      <c r="BH129" s="29">
        <f t="shared" si="178"/>
        <v>0</v>
      </c>
      <c r="BI129" s="29">
        <f t="shared" si="178"/>
        <v>0</v>
      </c>
      <c r="BJ129" s="29">
        <f t="shared" si="178"/>
        <v>0</v>
      </c>
      <c r="BK129" s="29">
        <f t="shared" si="178"/>
        <v>0</v>
      </c>
      <c r="BL129" s="29">
        <f t="shared" si="178"/>
        <v>0</v>
      </c>
      <c r="BM129" s="29">
        <f t="shared" si="178"/>
        <v>0</v>
      </c>
      <c r="BN129" s="29">
        <f t="shared" si="178"/>
        <v>0</v>
      </c>
      <c r="BO129" s="29">
        <f t="shared" si="178"/>
        <v>0</v>
      </c>
      <c r="BP129" s="29">
        <f t="shared" si="178"/>
        <v>0</v>
      </c>
    </row>
    <row r="130" spans="2:68" ht="10.35" customHeight="1" outlineLevel="1" x14ac:dyDescent="0.2">
      <c r="B130" s="80"/>
      <c r="C130" s="80"/>
      <c r="D130" s="88" t="s">
        <v>379</v>
      </c>
      <c r="E130" s="458"/>
      <c r="F130" s="458"/>
      <c r="G130" s="459"/>
      <c r="H130" s="459"/>
      <c r="I130" s="458"/>
      <c r="J130" s="458"/>
      <c r="K130" s="458"/>
      <c r="L130" s="461">
        <f t="shared" si="172"/>
        <v>-14794740.199999992</v>
      </c>
      <c r="M130" s="462"/>
      <c r="N130" s="463"/>
      <c r="O130" s="463"/>
      <c r="P130" s="463"/>
      <c r="Q130" s="463"/>
      <c r="R130" s="460">
        <f t="shared" ref="R130:AW130" si="179">SUM(R127:R129)</f>
        <v>0</v>
      </c>
      <c r="S130" s="460">
        <f t="shared" si="179"/>
        <v>0</v>
      </c>
      <c r="T130" s="460">
        <f t="shared" si="179"/>
        <v>0</v>
      </c>
      <c r="U130" s="460">
        <f t="shared" si="179"/>
        <v>0</v>
      </c>
      <c r="V130" s="460">
        <f t="shared" si="179"/>
        <v>542874</v>
      </c>
      <c r="W130" s="460">
        <f t="shared" si="179"/>
        <v>540223.80000000005</v>
      </c>
      <c r="X130" s="460">
        <f t="shared" si="179"/>
        <v>1195119</v>
      </c>
      <c r="Y130" s="460">
        <f t="shared" si="179"/>
        <v>1741268.2</v>
      </c>
      <c r="Z130" s="460">
        <f t="shared" si="179"/>
        <v>2411192.6</v>
      </c>
      <c r="AA130" s="460">
        <f t="shared" si="179"/>
        <v>1868318.6</v>
      </c>
      <c r="AB130" s="460">
        <f t="shared" si="179"/>
        <v>1216073.6000000001</v>
      </c>
      <c r="AC130" s="460">
        <f t="shared" si="179"/>
        <v>561178.40000000014</v>
      </c>
      <c r="AD130" s="460">
        <f t="shared" si="179"/>
        <v>15029.200000000186</v>
      </c>
      <c r="AE130" s="460">
        <f t="shared" si="179"/>
        <v>-654895.19999999984</v>
      </c>
      <c r="AF130" s="460">
        <f t="shared" si="179"/>
        <v>-654895.19999999984</v>
      </c>
      <c r="AG130" s="460">
        <f t="shared" si="179"/>
        <v>-654895.19999999984</v>
      </c>
      <c r="AH130" s="460">
        <f t="shared" si="179"/>
        <v>-654895.19999999984</v>
      </c>
      <c r="AI130" s="460">
        <f t="shared" si="179"/>
        <v>-654895.19999999984</v>
      </c>
      <c r="AJ130" s="460">
        <f t="shared" si="179"/>
        <v>-654895.19999999984</v>
      </c>
      <c r="AK130" s="460">
        <f t="shared" si="179"/>
        <v>-654895.19999999984</v>
      </c>
      <c r="AL130" s="460">
        <f t="shared" si="179"/>
        <v>-654895.19999999984</v>
      </c>
      <c r="AM130" s="460">
        <f t="shared" si="179"/>
        <v>-654895.19999999984</v>
      </c>
      <c r="AN130" s="460">
        <f t="shared" si="179"/>
        <v>-654895.19999999984</v>
      </c>
      <c r="AO130" s="460">
        <f t="shared" si="179"/>
        <v>-654895.19999999984</v>
      </c>
      <c r="AP130" s="460">
        <f t="shared" si="179"/>
        <v>-654895.19999999984</v>
      </c>
      <c r="AQ130" s="460">
        <f t="shared" si="179"/>
        <v>-654895.19999999984</v>
      </c>
      <c r="AR130" s="460">
        <f t="shared" si="179"/>
        <v>-654895.19999999984</v>
      </c>
      <c r="AS130" s="460">
        <f t="shared" si="179"/>
        <v>-654895.19999999984</v>
      </c>
      <c r="AT130" s="460">
        <f t="shared" si="179"/>
        <v>-654895.19999999984</v>
      </c>
      <c r="AU130" s="460">
        <f t="shared" si="179"/>
        <v>-654895.19999999984</v>
      </c>
      <c r="AV130" s="460">
        <f t="shared" si="179"/>
        <v>-654895.19999999984</v>
      </c>
      <c r="AW130" s="460">
        <f t="shared" si="179"/>
        <v>-654895.19999999984</v>
      </c>
      <c r="AX130" s="460">
        <f t="shared" ref="AX130:BP130" si="180">SUM(AX127:AX129)</f>
        <v>-654895.19999999984</v>
      </c>
      <c r="AY130" s="460">
        <f t="shared" si="180"/>
        <v>-654895.19999999984</v>
      </c>
      <c r="AZ130" s="460">
        <f t="shared" si="180"/>
        <v>-654895.19999999984</v>
      </c>
      <c r="BA130" s="460">
        <f t="shared" si="180"/>
        <v>-654895.19999999984</v>
      </c>
      <c r="BB130" s="460">
        <f t="shared" si="180"/>
        <v>-654895.19999999984</v>
      </c>
      <c r="BC130" s="460">
        <f t="shared" si="180"/>
        <v>-654895.19999999984</v>
      </c>
      <c r="BD130" s="460">
        <f t="shared" si="180"/>
        <v>-654895.19999999984</v>
      </c>
      <c r="BE130" s="460">
        <f t="shared" si="180"/>
        <v>-654895.19999999984</v>
      </c>
      <c r="BF130" s="460">
        <f t="shared" si="180"/>
        <v>-654895.19999999984</v>
      </c>
      <c r="BG130" s="460">
        <f t="shared" si="180"/>
        <v>-654895.19999999984</v>
      </c>
      <c r="BH130" s="460">
        <f t="shared" si="180"/>
        <v>-654895.19999999984</v>
      </c>
      <c r="BI130" s="460">
        <f t="shared" si="180"/>
        <v>-654895.19999999984</v>
      </c>
      <c r="BJ130" s="460">
        <f t="shared" si="180"/>
        <v>-654895.19999999984</v>
      </c>
      <c r="BK130" s="460">
        <f t="shared" si="180"/>
        <v>-654895.19999999984</v>
      </c>
      <c r="BL130" s="460">
        <f t="shared" si="180"/>
        <v>-654895.19999999984</v>
      </c>
      <c r="BM130" s="460">
        <f t="shared" si="180"/>
        <v>-654895.19999999984</v>
      </c>
      <c r="BN130" s="460">
        <f t="shared" si="180"/>
        <v>-654895.19999999984</v>
      </c>
      <c r="BO130" s="460">
        <f t="shared" si="180"/>
        <v>-654895.19999999984</v>
      </c>
      <c r="BP130" s="460">
        <f t="shared" si="180"/>
        <v>-654895.19999999984</v>
      </c>
    </row>
    <row r="131" spans="2:68" outlineLevel="1" x14ac:dyDescent="0.2">
      <c r="B131" s="80"/>
      <c r="C131" s="80"/>
      <c r="D131" s="80"/>
      <c r="E131" s="80"/>
      <c r="F131" s="80"/>
      <c r="G131" s="80"/>
      <c r="H131" s="80"/>
      <c r="I131" s="80"/>
      <c r="J131" s="80"/>
      <c r="K131" s="80"/>
      <c r="L131" s="412"/>
      <c r="M131" s="413"/>
      <c r="N131" s="80"/>
      <c r="O131" s="80"/>
      <c r="P131" s="80"/>
      <c r="Q131" s="80"/>
      <c r="R131" s="80"/>
      <c r="S131" s="80"/>
      <c r="T131" s="83"/>
      <c r="U131" s="80"/>
      <c r="V131" s="80"/>
      <c r="W131" s="80"/>
      <c r="X131" s="80"/>
      <c r="Y131" s="80"/>
      <c r="Z131" s="80"/>
      <c r="AA131" s="80"/>
      <c r="AB131" s="80"/>
      <c r="AC131" s="80"/>
      <c r="AD131" s="80"/>
      <c r="AE131" s="80"/>
      <c r="AF131" s="80"/>
      <c r="AG131" s="80"/>
      <c r="AH131" s="80"/>
      <c r="AI131" s="80"/>
      <c r="AJ131" s="80"/>
      <c r="AK131" s="80"/>
      <c r="AL131" s="80"/>
      <c r="AM131" s="80"/>
      <c r="AN131" s="80"/>
      <c r="AO131" s="80"/>
      <c r="AP131" s="80"/>
      <c r="AQ131" s="80"/>
      <c r="AR131" s="80"/>
      <c r="AS131" s="80"/>
      <c r="AT131" s="80"/>
      <c r="AU131" s="80"/>
      <c r="AV131" s="80"/>
      <c r="AW131" s="80"/>
      <c r="AX131" s="80"/>
      <c r="AY131" s="80"/>
      <c r="AZ131" s="80"/>
      <c r="BA131" s="80"/>
      <c r="BB131" s="80"/>
      <c r="BC131" s="80"/>
      <c r="BD131" s="80"/>
      <c r="BE131" s="80"/>
      <c r="BF131" s="80"/>
      <c r="BG131" s="80"/>
      <c r="BH131" s="80"/>
      <c r="BI131" s="80"/>
      <c r="BJ131" s="80"/>
      <c r="BK131" s="80"/>
      <c r="BL131" s="80"/>
      <c r="BM131" s="80"/>
      <c r="BN131" s="80"/>
      <c r="BO131" s="80"/>
      <c r="BP131" s="80"/>
    </row>
    <row r="132" spans="2:68" outlineLevel="1" x14ac:dyDescent="0.2">
      <c r="B132" s="80"/>
      <c r="C132" s="80"/>
      <c r="D132" s="10" t="s">
        <v>380</v>
      </c>
      <c r="E132" s="80"/>
      <c r="F132" s="80"/>
      <c r="G132" s="80"/>
      <c r="H132" s="80"/>
      <c r="I132" s="80"/>
      <c r="J132" s="80"/>
      <c r="K132" s="80"/>
      <c r="L132" s="412"/>
      <c r="M132" s="413"/>
      <c r="N132" s="80"/>
      <c r="O132" s="80"/>
      <c r="P132" s="80"/>
      <c r="Q132" s="80"/>
      <c r="R132" s="80"/>
      <c r="S132" s="80"/>
      <c r="T132" s="83"/>
      <c r="U132" s="80"/>
      <c r="V132" s="80"/>
      <c r="W132" s="80"/>
      <c r="X132" s="80"/>
      <c r="Y132" s="80"/>
      <c r="Z132" s="80"/>
      <c r="AA132" s="80"/>
      <c r="AB132" s="80"/>
      <c r="AC132" s="80"/>
      <c r="AD132" s="80"/>
      <c r="AE132" s="80"/>
      <c r="AF132" s="80"/>
      <c r="AG132" s="80"/>
      <c r="AH132" s="80"/>
      <c r="AI132" s="80"/>
      <c r="AJ132" s="80"/>
      <c r="AK132" s="80"/>
      <c r="AL132" s="80"/>
      <c r="AM132" s="80"/>
      <c r="AN132" s="80"/>
      <c r="AO132" s="80"/>
      <c r="AP132" s="80"/>
      <c r="AQ132" s="80"/>
      <c r="AR132" s="80"/>
      <c r="AS132" s="80"/>
      <c r="AT132" s="80"/>
      <c r="AU132" s="80"/>
      <c r="AV132" s="80"/>
      <c r="AW132" s="80"/>
      <c r="AX132" s="80"/>
      <c r="AY132" s="80"/>
      <c r="AZ132" s="80"/>
      <c r="BA132" s="80"/>
      <c r="BB132" s="80"/>
      <c r="BC132" s="80"/>
      <c r="BD132" s="80"/>
      <c r="BE132" s="80"/>
      <c r="BF132" s="80"/>
      <c r="BG132" s="80"/>
      <c r="BH132" s="80"/>
      <c r="BI132" s="80"/>
      <c r="BJ132" s="80"/>
      <c r="BK132" s="80"/>
      <c r="BL132" s="80"/>
      <c r="BM132" s="80"/>
      <c r="BN132" s="80"/>
      <c r="BO132" s="80"/>
      <c r="BP132" s="80"/>
    </row>
    <row r="133" spans="2:68" outlineLevel="1" x14ac:dyDescent="0.2">
      <c r="B133" s="80"/>
      <c r="C133" s="80"/>
      <c r="D133" s="66" t="str">
        <f>Assumptions!$C$22</f>
        <v>RAB multiple</v>
      </c>
      <c r="E133" s="80"/>
      <c r="F133" s="80"/>
      <c r="G133" s="80"/>
      <c r="H133" s="80"/>
      <c r="I133" s="79" t="str">
        <f>Assumptions!$C$22</f>
        <v>RAB multiple</v>
      </c>
      <c r="J133" s="465">
        <f>Assumptions!$L$22</f>
        <v>1</v>
      </c>
      <c r="K133" s="80"/>
      <c r="L133" s="412"/>
      <c r="M133" s="413"/>
      <c r="N133" s="80"/>
      <c r="O133" s="80"/>
      <c r="P133" s="80"/>
      <c r="Q133" s="80"/>
      <c r="R133" s="80"/>
      <c r="S133" s="80"/>
      <c r="T133" s="83"/>
      <c r="U133" s="80"/>
      <c r="V133" s="80"/>
      <c r="W133" s="80"/>
      <c r="X133" s="80"/>
      <c r="Y133" s="80"/>
      <c r="Z133" s="80"/>
      <c r="AA133" s="80"/>
      <c r="AB133" s="80"/>
      <c r="AC133" s="80"/>
      <c r="AD133" s="80"/>
      <c r="AE133" s="80"/>
      <c r="AF133" s="80"/>
      <c r="AG133" s="80"/>
      <c r="AH133" s="80"/>
      <c r="AI133" s="80"/>
      <c r="AJ133" s="80"/>
      <c r="AK133" s="80"/>
      <c r="AL133" s="80"/>
      <c r="AM133" s="80"/>
      <c r="AN133" s="80"/>
      <c r="AO133" s="80"/>
      <c r="AP133" s="80"/>
      <c r="AQ133" s="80"/>
      <c r="AR133" s="80"/>
      <c r="AS133" s="80"/>
      <c r="AT133" s="80"/>
      <c r="AU133" s="80"/>
      <c r="AV133" s="80"/>
      <c r="AW133" s="80"/>
      <c r="AX133" s="80"/>
      <c r="AY133" s="80"/>
      <c r="AZ133" s="80"/>
      <c r="BA133" s="80"/>
      <c r="BB133" s="80"/>
      <c r="BC133" s="80"/>
      <c r="BD133" s="80"/>
      <c r="BE133" s="80"/>
      <c r="BF133" s="80"/>
      <c r="BG133" s="80"/>
      <c r="BH133" s="80"/>
      <c r="BI133" s="80"/>
      <c r="BJ133" s="80"/>
      <c r="BK133" s="80"/>
      <c r="BL133" s="80"/>
      <c r="BM133" s="80"/>
      <c r="BN133" s="80"/>
      <c r="BO133" s="80"/>
      <c r="BP133" s="80"/>
    </row>
    <row r="134" spans="2:68" outlineLevel="1" x14ac:dyDescent="0.2">
      <c r="B134" s="80"/>
      <c r="C134" s="80"/>
      <c r="D134" s="81" t="s">
        <v>381</v>
      </c>
      <c r="E134" s="80"/>
      <c r="F134" s="80"/>
      <c r="G134" s="80"/>
      <c r="H134" s="80"/>
      <c r="I134" s="80"/>
      <c r="J134" s="80"/>
      <c r="K134" s="80"/>
      <c r="L134" s="436">
        <f>SUM(R134:BP134)</f>
        <v>0</v>
      </c>
      <c r="M134" s="469"/>
      <c r="N134" s="470"/>
      <c r="O134" s="470"/>
      <c r="P134" s="470"/>
      <c r="Q134" s="470"/>
      <c r="R134" s="471"/>
      <c r="S134" s="471"/>
      <c r="T134" s="471"/>
      <c r="U134" s="471"/>
      <c r="V134" s="471"/>
      <c r="W134" s="471"/>
      <c r="X134" s="471"/>
      <c r="Y134" s="471"/>
      <c r="Z134" s="471"/>
      <c r="AA134" s="471"/>
      <c r="AB134" s="471"/>
      <c r="AC134" s="471"/>
      <c r="AD134" s="471"/>
      <c r="AE134" s="471"/>
      <c r="AF134" s="471"/>
      <c r="AG134" s="471"/>
      <c r="AH134" s="471"/>
      <c r="AI134" s="471"/>
      <c r="AJ134" s="471"/>
      <c r="AK134" s="471"/>
      <c r="AL134" s="471"/>
      <c r="AM134" s="471"/>
      <c r="AN134" s="471"/>
      <c r="AO134" s="471"/>
      <c r="AP134" s="471"/>
      <c r="AQ134" s="471"/>
      <c r="AR134" s="471"/>
      <c r="AS134" s="471"/>
      <c r="AT134" s="471"/>
      <c r="AU134" s="471"/>
      <c r="AV134" s="471"/>
      <c r="AW134" s="471"/>
      <c r="AX134" s="471"/>
      <c r="AY134" s="471"/>
      <c r="AZ134" s="471"/>
      <c r="BA134" s="471"/>
      <c r="BB134" s="471"/>
      <c r="BC134" s="471"/>
      <c r="BD134" s="471"/>
      <c r="BE134" s="471"/>
      <c r="BF134" s="471"/>
      <c r="BG134" s="471"/>
      <c r="BH134" s="471"/>
      <c r="BI134" s="471"/>
      <c r="BJ134" s="471"/>
      <c r="BK134" s="471"/>
      <c r="BL134" s="471"/>
      <c r="BM134" s="471"/>
      <c r="BN134" s="471"/>
      <c r="BO134" s="471"/>
      <c r="BP134" s="472"/>
    </row>
    <row r="135" spans="2:68" outlineLevel="1" x14ac:dyDescent="0.2">
      <c r="B135" s="80"/>
      <c r="C135" s="80"/>
      <c r="D135" s="81" t="s">
        <v>382</v>
      </c>
      <c r="E135" s="80"/>
      <c r="F135" s="80"/>
      <c r="G135" s="80"/>
      <c r="H135" s="80"/>
      <c r="I135" s="80"/>
      <c r="J135" s="80"/>
      <c r="K135" s="80"/>
      <c r="L135" s="436">
        <f>SUM(R135:BP135)</f>
        <v>0</v>
      </c>
      <c r="M135" s="469"/>
      <c r="N135" s="470"/>
      <c r="O135" s="470"/>
      <c r="P135" s="470"/>
      <c r="Q135" s="470"/>
      <c r="R135" s="472"/>
      <c r="S135" s="472"/>
      <c r="T135" s="472"/>
      <c r="U135" s="472"/>
      <c r="V135" s="472"/>
      <c r="W135" s="472"/>
      <c r="X135" s="472"/>
      <c r="Y135" s="472"/>
      <c r="Z135" s="472"/>
      <c r="AA135" s="472"/>
      <c r="AB135" s="472"/>
      <c r="AC135" s="472"/>
      <c r="AD135" s="472"/>
      <c r="AE135" s="472"/>
      <c r="AF135" s="472"/>
      <c r="AG135" s="472"/>
      <c r="AH135" s="472"/>
      <c r="AI135" s="472"/>
      <c r="AJ135" s="472"/>
      <c r="AK135" s="472"/>
      <c r="AL135" s="472"/>
      <c r="AM135" s="472"/>
      <c r="AN135" s="472"/>
      <c r="AO135" s="472"/>
      <c r="AP135" s="472"/>
      <c r="AQ135" s="472"/>
      <c r="AR135" s="472"/>
      <c r="AS135" s="472"/>
      <c r="AT135" s="472"/>
      <c r="AU135" s="472"/>
      <c r="AV135" s="472"/>
      <c r="AW135" s="472"/>
      <c r="AX135" s="472"/>
      <c r="AY135" s="472"/>
      <c r="AZ135" s="472"/>
      <c r="BA135" s="472"/>
      <c r="BB135" s="472"/>
      <c r="BC135" s="472"/>
      <c r="BD135" s="472"/>
      <c r="BE135" s="472"/>
      <c r="BF135" s="472"/>
      <c r="BG135" s="472"/>
      <c r="BH135" s="472"/>
      <c r="BI135" s="472"/>
      <c r="BJ135" s="472"/>
      <c r="BK135" s="472"/>
      <c r="BL135" s="472"/>
      <c r="BM135" s="472"/>
      <c r="BN135" s="472"/>
      <c r="BO135" s="472"/>
      <c r="BP135" s="472"/>
    </row>
    <row r="136" spans="2:68" outlineLevel="1" x14ac:dyDescent="0.2">
      <c r="B136" s="80"/>
      <c r="C136" s="80"/>
      <c r="D136" s="80"/>
      <c r="E136" s="80"/>
      <c r="F136" s="80"/>
      <c r="G136" s="80"/>
      <c r="H136" s="80"/>
      <c r="I136" s="80"/>
      <c r="J136" s="80"/>
      <c r="K136" s="80"/>
      <c r="L136" s="412"/>
      <c r="M136" s="413"/>
      <c r="N136" s="80"/>
      <c r="O136" s="80"/>
      <c r="P136" s="80"/>
      <c r="Q136" s="80"/>
      <c r="R136" s="80"/>
      <c r="S136" s="80"/>
      <c r="T136" s="83"/>
      <c r="U136" s="80"/>
      <c r="V136" s="80"/>
      <c r="W136" s="80"/>
      <c r="X136" s="80"/>
      <c r="Y136" s="80"/>
      <c r="Z136" s="80"/>
      <c r="AA136" s="80"/>
      <c r="AB136" s="80"/>
      <c r="AC136" s="80"/>
      <c r="AD136" s="80"/>
      <c r="AE136" s="80"/>
      <c r="AF136" s="80"/>
      <c r="AG136" s="80"/>
      <c r="AH136" s="80"/>
      <c r="AI136" s="80"/>
      <c r="AJ136" s="80"/>
      <c r="AK136" s="80"/>
      <c r="AL136" s="80"/>
      <c r="AM136" s="80"/>
      <c r="AN136" s="80"/>
      <c r="AO136" s="80"/>
      <c r="AP136" s="80"/>
      <c r="AQ136" s="80"/>
      <c r="AR136" s="80"/>
      <c r="AS136" s="80"/>
      <c r="AT136" s="80"/>
      <c r="AU136" s="80"/>
      <c r="AV136" s="80"/>
      <c r="AW136" s="80"/>
      <c r="AX136" s="80"/>
      <c r="AY136" s="80"/>
      <c r="AZ136" s="80"/>
      <c r="BA136" s="80"/>
      <c r="BB136" s="80"/>
      <c r="BC136" s="80"/>
      <c r="BD136" s="80"/>
      <c r="BE136" s="80"/>
      <c r="BF136" s="80"/>
      <c r="BG136" s="80"/>
      <c r="BH136" s="80"/>
      <c r="BI136" s="80"/>
      <c r="BJ136" s="80"/>
      <c r="BK136" s="80"/>
      <c r="BL136" s="80"/>
      <c r="BM136" s="80"/>
      <c r="BN136" s="80"/>
      <c r="BO136" s="80"/>
      <c r="BP136" s="80"/>
    </row>
    <row r="137" spans="2:68" customFormat="1" outlineLevel="1" x14ac:dyDescent="0.2">
      <c r="D137" s="10" t="s">
        <v>251</v>
      </c>
      <c r="L137" s="112"/>
      <c r="M137" s="113"/>
    </row>
    <row r="138" spans="2:68" s="36" customFormat="1" outlineLevel="1" x14ac:dyDescent="0.2">
      <c r="B138" s="37"/>
      <c r="C138" s="473"/>
      <c r="D138" s="66" t="str">
        <f>Assumptions!$C$22</f>
        <v>RAB multiple</v>
      </c>
      <c r="E138" s="80"/>
      <c r="F138" s="80"/>
      <c r="G138" s="80"/>
      <c r="H138" s="80"/>
      <c r="I138" s="79" t="str">
        <f>Assumptions!$C$22</f>
        <v>RAB multiple</v>
      </c>
      <c r="J138" s="465">
        <f>Assumptions!$L$22</f>
        <v>1</v>
      </c>
      <c r="K138" s="401"/>
      <c r="L138" s="436"/>
      <c r="M138" s="437"/>
      <c r="N138" s="401"/>
      <c r="O138" s="401"/>
      <c r="P138" s="401"/>
      <c r="Q138" s="401"/>
      <c r="R138" s="401"/>
      <c r="S138" s="401"/>
      <c r="T138" s="401"/>
      <c r="U138" s="401"/>
      <c r="V138" s="401"/>
      <c r="W138" s="401"/>
      <c r="X138" s="401"/>
      <c r="Y138" s="401"/>
      <c r="Z138" s="401"/>
      <c r="AA138" s="401"/>
      <c r="AB138" s="401"/>
      <c r="AC138" s="401"/>
      <c r="AD138" s="401"/>
      <c r="AE138" s="401"/>
      <c r="AF138" s="401"/>
      <c r="AG138" s="401"/>
      <c r="AH138" s="401"/>
      <c r="AI138" s="401"/>
      <c r="AJ138" s="401"/>
      <c r="AK138" s="401"/>
      <c r="AL138" s="401"/>
      <c r="AM138" s="401"/>
      <c r="AN138" s="401"/>
      <c r="AO138" s="401"/>
      <c r="AP138" s="401"/>
      <c r="AQ138" s="401"/>
      <c r="AR138" s="401"/>
      <c r="AS138" s="401"/>
      <c r="AT138" s="401"/>
      <c r="AU138" s="401"/>
      <c r="AV138" s="401"/>
      <c r="AW138" s="401"/>
      <c r="AX138" s="401"/>
      <c r="AY138" s="401"/>
      <c r="AZ138" s="401"/>
      <c r="BA138" s="401"/>
      <c r="BB138" s="401"/>
      <c r="BC138" s="401"/>
      <c r="BD138" s="401"/>
      <c r="BE138" s="401"/>
      <c r="BF138" s="401"/>
      <c r="BG138" s="401"/>
      <c r="BH138" s="401"/>
      <c r="BI138" s="401"/>
      <c r="BJ138" s="401"/>
      <c r="BK138" s="401"/>
      <c r="BL138" s="401"/>
      <c r="BM138" s="401"/>
      <c r="BN138" s="401"/>
      <c r="BO138" s="401"/>
      <c r="BP138" s="474"/>
    </row>
    <row r="139" spans="2:68" s="36" customFormat="1" outlineLevel="1" x14ac:dyDescent="0.2">
      <c r="B139" s="37"/>
      <c r="C139" s="473"/>
      <c r="D139" s="81" t="s">
        <v>381</v>
      </c>
      <c r="E139" s="473"/>
      <c r="F139" s="473"/>
      <c r="G139" s="473"/>
      <c r="H139" s="473"/>
      <c r="I139" s="473"/>
      <c r="J139" s="473"/>
      <c r="K139" s="401"/>
      <c r="L139" s="436">
        <f>SUM(R139:BP139)</f>
        <v>30125179.199999977</v>
      </c>
      <c r="M139" s="469"/>
      <c r="N139" s="470"/>
      <c r="O139" s="470"/>
      <c r="P139" s="470"/>
      <c r="Q139" s="470"/>
      <c r="R139" s="475"/>
      <c r="S139" s="475"/>
      <c r="T139" s="475"/>
      <c r="U139" s="475"/>
      <c r="V139" s="475"/>
      <c r="W139" s="475"/>
      <c r="X139" s="475"/>
      <c r="Y139" s="475"/>
      <c r="Z139" s="475"/>
      <c r="AA139" s="475"/>
      <c r="AB139" s="475"/>
      <c r="AC139" s="475"/>
      <c r="AD139" s="475"/>
      <c r="AE139" s="475"/>
      <c r="AF139" s="475"/>
      <c r="AG139" s="475"/>
      <c r="AH139" s="475"/>
      <c r="AI139" s="475"/>
      <c r="AJ139" s="475"/>
      <c r="AK139" s="475"/>
      <c r="AL139" s="475"/>
      <c r="AM139" s="475"/>
      <c r="AN139" s="475"/>
      <c r="AO139" s="475"/>
      <c r="AP139" s="475"/>
      <c r="AQ139" s="475"/>
      <c r="AR139" s="475"/>
      <c r="AS139" s="475"/>
      <c r="AT139" s="475"/>
      <c r="AU139" s="475"/>
      <c r="AV139" s="475"/>
      <c r="AW139" s="475"/>
      <c r="AX139" s="475"/>
      <c r="AY139" s="475"/>
      <c r="AZ139" s="475"/>
      <c r="BA139" s="475"/>
      <c r="BB139" s="475"/>
      <c r="BC139" s="475"/>
      <c r="BD139" s="475"/>
      <c r="BE139" s="475"/>
      <c r="BF139" s="475"/>
      <c r="BG139" s="475"/>
      <c r="BH139" s="475"/>
      <c r="BI139" s="475"/>
      <c r="BJ139" s="475"/>
      <c r="BK139" s="475"/>
      <c r="BL139" s="475"/>
      <c r="BM139" s="475"/>
      <c r="BN139" s="475"/>
      <c r="BO139" s="475"/>
      <c r="BP139" s="474">
        <f>$J$138*BP113</f>
        <v>30125179.199999977</v>
      </c>
    </row>
    <row r="140" spans="2:68" s="36" customFormat="1" outlineLevel="1" x14ac:dyDescent="0.2">
      <c r="B140" s="37"/>
      <c r="C140" s="473"/>
      <c r="D140" s="81" t="s">
        <v>382</v>
      </c>
      <c r="E140" s="473"/>
      <c r="F140" s="473"/>
      <c r="G140" s="473"/>
      <c r="H140" s="473"/>
      <c r="I140" s="473"/>
      <c r="J140" s="473"/>
      <c r="K140" s="401"/>
      <c r="L140" s="436">
        <f>SUM(R140:BP140)</f>
        <v>0</v>
      </c>
      <c r="M140" s="469"/>
      <c r="N140" s="470"/>
      <c r="O140" s="470"/>
      <c r="P140" s="470"/>
      <c r="Q140" s="470"/>
      <c r="R140" s="474">
        <f>IF(R$14=Input!$L$55,Calcs!R$113*Calcs!$J$138,0)</f>
        <v>0</v>
      </c>
      <c r="S140" s="474">
        <f>IF(S$14=Input!$L$55,Calcs!S$113*Calcs!$J$138,0)</f>
        <v>0</v>
      </c>
      <c r="T140" s="474">
        <f>IF(T$14=Input!$L$55,Calcs!T$113*Calcs!$J$138,0)</f>
        <v>0</v>
      </c>
      <c r="U140" s="474">
        <f>IF(U$14=Input!$L$55,Calcs!U$113*Calcs!$J$138,0)</f>
        <v>0</v>
      </c>
      <c r="V140" s="474">
        <f>IF(V$14=Input!$L$55,Calcs!V$113*Calcs!$J$138,0)</f>
        <v>0</v>
      </c>
      <c r="W140" s="474">
        <f>IF(W$14=Input!$L$55,Calcs!W$113*Calcs!$J$138,0)</f>
        <v>0</v>
      </c>
      <c r="X140" s="474">
        <f>IF(X$14=Input!$L$55,Calcs!X$113*Calcs!$J$138,0)</f>
        <v>0</v>
      </c>
      <c r="Y140" s="474">
        <f>IF(Y$14=Input!$L$55,Calcs!Y$113*Calcs!$J$138,0)</f>
        <v>0</v>
      </c>
      <c r="Z140" s="474">
        <f>IF(Z$14=Input!$L$55,Calcs!Z$113*Calcs!$J$138,0)</f>
        <v>0</v>
      </c>
      <c r="AA140" s="474">
        <f>IF(AA$14=Input!$L$55,Calcs!AA$113*Calcs!$J$138,0)</f>
        <v>0</v>
      </c>
      <c r="AB140" s="474">
        <f>IF(AB$14=Input!$L$55,Calcs!AB$113*Calcs!$J$138,0)</f>
        <v>0</v>
      </c>
      <c r="AC140" s="474">
        <f>IF(AC$14=Input!$L$55,Calcs!AC$113*Calcs!$J$138,0)</f>
        <v>0</v>
      </c>
      <c r="AD140" s="474">
        <f>IF(AD$14=Input!$L$55,Calcs!AD$113*Calcs!$J$138,0)</f>
        <v>0</v>
      </c>
      <c r="AE140" s="474">
        <f>IF(AE$14=Input!$L$55,Calcs!AE$113*Calcs!$J$138,0)</f>
        <v>0</v>
      </c>
      <c r="AF140" s="474">
        <f>IF(AF$14=Input!$L$55,Calcs!AF$113*Calcs!$J$138,0)</f>
        <v>0</v>
      </c>
      <c r="AG140" s="474">
        <f>IF(AG$14=Input!$L$55,Calcs!AG$113*Calcs!$J$138,0)</f>
        <v>0</v>
      </c>
      <c r="AH140" s="474">
        <f>IF(AH$14=Input!$L$55,Calcs!AH$113*Calcs!$J$138,0)</f>
        <v>0</v>
      </c>
      <c r="AI140" s="474">
        <f>IF(AI$14=Input!$L$55,Calcs!AI$113*Calcs!$J$138,0)</f>
        <v>0</v>
      </c>
      <c r="AJ140" s="474">
        <f>IF(AJ$14=Input!$L$55,Calcs!AJ$113*Calcs!$J$138,0)</f>
        <v>0</v>
      </c>
      <c r="AK140" s="474">
        <f>IF(AK$14=Input!$L$55,Calcs!AK$113*Calcs!$J$138,0)</f>
        <v>0</v>
      </c>
      <c r="AL140" s="474">
        <f>IF(AL$14=Input!$L$55,Calcs!AL$113*Calcs!$J$138,0)</f>
        <v>0</v>
      </c>
      <c r="AM140" s="474">
        <f>IF(AM$14=Input!$L$55,Calcs!AM$113*Calcs!$J$138,0)</f>
        <v>0</v>
      </c>
      <c r="AN140" s="474">
        <f>IF(AN$14=Input!$L$55,Calcs!AN$113*Calcs!$J$138,0)</f>
        <v>0</v>
      </c>
      <c r="AO140" s="474">
        <f>IF(AO$14=Input!$L$55,Calcs!AO$113*Calcs!$J$138,0)</f>
        <v>0</v>
      </c>
      <c r="AP140" s="474">
        <f>IF(AP$14=Input!$L$55,Calcs!AP$113*Calcs!$J$138,0)</f>
        <v>0</v>
      </c>
      <c r="AQ140" s="474">
        <f>IF(AQ$14=Input!$L$55,Calcs!AQ$113*Calcs!$J$138,0)</f>
        <v>0</v>
      </c>
      <c r="AR140" s="474">
        <f>IF(AR$14=Input!$L$55,Calcs!AR$113*Calcs!$J$138,0)</f>
        <v>0</v>
      </c>
      <c r="AS140" s="474">
        <f>IF(AS$14=Input!$L$55,Calcs!AS$113*Calcs!$J$138,0)</f>
        <v>0</v>
      </c>
      <c r="AT140" s="474">
        <f>IF(AT$14=Input!$L$55,Calcs!AT$113*Calcs!$J$138,0)</f>
        <v>0</v>
      </c>
      <c r="AU140" s="474">
        <f>IF(AU$14=Input!$L$55,Calcs!AU$113*Calcs!$J$138,0)</f>
        <v>0</v>
      </c>
      <c r="AV140" s="474">
        <f>IF(AV$14=Input!$L$55,Calcs!AV$113*Calcs!$J$138,0)</f>
        <v>0</v>
      </c>
      <c r="AW140" s="474">
        <f>IF(AW$14=Input!$L$55,Calcs!AW$113*Calcs!$J$138,0)</f>
        <v>0</v>
      </c>
      <c r="AX140" s="474">
        <f>IF(AX$14=Input!$L$55,Calcs!AX$113*Calcs!$J$138,0)</f>
        <v>0</v>
      </c>
      <c r="AY140" s="474">
        <f>IF(AY$14=Input!$L$55,Calcs!AY$113*Calcs!$J$138,0)</f>
        <v>0</v>
      </c>
      <c r="AZ140" s="474">
        <f>IF(AZ$14=Input!$L$55,Calcs!AZ$113*Calcs!$J$138,0)</f>
        <v>0</v>
      </c>
      <c r="BA140" s="474">
        <f>IF(BA$14=Input!$L$55,Calcs!BA$113*Calcs!$J$138,0)</f>
        <v>0</v>
      </c>
      <c r="BB140" s="474">
        <f>IF(BB$14=Input!$L$55,Calcs!BB$113*Calcs!$J$138,0)</f>
        <v>0</v>
      </c>
      <c r="BC140" s="474">
        <f>IF(BC$14=Input!$L$55,Calcs!BC$113*Calcs!$J$138,0)</f>
        <v>0</v>
      </c>
      <c r="BD140" s="474">
        <f>IF(BD$14=Input!$L$55,Calcs!BD$113*Calcs!$J$138,0)</f>
        <v>0</v>
      </c>
      <c r="BE140" s="474">
        <f>IF(BE$14=Input!$L$55,Calcs!BE$113*Calcs!$J$138,0)</f>
        <v>0</v>
      </c>
      <c r="BF140" s="474">
        <f>IF(BF$14=Input!$L$55,Calcs!BF$113*Calcs!$J$138,0)</f>
        <v>0</v>
      </c>
      <c r="BG140" s="474">
        <f>IF(BG$14=Input!$L$55,Calcs!BG$113*Calcs!$J$138,0)</f>
        <v>0</v>
      </c>
      <c r="BH140" s="474">
        <f>IF(BH$14=Input!$L$55,Calcs!BH$113*Calcs!$J$138,0)</f>
        <v>0</v>
      </c>
      <c r="BI140" s="474">
        <f>IF(BI$14=Input!$L$55,Calcs!BI$113*Calcs!$J$138,0)</f>
        <v>0</v>
      </c>
      <c r="BJ140" s="474">
        <f>IF(BJ$14=Input!$L$55,Calcs!BJ$113*Calcs!$J$138,0)</f>
        <v>0</v>
      </c>
      <c r="BK140" s="474">
        <f>IF(BK$14=Input!$L$55,Calcs!BK$113*Calcs!$J$138,0)</f>
        <v>0</v>
      </c>
      <c r="BL140" s="474">
        <f>IF(BL$14=Input!$L$55,Calcs!BL$113*Calcs!$J$138,0)</f>
        <v>0</v>
      </c>
      <c r="BM140" s="474">
        <f>IF(BM$14=Input!$L$55,Calcs!BM$113*Calcs!$J$138,0)</f>
        <v>0</v>
      </c>
      <c r="BN140" s="474">
        <f>IF(BN$14=Input!$L$55,Calcs!BN$113*Calcs!$J$138,0)</f>
        <v>0</v>
      </c>
      <c r="BO140" s="474">
        <f>IF(BO$14=Input!$L$55,Calcs!BO$113*Calcs!$J$138,0)</f>
        <v>0</v>
      </c>
      <c r="BP140" s="474">
        <f>IF(BP$14=Input!$L$55,Calcs!BP$113*Calcs!$J$138,0)</f>
        <v>0</v>
      </c>
    </row>
    <row r="141" spans="2:68" outlineLevel="1" x14ac:dyDescent="0.2">
      <c r="B141" s="80"/>
      <c r="C141" s="80"/>
      <c r="D141" s="80"/>
      <c r="E141" s="80"/>
      <c r="F141" s="80"/>
      <c r="G141" s="80"/>
      <c r="H141" s="80"/>
      <c r="I141" s="80"/>
      <c r="J141" s="80"/>
      <c r="K141" s="80"/>
      <c r="L141" s="412"/>
      <c r="M141" s="413"/>
      <c r="N141" s="80"/>
      <c r="O141" s="80"/>
      <c r="P141" s="80"/>
      <c r="Q141" s="80"/>
      <c r="R141" s="80"/>
      <c r="S141" s="80"/>
      <c r="T141" s="83"/>
      <c r="U141" s="80"/>
      <c r="V141" s="80"/>
      <c r="W141" s="80"/>
      <c r="X141" s="80"/>
      <c r="Y141" s="80"/>
      <c r="Z141" s="80"/>
      <c r="AA141" s="80"/>
      <c r="AB141" s="80"/>
      <c r="AC141" s="80"/>
      <c r="AD141" s="80"/>
      <c r="AE141" s="80"/>
      <c r="AF141" s="80"/>
      <c r="AG141" s="80"/>
      <c r="AH141" s="80"/>
      <c r="AI141" s="80"/>
      <c r="AJ141" s="80"/>
      <c r="AK141" s="80"/>
      <c r="AL141" s="80"/>
      <c r="AM141" s="80"/>
      <c r="AN141" s="80"/>
      <c r="AO141" s="80"/>
      <c r="AP141" s="80"/>
      <c r="AQ141" s="80"/>
      <c r="AR141" s="80"/>
      <c r="AS141" s="80"/>
      <c r="AT141" s="80"/>
      <c r="AU141" s="80"/>
      <c r="AV141" s="80"/>
      <c r="AW141" s="80"/>
      <c r="AX141" s="80"/>
      <c r="AY141" s="80"/>
      <c r="AZ141" s="80"/>
      <c r="BA141" s="80"/>
      <c r="BB141" s="80"/>
      <c r="BC141" s="80"/>
      <c r="BD141" s="80"/>
      <c r="BE141" s="80"/>
      <c r="BF141" s="80"/>
      <c r="BG141" s="80"/>
      <c r="BH141" s="80"/>
      <c r="BI141" s="80"/>
      <c r="BJ141" s="80"/>
      <c r="BK141" s="80"/>
      <c r="BL141" s="80"/>
      <c r="BM141" s="80"/>
      <c r="BN141" s="80"/>
      <c r="BO141" s="80"/>
      <c r="BP141" s="80"/>
    </row>
    <row r="142" spans="2:68" outlineLevel="1" x14ac:dyDescent="0.2">
      <c r="B142" s="80"/>
      <c r="C142" s="80"/>
      <c r="D142" s="10" t="s">
        <v>30</v>
      </c>
      <c r="E142" s="80"/>
      <c r="F142" s="80"/>
      <c r="G142" s="80"/>
      <c r="H142" s="80"/>
      <c r="I142" s="80"/>
      <c r="J142" s="80"/>
      <c r="K142" s="80"/>
      <c r="L142" s="412"/>
      <c r="M142" s="413"/>
      <c r="N142" s="80"/>
      <c r="O142" s="80"/>
      <c r="P142" s="80"/>
      <c r="Q142" s="80"/>
      <c r="R142" s="80"/>
      <c r="S142" s="80"/>
      <c r="T142" s="83"/>
      <c r="U142" s="80"/>
      <c r="V142" s="80"/>
      <c r="W142" s="80"/>
      <c r="X142" s="80"/>
      <c r="Y142" s="80"/>
      <c r="Z142" s="80"/>
      <c r="AA142" s="80"/>
      <c r="AB142" s="80"/>
      <c r="AC142" s="80"/>
      <c r="AD142" s="80"/>
      <c r="AE142" s="80"/>
      <c r="AF142" s="80"/>
      <c r="AG142" s="80"/>
      <c r="AH142" s="80"/>
      <c r="AI142" s="80"/>
      <c r="AJ142" s="80"/>
      <c r="AK142" s="80"/>
      <c r="AL142" s="80"/>
      <c r="AM142" s="80"/>
      <c r="AN142" s="80"/>
      <c r="AO142" s="80"/>
      <c r="AP142" s="80"/>
      <c r="AQ142" s="80"/>
      <c r="AR142" s="80"/>
      <c r="AS142" s="80"/>
      <c r="AT142" s="80"/>
      <c r="AU142" s="80"/>
      <c r="AV142" s="80"/>
      <c r="AW142" s="80"/>
      <c r="AX142" s="80"/>
      <c r="AY142" s="80"/>
      <c r="AZ142" s="80"/>
      <c r="BA142" s="80"/>
      <c r="BB142" s="80"/>
      <c r="BC142" s="80"/>
      <c r="BD142" s="80"/>
      <c r="BE142" s="80"/>
      <c r="BF142" s="80"/>
      <c r="BG142" s="80"/>
      <c r="BH142" s="80"/>
      <c r="BI142" s="80"/>
      <c r="BJ142" s="80"/>
      <c r="BK142" s="80"/>
      <c r="BL142" s="80"/>
      <c r="BM142" s="80"/>
      <c r="BN142" s="80"/>
      <c r="BO142" s="80"/>
      <c r="BP142" s="80"/>
    </row>
    <row r="143" spans="2:68" s="36" customFormat="1" outlineLevel="1" x14ac:dyDescent="0.2">
      <c r="B143" s="37"/>
      <c r="C143" s="473"/>
      <c r="D143" s="81" t="str">
        <f>Input!$D$175</f>
        <v>ACS revenue</v>
      </c>
      <c r="E143" s="473"/>
      <c r="F143" s="473"/>
      <c r="G143" s="473"/>
      <c r="H143" s="473"/>
      <c r="I143" s="473"/>
      <c r="J143" s="473"/>
      <c r="K143" s="401"/>
      <c r="L143" s="436">
        <f t="shared" ref="L143" si="181">SUM(R143:BP143)</f>
        <v>0</v>
      </c>
      <c r="M143" s="469"/>
      <c r="N143" s="470"/>
      <c r="O143" s="470"/>
      <c r="P143" s="470"/>
      <c r="Q143" s="470"/>
      <c r="R143" s="476">
        <f>Input!R175</f>
        <v>0</v>
      </c>
      <c r="S143" s="476">
        <f>Input!S175</f>
        <v>0</v>
      </c>
      <c r="T143" s="476">
        <f>Input!T175</f>
        <v>0</v>
      </c>
      <c r="U143" s="476">
        <f>Input!U175</f>
        <v>0</v>
      </c>
      <c r="V143" s="476">
        <f>Input!V175</f>
        <v>0</v>
      </c>
      <c r="W143" s="476">
        <f>Input!W175</f>
        <v>0</v>
      </c>
      <c r="X143" s="476">
        <f>Input!X175</f>
        <v>0</v>
      </c>
      <c r="Y143" s="476">
        <f>Input!Y175</f>
        <v>0</v>
      </c>
      <c r="Z143" s="476">
        <f>Input!Z175</f>
        <v>0</v>
      </c>
      <c r="AA143" s="476">
        <f>Input!AA175</f>
        <v>0</v>
      </c>
      <c r="AB143" s="476">
        <f>Input!AB175</f>
        <v>0</v>
      </c>
      <c r="AC143" s="476">
        <f>Input!AC175</f>
        <v>0</v>
      </c>
      <c r="AD143" s="476">
        <f>Input!AD175</f>
        <v>0</v>
      </c>
      <c r="AE143" s="476">
        <f>Input!AE175</f>
        <v>0</v>
      </c>
      <c r="AF143" s="476">
        <f>Input!AF175</f>
        <v>0</v>
      </c>
      <c r="AG143" s="476">
        <f>Input!AG175</f>
        <v>0</v>
      </c>
      <c r="AH143" s="476">
        <f>Input!AH175</f>
        <v>0</v>
      </c>
      <c r="AI143" s="476">
        <f>Input!AI175</f>
        <v>0</v>
      </c>
      <c r="AJ143" s="476">
        <f>Input!AJ175</f>
        <v>0</v>
      </c>
      <c r="AK143" s="476">
        <f>Input!AK175</f>
        <v>0</v>
      </c>
      <c r="AL143" s="476">
        <f>Input!AL175</f>
        <v>0</v>
      </c>
      <c r="AM143" s="476">
        <f>Input!AM175</f>
        <v>0</v>
      </c>
      <c r="AN143" s="476">
        <f>Input!AN175</f>
        <v>0</v>
      </c>
      <c r="AO143" s="476">
        <f>Input!AO175</f>
        <v>0</v>
      </c>
      <c r="AP143" s="476">
        <f>Input!AP175</f>
        <v>0</v>
      </c>
      <c r="AQ143" s="476">
        <f>Input!AQ175</f>
        <v>0</v>
      </c>
      <c r="AR143" s="476">
        <f>Input!AR175</f>
        <v>0</v>
      </c>
      <c r="AS143" s="476">
        <f>Input!AS175</f>
        <v>0</v>
      </c>
      <c r="AT143" s="476">
        <f>Input!AT175</f>
        <v>0</v>
      </c>
      <c r="AU143" s="476">
        <f>Input!AU175</f>
        <v>0</v>
      </c>
      <c r="AV143" s="476">
        <f>Input!AV175</f>
        <v>0</v>
      </c>
      <c r="AW143" s="476">
        <f>Input!AW175</f>
        <v>0</v>
      </c>
      <c r="AX143" s="476">
        <f>Input!AX175</f>
        <v>0</v>
      </c>
      <c r="AY143" s="476">
        <f>Input!AY175</f>
        <v>0</v>
      </c>
      <c r="AZ143" s="476">
        <f>Input!AZ175</f>
        <v>0</v>
      </c>
      <c r="BA143" s="476">
        <f>Input!BA175</f>
        <v>0</v>
      </c>
      <c r="BB143" s="476">
        <f>Input!BB175</f>
        <v>0</v>
      </c>
      <c r="BC143" s="476">
        <f>Input!BC175</f>
        <v>0</v>
      </c>
      <c r="BD143" s="476">
        <f>Input!BD175</f>
        <v>0</v>
      </c>
      <c r="BE143" s="476">
        <f>Input!BE175</f>
        <v>0</v>
      </c>
      <c r="BF143" s="476">
        <f>Input!BF175</f>
        <v>0</v>
      </c>
      <c r="BG143" s="476">
        <f>Input!BG175</f>
        <v>0</v>
      </c>
      <c r="BH143" s="476">
        <f>Input!BH175</f>
        <v>0</v>
      </c>
      <c r="BI143" s="476">
        <f>Input!BI175</f>
        <v>0</v>
      </c>
      <c r="BJ143" s="476">
        <f>Input!BJ175</f>
        <v>0</v>
      </c>
      <c r="BK143" s="476">
        <f>Input!BK175</f>
        <v>0</v>
      </c>
      <c r="BL143" s="476">
        <f>Input!BL175</f>
        <v>0</v>
      </c>
      <c r="BM143" s="476">
        <f>Input!BM175</f>
        <v>0</v>
      </c>
      <c r="BN143" s="476">
        <f>Input!BN175</f>
        <v>0</v>
      </c>
      <c r="BO143" s="476">
        <f>Input!BO175</f>
        <v>0</v>
      </c>
      <c r="BP143" s="476">
        <f>Input!BP175</f>
        <v>0</v>
      </c>
    </row>
    <row r="144" spans="2:68" customFormat="1" outlineLevel="1" x14ac:dyDescent="0.2">
      <c r="L144" s="112"/>
      <c r="M144" s="113"/>
    </row>
    <row r="145" spans="2:68" outlineLevel="1" x14ac:dyDescent="0.2">
      <c r="B145" s="20"/>
      <c r="C145" s="80"/>
      <c r="D145" s="10" t="s">
        <v>31</v>
      </c>
      <c r="E145" s="80"/>
      <c r="F145" s="80"/>
      <c r="G145" s="80"/>
      <c r="H145" s="80"/>
      <c r="I145" s="80"/>
      <c r="J145" s="80"/>
      <c r="K145" s="401"/>
      <c r="L145" s="436"/>
      <c r="M145" s="437"/>
      <c r="N145" s="401"/>
      <c r="O145" s="401"/>
      <c r="P145" s="401"/>
      <c r="Q145" s="401"/>
      <c r="R145" s="401"/>
      <c r="S145" s="401"/>
      <c r="T145" s="401"/>
      <c r="U145" s="401"/>
      <c r="V145" s="401"/>
      <c r="W145" s="401"/>
      <c r="X145" s="401"/>
      <c r="Y145" s="401"/>
      <c r="Z145" s="401"/>
      <c r="AA145" s="401"/>
      <c r="AB145" s="401"/>
      <c r="AC145" s="401"/>
      <c r="AD145" s="401"/>
      <c r="AE145" s="401"/>
      <c r="AF145" s="401"/>
      <c r="AG145" s="401"/>
      <c r="AH145" s="401"/>
      <c r="AI145" s="401"/>
      <c r="AJ145" s="401"/>
      <c r="AK145" s="401"/>
      <c r="AL145" s="401"/>
      <c r="AM145" s="401"/>
      <c r="AN145" s="401"/>
      <c r="AO145" s="401"/>
      <c r="AP145" s="401"/>
      <c r="AQ145" s="401"/>
      <c r="AR145" s="401"/>
      <c r="AS145" s="401"/>
      <c r="AT145" s="401"/>
      <c r="AU145" s="401"/>
      <c r="AV145" s="401"/>
      <c r="AW145" s="401"/>
      <c r="AX145" s="401"/>
      <c r="AY145" s="401"/>
      <c r="AZ145" s="401"/>
      <c r="BA145" s="401"/>
      <c r="BB145" s="401"/>
      <c r="BC145" s="401"/>
      <c r="BD145" s="401"/>
      <c r="BE145" s="401"/>
      <c r="BF145" s="401"/>
      <c r="BG145" s="401"/>
      <c r="BH145" s="401"/>
      <c r="BI145" s="401"/>
      <c r="BJ145" s="401"/>
      <c r="BK145" s="401"/>
      <c r="BL145" s="401"/>
      <c r="BM145" s="401"/>
      <c r="BN145" s="401"/>
      <c r="BO145" s="401"/>
      <c r="BP145" s="401"/>
    </row>
    <row r="146" spans="2:68" outlineLevel="1" x14ac:dyDescent="0.2">
      <c r="B146" s="20"/>
      <c r="C146" s="80"/>
      <c r="D146" s="66" t="str">
        <f>Input!$D$186</f>
        <v>Unregulatory revenue subject to SAG?</v>
      </c>
      <c r="E146" s="80"/>
      <c r="F146" s="80"/>
      <c r="G146" s="395" t="str">
        <f>Input!$L$186</f>
        <v>Yes</v>
      </c>
      <c r="H146" s="85">
        <f>IF($G$146="Yes",1,0)</f>
        <v>1</v>
      </c>
      <c r="I146" s="90" t="str">
        <f>Assumptions!$C$21</f>
        <v>SAG factor</v>
      </c>
      <c r="J146" s="477">
        <f>Assumptions!$L$21</f>
        <v>0.1</v>
      </c>
      <c r="K146" s="401"/>
      <c r="L146" s="436"/>
      <c r="M146" s="437"/>
      <c r="N146" s="401"/>
      <c r="O146" s="401"/>
      <c r="P146" s="401"/>
      <c r="Q146" s="401"/>
      <c r="R146" s="401"/>
      <c r="S146" s="401"/>
      <c r="T146" s="401"/>
      <c r="U146" s="401"/>
      <c r="V146" s="401"/>
      <c r="W146" s="401"/>
      <c r="X146" s="401"/>
      <c r="Y146" s="401"/>
      <c r="Z146" s="401"/>
      <c r="AA146" s="401"/>
      <c r="AB146" s="401"/>
      <c r="AC146" s="401"/>
      <c r="AD146" s="401"/>
      <c r="AE146" s="401"/>
      <c r="AF146" s="401"/>
      <c r="AG146" s="401"/>
      <c r="AH146" s="401"/>
      <c r="AI146" s="401"/>
      <c r="AJ146" s="401"/>
      <c r="AK146" s="401"/>
      <c r="AL146" s="401"/>
      <c r="AM146" s="401"/>
      <c r="AN146" s="401"/>
      <c r="AO146" s="401"/>
      <c r="AP146" s="401"/>
      <c r="AQ146" s="401"/>
      <c r="AR146" s="401"/>
      <c r="AS146" s="401"/>
      <c r="AT146" s="401"/>
      <c r="AU146" s="401"/>
      <c r="AV146" s="401"/>
      <c r="AW146" s="401"/>
      <c r="AX146" s="401"/>
      <c r="AY146" s="401"/>
      <c r="AZ146" s="401"/>
      <c r="BA146" s="401"/>
      <c r="BB146" s="401"/>
      <c r="BC146" s="401"/>
      <c r="BD146" s="401"/>
      <c r="BE146" s="401"/>
      <c r="BF146" s="401"/>
      <c r="BG146" s="401"/>
      <c r="BH146" s="401"/>
      <c r="BI146" s="401"/>
      <c r="BJ146" s="401"/>
      <c r="BK146" s="401"/>
      <c r="BL146" s="401"/>
      <c r="BM146" s="401"/>
      <c r="BN146" s="401"/>
      <c r="BO146" s="401"/>
      <c r="BP146" s="401"/>
    </row>
    <row r="147" spans="2:68" outlineLevel="1" x14ac:dyDescent="0.2">
      <c r="B147" s="20"/>
      <c r="C147" s="80"/>
      <c r="D147" s="81" t="str">
        <f>Input!$D$187</f>
        <v>Unregulated revenue</v>
      </c>
      <c r="E147" s="80"/>
      <c r="F147" s="80"/>
      <c r="G147" s="83"/>
      <c r="H147" s="83"/>
      <c r="I147" s="80"/>
      <c r="J147" s="80"/>
      <c r="K147" s="464"/>
      <c r="L147" s="436">
        <f t="shared" ref="L147:L148" si="182">SUM(R147:BP147)</f>
        <v>0</v>
      </c>
      <c r="M147" s="437"/>
      <c r="N147" s="401"/>
      <c r="O147" s="401"/>
      <c r="P147" s="401"/>
      <c r="Q147" s="401"/>
      <c r="R147" s="29">
        <f>Input!R187</f>
        <v>0</v>
      </c>
      <c r="S147" s="29">
        <f>Input!S187</f>
        <v>0</v>
      </c>
      <c r="T147" s="29">
        <f>Input!T187</f>
        <v>0</v>
      </c>
      <c r="U147" s="29">
        <f>Input!U187</f>
        <v>0</v>
      </c>
      <c r="V147" s="29">
        <f>Input!V187</f>
        <v>0</v>
      </c>
      <c r="W147" s="29">
        <f>Input!W187</f>
        <v>0</v>
      </c>
      <c r="X147" s="29">
        <f>Input!X187</f>
        <v>0</v>
      </c>
      <c r="Y147" s="29">
        <f>Input!Y187</f>
        <v>0</v>
      </c>
      <c r="Z147" s="29">
        <f>Input!Z187</f>
        <v>0</v>
      </c>
      <c r="AA147" s="29">
        <f>Input!AA187</f>
        <v>0</v>
      </c>
      <c r="AB147" s="29">
        <f>Input!AB187</f>
        <v>0</v>
      </c>
      <c r="AC147" s="29">
        <f>Input!AC187</f>
        <v>0</v>
      </c>
      <c r="AD147" s="29">
        <f>Input!AD187</f>
        <v>0</v>
      </c>
      <c r="AE147" s="29">
        <f>Input!AE187</f>
        <v>0</v>
      </c>
      <c r="AF147" s="29">
        <f>Input!AF187</f>
        <v>0</v>
      </c>
      <c r="AG147" s="29">
        <f>Input!AG187</f>
        <v>0</v>
      </c>
      <c r="AH147" s="29">
        <f>Input!AH187</f>
        <v>0</v>
      </c>
      <c r="AI147" s="29">
        <f>Input!AI187</f>
        <v>0</v>
      </c>
      <c r="AJ147" s="29">
        <f>Input!AJ187</f>
        <v>0</v>
      </c>
      <c r="AK147" s="29">
        <f>Input!AK187</f>
        <v>0</v>
      </c>
      <c r="AL147" s="29">
        <f>Input!AL187</f>
        <v>0</v>
      </c>
      <c r="AM147" s="29">
        <f>Input!AM187</f>
        <v>0</v>
      </c>
      <c r="AN147" s="29">
        <f>Input!AN187</f>
        <v>0</v>
      </c>
      <c r="AO147" s="29">
        <f>Input!AO187</f>
        <v>0</v>
      </c>
      <c r="AP147" s="29">
        <f>Input!AP187</f>
        <v>0</v>
      </c>
      <c r="AQ147" s="29">
        <f>Input!AQ187</f>
        <v>0</v>
      </c>
      <c r="AR147" s="29">
        <f>Input!AR187</f>
        <v>0</v>
      </c>
      <c r="AS147" s="29">
        <f>Input!AS187</f>
        <v>0</v>
      </c>
      <c r="AT147" s="29">
        <f>Input!AT187</f>
        <v>0</v>
      </c>
      <c r="AU147" s="29">
        <f>Input!AU187</f>
        <v>0</v>
      </c>
      <c r="AV147" s="29">
        <f>Input!AV187</f>
        <v>0</v>
      </c>
      <c r="AW147" s="29">
        <f>Input!AW187</f>
        <v>0</v>
      </c>
      <c r="AX147" s="29">
        <f>Input!AX187</f>
        <v>0</v>
      </c>
      <c r="AY147" s="29">
        <f>Input!AY187</f>
        <v>0</v>
      </c>
      <c r="AZ147" s="29">
        <f>Input!AZ187</f>
        <v>0</v>
      </c>
      <c r="BA147" s="29">
        <f>Input!BA187</f>
        <v>0</v>
      </c>
      <c r="BB147" s="29">
        <f>Input!BB187</f>
        <v>0</v>
      </c>
      <c r="BC147" s="29">
        <f>Input!BC187</f>
        <v>0</v>
      </c>
      <c r="BD147" s="29">
        <f>Input!BD187</f>
        <v>0</v>
      </c>
      <c r="BE147" s="29">
        <f>Input!BE187</f>
        <v>0</v>
      </c>
      <c r="BF147" s="29">
        <f>Input!BF187</f>
        <v>0</v>
      </c>
      <c r="BG147" s="29">
        <f>Input!BG187</f>
        <v>0</v>
      </c>
      <c r="BH147" s="29">
        <f>Input!BH187</f>
        <v>0</v>
      </c>
      <c r="BI147" s="29">
        <f>Input!BI187</f>
        <v>0</v>
      </c>
      <c r="BJ147" s="29">
        <f>Input!BJ187</f>
        <v>0</v>
      </c>
      <c r="BK147" s="29">
        <f>Input!BK187</f>
        <v>0</v>
      </c>
      <c r="BL147" s="29">
        <f>Input!BL187</f>
        <v>0</v>
      </c>
      <c r="BM147" s="29">
        <f>Input!BM187</f>
        <v>0</v>
      </c>
      <c r="BN147" s="29">
        <f>Input!BN187</f>
        <v>0</v>
      </c>
      <c r="BO147" s="29">
        <f>Input!BO187</f>
        <v>0</v>
      </c>
      <c r="BP147" s="29">
        <f>Input!BP187</f>
        <v>0</v>
      </c>
    </row>
    <row r="148" spans="2:68" outlineLevel="1" x14ac:dyDescent="0.2">
      <c r="B148" s="20"/>
      <c r="C148" s="80"/>
      <c r="D148" s="86" t="s">
        <v>383</v>
      </c>
      <c r="E148" s="458"/>
      <c r="F148" s="458"/>
      <c r="G148" s="459"/>
      <c r="H148" s="459"/>
      <c r="I148" s="458"/>
      <c r="J148" s="458"/>
      <c r="K148" s="401"/>
      <c r="L148" s="461">
        <f t="shared" si="182"/>
        <v>0</v>
      </c>
      <c r="M148" s="478"/>
      <c r="N148" s="460"/>
      <c r="O148" s="460"/>
      <c r="P148" s="460"/>
      <c r="Q148" s="460"/>
      <c r="R148" s="460">
        <f t="shared" ref="R148:AW148" si="183">SUM(R147:R147)</f>
        <v>0</v>
      </c>
      <c r="S148" s="460">
        <f t="shared" si="183"/>
        <v>0</v>
      </c>
      <c r="T148" s="460">
        <f t="shared" si="183"/>
        <v>0</v>
      </c>
      <c r="U148" s="460">
        <f t="shared" si="183"/>
        <v>0</v>
      </c>
      <c r="V148" s="460">
        <f t="shared" si="183"/>
        <v>0</v>
      </c>
      <c r="W148" s="460">
        <f t="shared" si="183"/>
        <v>0</v>
      </c>
      <c r="X148" s="460">
        <f t="shared" si="183"/>
        <v>0</v>
      </c>
      <c r="Y148" s="460">
        <f t="shared" si="183"/>
        <v>0</v>
      </c>
      <c r="Z148" s="460">
        <f t="shared" si="183"/>
        <v>0</v>
      </c>
      <c r="AA148" s="460">
        <f t="shared" si="183"/>
        <v>0</v>
      </c>
      <c r="AB148" s="460">
        <f t="shared" si="183"/>
        <v>0</v>
      </c>
      <c r="AC148" s="460">
        <f t="shared" si="183"/>
        <v>0</v>
      </c>
      <c r="AD148" s="460">
        <f t="shared" si="183"/>
        <v>0</v>
      </c>
      <c r="AE148" s="460">
        <f t="shared" si="183"/>
        <v>0</v>
      </c>
      <c r="AF148" s="460">
        <f t="shared" si="183"/>
        <v>0</v>
      </c>
      <c r="AG148" s="460">
        <f t="shared" si="183"/>
        <v>0</v>
      </c>
      <c r="AH148" s="460">
        <f t="shared" si="183"/>
        <v>0</v>
      </c>
      <c r="AI148" s="460">
        <f t="shared" si="183"/>
        <v>0</v>
      </c>
      <c r="AJ148" s="460">
        <f t="shared" si="183"/>
        <v>0</v>
      </c>
      <c r="AK148" s="460">
        <f t="shared" si="183"/>
        <v>0</v>
      </c>
      <c r="AL148" s="460">
        <f t="shared" si="183"/>
        <v>0</v>
      </c>
      <c r="AM148" s="460">
        <f t="shared" si="183"/>
        <v>0</v>
      </c>
      <c r="AN148" s="460">
        <f t="shared" si="183"/>
        <v>0</v>
      </c>
      <c r="AO148" s="460">
        <f t="shared" si="183"/>
        <v>0</v>
      </c>
      <c r="AP148" s="460">
        <f t="shared" si="183"/>
        <v>0</v>
      </c>
      <c r="AQ148" s="460">
        <f t="shared" si="183"/>
        <v>0</v>
      </c>
      <c r="AR148" s="460">
        <f t="shared" si="183"/>
        <v>0</v>
      </c>
      <c r="AS148" s="460">
        <f t="shared" si="183"/>
        <v>0</v>
      </c>
      <c r="AT148" s="460">
        <f t="shared" si="183"/>
        <v>0</v>
      </c>
      <c r="AU148" s="460">
        <f t="shared" si="183"/>
        <v>0</v>
      </c>
      <c r="AV148" s="460">
        <f t="shared" si="183"/>
        <v>0</v>
      </c>
      <c r="AW148" s="460">
        <f t="shared" si="183"/>
        <v>0</v>
      </c>
      <c r="AX148" s="460">
        <f t="shared" ref="AX148:BP148" si="184">SUM(AX147:AX147)</f>
        <v>0</v>
      </c>
      <c r="AY148" s="460">
        <f t="shared" si="184"/>
        <v>0</v>
      </c>
      <c r="AZ148" s="460">
        <f t="shared" si="184"/>
        <v>0</v>
      </c>
      <c r="BA148" s="460">
        <f t="shared" si="184"/>
        <v>0</v>
      </c>
      <c r="BB148" s="460">
        <f t="shared" si="184"/>
        <v>0</v>
      </c>
      <c r="BC148" s="460">
        <f t="shared" si="184"/>
        <v>0</v>
      </c>
      <c r="BD148" s="460">
        <f t="shared" si="184"/>
        <v>0</v>
      </c>
      <c r="BE148" s="460">
        <f t="shared" si="184"/>
        <v>0</v>
      </c>
      <c r="BF148" s="460">
        <f t="shared" si="184"/>
        <v>0</v>
      </c>
      <c r="BG148" s="460">
        <f t="shared" si="184"/>
        <v>0</v>
      </c>
      <c r="BH148" s="460">
        <f t="shared" si="184"/>
        <v>0</v>
      </c>
      <c r="BI148" s="460">
        <f t="shared" si="184"/>
        <v>0</v>
      </c>
      <c r="BJ148" s="460">
        <f t="shared" si="184"/>
        <v>0</v>
      </c>
      <c r="BK148" s="460">
        <f t="shared" si="184"/>
        <v>0</v>
      </c>
      <c r="BL148" s="460">
        <f t="shared" si="184"/>
        <v>0</v>
      </c>
      <c r="BM148" s="460">
        <f t="shared" si="184"/>
        <v>0</v>
      </c>
      <c r="BN148" s="460">
        <f t="shared" si="184"/>
        <v>0</v>
      </c>
      <c r="BO148" s="460">
        <f t="shared" si="184"/>
        <v>0</v>
      </c>
      <c r="BP148" s="460">
        <f t="shared" si="184"/>
        <v>0</v>
      </c>
    </row>
    <row r="149" spans="2:68" outlineLevel="1" x14ac:dyDescent="0.2">
      <c r="B149" s="20"/>
      <c r="C149" s="80"/>
      <c r="D149" s="81"/>
      <c r="E149" s="80"/>
      <c r="F149" s="80"/>
      <c r="G149" s="83"/>
      <c r="H149" s="83"/>
      <c r="I149" s="80"/>
      <c r="J149" s="80"/>
      <c r="K149" s="401"/>
      <c r="L149" s="436"/>
      <c r="M149" s="437"/>
      <c r="N149" s="401"/>
      <c r="O149" s="401"/>
      <c r="P149" s="401"/>
      <c r="Q149" s="401"/>
      <c r="R149" s="401"/>
      <c r="S149" s="401"/>
      <c r="T149" s="401"/>
      <c r="U149" s="401"/>
      <c r="V149" s="401"/>
      <c r="W149" s="401"/>
      <c r="X149" s="401"/>
      <c r="Y149" s="401"/>
      <c r="Z149" s="401"/>
      <c r="AA149" s="401"/>
      <c r="AB149" s="401"/>
      <c r="AC149" s="401"/>
      <c r="AD149" s="401"/>
      <c r="AE149" s="401"/>
      <c r="AF149" s="401"/>
      <c r="AG149" s="401"/>
      <c r="AH149" s="401"/>
      <c r="AI149" s="401"/>
      <c r="AJ149" s="401"/>
      <c r="AK149" s="401"/>
      <c r="AL149" s="401"/>
      <c r="AM149" s="401"/>
      <c r="AN149" s="401"/>
      <c r="AO149" s="401"/>
      <c r="AP149" s="401"/>
      <c r="AQ149" s="401"/>
      <c r="AR149" s="401"/>
      <c r="AS149" s="401"/>
      <c r="AT149" s="401"/>
      <c r="AU149" s="401"/>
      <c r="AV149" s="401"/>
      <c r="AW149" s="401"/>
      <c r="AX149" s="401"/>
      <c r="AY149" s="401"/>
      <c r="AZ149" s="401"/>
      <c r="BA149" s="401"/>
      <c r="BB149" s="401"/>
      <c r="BC149" s="401"/>
      <c r="BD149" s="401"/>
      <c r="BE149" s="401"/>
      <c r="BF149" s="401"/>
      <c r="BG149" s="401"/>
      <c r="BH149" s="401"/>
      <c r="BI149" s="401"/>
      <c r="BJ149" s="401"/>
      <c r="BK149" s="401"/>
      <c r="BL149" s="401"/>
      <c r="BM149" s="401"/>
      <c r="BN149" s="401"/>
      <c r="BO149" s="401"/>
      <c r="BP149" s="401"/>
    </row>
    <row r="150" spans="2:68" outlineLevel="1" x14ac:dyDescent="0.2">
      <c r="B150" s="20"/>
      <c r="C150" s="80"/>
      <c r="D150" s="66" t="s">
        <v>384</v>
      </c>
      <c r="E150" s="80"/>
      <c r="F150" s="80"/>
      <c r="G150" s="83"/>
      <c r="H150" s="83"/>
      <c r="I150" s="80"/>
      <c r="J150" s="80"/>
      <c r="K150" s="401"/>
      <c r="L150" s="436">
        <f t="shared" ref="L150:L151" si="185">SUM(R150:BP150)</f>
        <v>0</v>
      </c>
      <c r="M150" s="469"/>
      <c r="N150" s="470"/>
      <c r="O150" s="470"/>
      <c r="P150" s="470"/>
      <c r="Q150" s="470"/>
      <c r="R150" s="29">
        <f>$H$146*$J$146*R147</f>
        <v>0</v>
      </c>
      <c r="S150" s="29">
        <f t="shared" ref="S150:BP150" si="186">$H$146*$J$146*S147</f>
        <v>0</v>
      </c>
      <c r="T150" s="29">
        <f t="shared" si="186"/>
        <v>0</v>
      </c>
      <c r="U150" s="29">
        <f t="shared" si="186"/>
        <v>0</v>
      </c>
      <c r="V150" s="29">
        <f t="shared" si="186"/>
        <v>0</v>
      </c>
      <c r="W150" s="29">
        <f t="shared" si="186"/>
        <v>0</v>
      </c>
      <c r="X150" s="29">
        <f t="shared" si="186"/>
        <v>0</v>
      </c>
      <c r="Y150" s="29">
        <f t="shared" si="186"/>
        <v>0</v>
      </c>
      <c r="Z150" s="29">
        <f t="shared" si="186"/>
        <v>0</v>
      </c>
      <c r="AA150" s="29">
        <f t="shared" si="186"/>
        <v>0</v>
      </c>
      <c r="AB150" s="29">
        <f t="shared" si="186"/>
        <v>0</v>
      </c>
      <c r="AC150" s="29">
        <f t="shared" si="186"/>
        <v>0</v>
      </c>
      <c r="AD150" s="29">
        <f t="shared" si="186"/>
        <v>0</v>
      </c>
      <c r="AE150" s="29">
        <f t="shared" si="186"/>
        <v>0</v>
      </c>
      <c r="AF150" s="29">
        <f t="shared" si="186"/>
        <v>0</v>
      </c>
      <c r="AG150" s="29">
        <f t="shared" si="186"/>
        <v>0</v>
      </c>
      <c r="AH150" s="29">
        <f t="shared" si="186"/>
        <v>0</v>
      </c>
      <c r="AI150" s="29">
        <f t="shared" si="186"/>
        <v>0</v>
      </c>
      <c r="AJ150" s="29">
        <f t="shared" si="186"/>
        <v>0</v>
      </c>
      <c r="AK150" s="29">
        <f t="shared" si="186"/>
        <v>0</v>
      </c>
      <c r="AL150" s="29">
        <f t="shared" si="186"/>
        <v>0</v>
      </c>
      <c r="AM150" s="29">
        <f t="shared" si="186"/>
        <v>0</v>
      </c>
      <c r="AN150" s="29">
        <f t="shared" si="186"/>
        <v>0</v>
      </c>
      <c r="AO150" s="29">
        <f t="shared" si="186"/>
        <v>0</v>
      </c>
      <c r="AP150" s="29">
        <f t="shared" si="186"/>
        <v>0</v>
      </c>
      <c r="AQ150" s="29">
        <f t="shared" si="186"/>
        <v>0</v>
      </c>
      <c r="AR150" s="29">
        <f t="shared" si="186"/>
        <v>0</v>
      </c>
      <c r="AS150" s="29">
        <f t="shared" si="186"/>
        <v>0</v>
      </c>
      <c r="AT150" s="29">
        <f t="shared" si="186"/>
        <v>0</v>
      </c>
      <c r="AU150" s="29">
        <f t="shared" si="186"/>
        <v>0</v>
      </c>
      <c r="AV150" s="29">
        <f t="shared" si="186"/>
        <v>0</v>
      </c>
      <c r="AW150" s="29">
        <f t="shared" si="186"/>
        <v>0</v>
      </c>
      <c r="AX150" s="29">
        <f t="shared" si="186"/>
        <v>0</v>
      </c>
      <c r="AY150" s="29">
        <f t="shared" si="186"/>
        <v>0</v>
      </c>
      <c r="AZ150" s="29">
        <f t="shared" si="186"/>
        <v>0</v>
      </c>
      <c r="BA150" s="29">
        <f t="shared" si="186"/>
        <v>0</v>
      </c>
      <c r="BB150" s="29">
        <f t="shared" si="186"/>
        <v>0</v>
      </c>
      <c r="BC150" s="29">
        <f t="shared" si="186"/>
        <v>0</v>
      </c>
      <c r="BD150" s="29">
        <f t="shared" si="186"/>
        <v>0</v>
      </c>
      <c r="BE150" s="29">
        <f t="shared" si="186"/>
        <v>0</v>
      </c>
      <c r="BF150" s="29">
        <f t="shared" si="186"/>
        <v>0</v>
      </c>
      <c r="BG150" s="29">
        <f t="shared" si="186"/>
        <v>0</v>
      </c>
      <c r="BH150" s="29">
        <f t="shared" si="186"/>
        <v>0</v>
      </c>
      <c r="BI150" s="29">
        <f t="shared" si="186"/>
        <v>0</v>
      </c>
      <c r="BJ150" s="29">
        <f t="shared" si="186"/>
        <v>0</v>
      </c>
      <c r="BK150" s="29">
        <f t="shared" si="186"/>
        <v>0</v>
      </c>
      <c r="BL150" s="29">
        <f t="shared" si="186"/>
        <v>0</v>
      </c>
      <c r="BM150" s="29">
        <f t="shared" si="186"/>
        <v>0</v>
      </c>
      <c r="BN150" s="29">
        <f t="shared" si="186"/>
        <v>0</v>
      </c>
      <c r="BO150" s="29">
        <f t="shared" si="186"/>
        <v>0</v>
      </c>
      <c r="BP150" s="29">
        <f t="shared" si="186"/>
        <v>0</v>
      </c>
    </row>
    <row r="151" spans="2:68" outlineLevel="1" x14ac:dyDescent="0.2">
      <c r="B151" s="20"/>
      <c r="C151" s="80"/>
      <c r="D151" s="66" t="s">
        <v>248</v>
      </c>
      <c r="E151" s="80"/>
      <c r="F151" s="80"/>
      <c r="G151" s="83"/>
      <c r="H151" s="83"/>
      <c r="I151" s="80"/>
      <c r="J151" s="80"/>
      <c r="K151" s="401"/>
      <c r="L151" s="436">
        <f t="shared" si="185"/>
        <v>0</v>
      </c>
      <c r="M151" s="469"/>
      <c r="N151" s="470"/>
      <c r="O151" s="470"/>
      <c r="P151" s="470"/>
      <c r="Q151" s="470"/>
      <c r="R151" s="29">
        <f>R147-R150</f>
        <v>0</v>
      </c>
      <c r="S151" s="29">
        <f t="shared" ref="S151:BP151" si="187">S147-S150</f>
        <v>0</v>
      </c>
      <c r="T151" s="29">
        <f t="shared" si="187"/>
        <v>0</v>
      </c>
      <c r="U151" s="29">
        <f t="shared" si="187"/>
        <v>0</v>
      </c>
      <c r="V151" s="29">
        <f t="shared" si="187"/>
        <v>0</v>
      </c>
      <c r="W151" s="29">
        <f t="shared" si="187"/>
        <v>0</v>
      </c>
      <c r="X151" s="29">
        <f t="shared" si="187"/>
        <v>0</v>
      </c>
      <c r="Y151" s="29">
        <f t="shared" si="187"/>
        <v>0</v>
      </c>
      <c r="Z151" s="29">
        <f t="shared" si="187"/>
        <v>0</v>
      </c>
      <c r="AA151" s="29">
        <f t="shared" si="187"/>
        <v>0</v>
      </c>
      <c r="AB151" s="29">
        <f t="shared" si="187"/>
        <v>0</v>
      </c>
      <c r="AC151" s="29">
        <f t="shared" si="187"/>
        <v>0</v>
      </c>
      <c r="AD151" s="29">
        <f t="shared" si="187"/>
        <v>0</v>
      </c>
      <c r="AE151" s="29">
        <f t="shared" si="187"/>
        <v>0</v>
      </c>
      <c r="AF151" s="29">
        <f t="shared" si="187"/>
        <v>0</v>
      </c>
      <c r="AG151" s="29">
        <f t="shared" si="187"/>
        <v>0</v>
      </c>
      <c r="AH151" s="29">
        <f t="shared" si="187"/>
        <v>0</v>
      </c>
      <c r="AI151" s="29">
        <f t="shared" si="187"/>
        <v>0</v>
      </c>
      <c r="AJ151" s="29">
        <f t="shared" si="187"/>
        <v>0</v>
      </c>
      <c r="AK151" s="29">
        <f t="shared" si="187"/>
        <v>0</v>
      </c>
      <c r="AL151" s="29">
        <f t="shared" si="187"/>
        <v>0</v>
      </c>
      <c r="AM151" s="29">
        <f t="shared" si="187"/>
        <v>0</v>
      </c>
      <c r="AN151" s="29">
        <f t="shared" si="187"/>
        <v>0</v>
      </c>
      <c r="AO151" s="29">
        <f t="shared" si="187"/>
        <v>0</v>
      </c>
      <c r="AP151" s="29">
        <f t="shared" si="187"/>
        <v>0</v>
      </c>
      <c r="AQ151" s="29">
        <f t="shared" si="187"/>
        <v>0</v>
      </c>
      <c r="AR151" s="29">
        <f t="shared" si="187"/>
        <v>0</v>
      </c>
      <c r="AS151" s="29">
        <f t="shared" si="187"/>
        <v>0</v>
      </c>
      <c r="AT151" s="29">
        <f t="shared" si="187"/>
        <v>0</v>
      </c>
      <c r="AU151" s="29">
        <f t="shared" si="187"/>
        <v>0</v>
      </c>
      <c r="AV151" s="29">
        <f t="shared" si="187"/>
        <v>0</v>
      </c>
      <c r="AW151" s="29">
        <f t="shared" si="187"/>
        <v>0</v>
      </c>
      <c r="AX151" s="29">
        <f t="shared" si="187"/>
        <v>0</v>
      </c>
      <c r="AY151" s="29">
        <f t="shared" si="187"/>
        <v>0</v>
      </c>
      <c r="AZ151" s="29">
        <f t="shared" si="187"/>
        <v>0</v>
      </c>
      <c r="BA151" s="29">
        <f t="shared" si="187"/>
        <v>0</v>
      </c>
      <c r="BB151" s="29">
        <f t="shared" si="187"/>
        <v>0</v>
      </c>
      <c r="BC151" s="29">
        <f t="shared" si="187"/>
        <v>0</v>
      </c>
      <c r="BD151" s="29">
        <f t="shared" si="187"/>
        <v>0</v>
      </c>
      <c r="BE151" s="29">
        <f t="shared" si="187"/>
        <v>0</v>
      </c>
      <c r="BF151" s="29">
        <f t="shared" si="187"/>
        <v>0</v>
      </c>
      <c r="BG151" s="29">
        <f t="shared" si="187"/>
        <v>0</v>
      </c>
      <c r="BH151" s="29">
        <f t="shared" si="187"/>
        <v>0</v>
      </c>
      <c r="BI151" s="29">
        <f t="shared" si="187"/>
        <v>0</v>
      </c>
      <c r="BJ151" s="29">
        <f t="shared" si="187"/>
        <v>0</v>
      </c>
      <c r="BK151" s="29">
        <f t="shared" si="187"/>
        <v>0</v>
      </c>
      <c r="BL151" s="29">
        <f t="shared" si="187"/>
        <v>0</v>
      </c>
      <c r="BM151" s="29">
        <f t="shared" si="187"/>
        <v>0</v>
      </c>
      <c r="BN151" s="29">
        <f t="shared" si="187"/>
        <v>0</v>
      </c>
      <c r="BO151" s="29">
        <f t="shared" si="187"/>
        <v>0</v>
      </c>
      <c r="BP151" s="29">
        <f t="shared" si="187"/>
        <v>0</v>
      </c>
    </row>
    <row r="152" spans="2:68" outlineLevel="1" x14ac:dyDescent="0.2">
      <c r="B152" s="20"/>
      <c r="C152" s="80"/>
      <c r="D152" s="81"/>
      <c r="E152" s="80"/>
      <c r="F152" s="80"/>
      <c r="G152" s="80"/>
      <c r="H152" s="80"/>
      <c r="I152" s="80"/>
      <c r="J152" s="80"/>
      <c r="K152" s="401"/>
      <c r="L152" s="436"/>
      <c r="M152" s="437"/>
      <c r="N152" s="401"/>
      <c r="O152" s="401"/>
      <c r="P152" s="401"/>
      <c r="Q152" s="401"/>
      <c r="R152" s="401"/>
      <c r="S152" s="401"/>
      <c r="T152" s="401"/>
      <c r="U152" s="401"/>
      <c r="V152" s="401"/>
      <c r="W152" s="401"/>
      <c r="X152" s="401"/>
      <c r="Y152" s="401"/>
      <c r="Z152" s="401"/>
      <c r="AA152" s="401"/>
      <c r="AB152" s="401"/>
      <c r="AC152" s="401"/>
      <c r="AD152" s="401"/>
      <c r="AE152" s="401"/>
      <c r="AF152" s="401"/>
      <c r="AG152" s="401"/>
      <c r="AH152" s="401"/>
      <c r="AI152" s="401"/>
      <c r="AJ152" s="401"/>
      <c r="AK152" s="401"/>
      <c r="AL152" s="401"/>
      <c r="AM152" s="401"/>
      <c r="AN152" s="401"/>
      <c r="AO152" s="401"/>
      <c r="AP152" s="401"/>
      <c r="AQ152" s="401"/>
      <c r="AR152" s="401"/>
      <c r="AS152" s="401"/>
      <c r="AT152" s="401"/>
      <c r="AU152" s="401"/>
      <c r="AV152" s="401"/>
      <c r="AW152" s="401"/>
      <c r="AX152" s="401"/>
      <c r="AY152" s="401"/>
      <c r="AZ152" s="401"/>
      <c r="BA152" s="401"/>
      <c r="BB152" s="401"/>
      <c r="BC152" s="401"/>
      <c r="BD152" s="401"/>
      <c r="BE152" s="401"/>
      <c r="BF152" s="401"/>
      <c r="BG152" s="401"/>
      <c r="BH152" s="401"/>
      <c r="BI152" s="401"/>
      <c r="BJ152" s="401"/>
      <c r="BK152" s="401"/>
      <c r="BL152" s="401"/>
      <c r="BM152" s="401"/>
      <c r="BN152" s="401"/>
      <c r="BO152" s="401"/>
      <c r="BP152" s="401"/>
    </row>
    <row r="153" spans="2:68" outlineLevel="1" x14ac:dyDescent="0.2">
      <c r="B153" s="20"/>
      <c r="C153" s="80"/>
      <c r="D153" s="32" t="s">
        <v>32</v>
      </c>
      <c r="E153" s="80"/>
      <c r="F153" s="80"/>
      <c r="G153" s="80"/>
      <c r="H153" s="80"/>
      <c r="I153" s="80"/>
      <c r="J153" s="80"/>
      <c r="K153" s="401"/>
      <c r="L153" s="436"/>
      <c r="M153" s="437"/>
      <c r="N153" s="401"/>
      <c r="O153" s="401"/>
      <c r="P153" s="401"/>
      <c r="Q153" s="401"/>
      <c r="R153" s="401"/>
      <c r="S153" s="401"/>
      <c r="T153" s="401"/>
      <c r="U153" s="401"/>
      <c r="V153" s="401"/>
      <c r="W153" s="401"/>
      <c r="X153" s="401"/>
      <c r="Y153" s="401"/>
      <c r="Z153" s="401"/>
      <c r="AA153" s="401"/>
      <c r="AB153" s="401"/>
      <c r="AC153" s="401"/>
      <c r="AD153" s="401"/>
      <c r="AE153" s="401"/>
      <c r="AF153" s="401"/>
      <c r="AG153" s="401"/>
      <c r="AH153" s="401"/>
      <c r="AI153" s="401"/>
      <c r="AJ153" s="401"/>
      <c r="AK153" s="401"/>
      <c r="AL153" s="401"/>
      <c r="AM153" s="401"/>
      <c r="AN153" s="401"/>
      <c r="AO153" s="401"/>
      <c r="AP153" s="401"/>
      <c r="AQ153" s="401"/>
      <c r="AR153" s="401"/>
      <c r="AS153" s="401"/>
      <c r="AT153" s="401"/>
      <c r="AU153" s="401"/>
      <c r="AV153" s="401"/>
      <c r="AW153" s="401"/>
      <c r="AX153" s="401"/>
      <c r="AY153" s="401"/>
      <c r="AZ153" s="401"/>
      <c r="BA153" s="401"/>
      <c r="BB153" s="401"/>
      <c r="BC153" s="401"/>
      <c r="BD153" s="401"/>
      <c r="BE153" s="401"/>
      <c r="BF153" s="401"/>
      <c r="BG153" s="401"/>
      <c r="BH153" s="401"/>
      <c r="BI153" s="401"/>
      <c r="BJ153" s="401"/>
      <c r="BK153" s="401"/>
      <c r="BL153" s="401"/>
      <c r="BM153" s="401"/>
      <c r="BN153" s="401"/>
      <c r="BO153" s="401"/>
      <c r="BP153" s="401"/>
    </row>
    <row r="154" spans="2:68" outlineLevel="1" x14ac:dyDescent="0.2">
      <c r="B154" s="20"/>
      <c r="C154" s="80"/>
      <c r="D154" s="81" t="s">
        <v>98</v>
      </c>
      <c r="E154" s="80"/>
      <c r="F154" s="80"/>
      <c r="G154" s="80"/>
      <c r="H154" s="80"/>
      <c r="I154" s="80"/>
      <c r="J154" s="80"/>
      <c r="K154" s="401"/>
      <c r="L154" s="436"/>
      <c r="M154" s="469"/>
      <c r="N154" s="470"/>
      <c r="O154" s="470"/>
      <c r="P154" s="470"/>
      <c r="Q154" s="470"/>
      <c r="R154" s="401">
        <f>Input!R199</f>
        <v>0</v>
      </c>
      <c r="S154" s="401">
        <f>Input!S199</f>
        <v>0</v>
      </c>
      <c r="T154" s="401">
        <f>Input!T199</f>
        <v>0</v>
      </c>
      <c r="U154" s="401">
        <f>Input!U199</f>
        <v>0</v>
      </c>
      <c r="V154" s="401">
        <f>Input!V199</f>
        <v>0</v>
      </c>
      <c r="W154" s="401">
        <f>Input!W199</f>
        <v>0</v>
      </c>
      <c r="X154" s="401">
        <f>Input!X199</f>
        <v>0</v>
      </c>
      <c r="Y154" s="401">
        <f>Input!Y199</f>
        <v>0</v>
      </c>
      <c r="Z154" s="401">
        <f>Input!Z199</f>
        <v>0</v>
      </c>
      <c r="AA154" s="401">
        <f>Input!AA199</f>
        <v>0</v>
      </c>
      <c r="AB154" s="401">
        <f>Input!AB199</f>
        <v>0</v>
      </c>
      <c r="AC154" s="401">
        <f>Input!AC199</f>
        <v>0</v>
      </c>
      <c r="AD154" s="401">
        <f>Input!AD199</f>
        <v>0</v>
      </c>
      <c r="AE154" s="401">
        <f>Input!AE199</f>
        <v>0</v>
      </c>
      <c r="AF154" s="401">
        <f>Input!AF199</f>
        <v>0</v>
      </c>
      <c r="AG154" s="401">
        <f>Input!AG199</f>
        <v>0</v>
      </c>
      <c r="AH154" s="401">
        <f>Input!AH199</f>
        <v>0</v>
      </c>
      <c r="AI154" s="401">
        <f>Input!AI199</f>
        <v>0</v>
      </c>
      <c r="AJ154" s="401">
        <f>Input!AJ199</f>
        <v>0</v>
      </c>
      <c r="AK154" s="401">
        <f>Input!AK199</f>
        <v>0</v>
      </c>
      <c r="AL154" s="401">
        <f>Input!AL199</f>
        <v>0</v>
      </c>
      <c r="AM154" s="401">
        <f>Input!AM199</f>
        <v>0</v>
      </c>
      <c r="AN154" s="401">
        <f>Input!AN199</f>
        <v>0</v>
      </c>
      <c r="AO154" s="401">
        <f>Input!AO199</f>
        <v>0</v>
      </c>
      <c r="AP154" s="401">
        <f>Input!AP199</f>
        <v>0</v>
      </c>
      <c r="AQ154" s="401">
        <f>Input!AQ199</f>
        <v>0</v>
      </c>
      <c r="AR154" s="401">
        <f>Input!AR199</f>
        <v>0</v>
      </c>
      <c r="AS154" s="401">
        <f>Input!AS199</f>
        <v>0</v>
      </c>
      <c r="AT154" s="401">
        <f>Input!AT199</f>
        <v>0</v>
      </c>
      <c r="AU154" s="401">
        <f>Input!AU199</f>
        <v>0</v>
      </c>
      <c r="AV154" s="401">
        <f>Input!AV199</f>
        <v>0</v>
      </c>
      <c r="AW154" s="401">
        <f>Input!AW199</f>
        <v>0</v>
      </c>
      <c r="AX154" s="401">
        <f>Input!AX199</f>
        <v>0</v>
      </c>
      <c r="AY154" s="401">
        <f>Input!AY199</f>
        <v>0</v>
      </c>
      <c r="AZ154" s="401">
        <f>Input!AZ199</f>
        <v>0</v>
      </c>
      <c r="BA154" s="401">
        <f>Input!BA199</f>
        <v>0</v>
      </c>
      <c r="BB154" s="401">
        <f>Input!BB199</f>
        <v>0</v>
      </c>
      <c r="BC154" s="401">
        <f>Input!BC199</f>
        <v>0</v>
      </c>
      <c r="BD154" s="401">
        <f>Input!BD199</f>
        <v>0</v>
      </c>
      <c r="BE154" s="401">
        <f>Input!BE199</f>
        <v>0</v>
      </c>
      <c r="BF154" s="401">
        <f>Input!BF199</f>
        <v>0</v>
      </c>
      <c r="BG154" s="401">
        <f>Input!BG199</f>
        <v>0</v>
      </c>
      <c r="BH154" s="401">
        <f>Input!BH199</f>
        <v>0</v>
      </c>
      <c r="BI154" s="401">
        <f>Input!BI199</f>
        <v>0</v>
      </c>
      <c r="BJ154" s="401">
        <f>Input!BJ199</f>
        <v>0</v>
      </c>
      <c r="BK154" s="401">
        <f>Input!BK199</f>
        <v>0</v>
      </c>
      <c r="BL154" s="401">
        <f>Input!BL199</f>
        <v>0</v>
      </c>
      <c r="BM154" s="401">
        <f>Input!BM199</f>
        <v>0</v>
      </c>
      <c r="BN154" s="401">
        <f>Input!BN199</f>
        <v>0</v>
      </c>
      <c r="BO154" s="401">
        <f>Input!BO199</f>
        <v>0</v>
      </c>
      <c r="BP154" s="401">
        <f>Input!BP199</f>
        <v>0</v>
      </c>
    </row>
    <row r="155" spans="2:68" outlineLevel="1" x14ac:dyDescent="0.2">
      <c r="B155" s="20"/>
      <c r="C155" s="80"/>
      <c r="D155" s="81" t="s">
        <v>132</v>
      </c>
      <c r="E155" s="80"/>
      <c r="F155" s="80"/>
      <c r="G155" s="80"/>
      <c r="H155" s="80"/>
      <c r="I155" s="80"/>
      <c r="J155" s="80"/>
      <c r="K155" s="401"/>
      <c r="L155" s="436"/>
      <c r="M155" s="469"/>
      <c r="N155" s="470"/>
      <c r="O155" s="470"/>
      <c r="P155" s="470"/>
      <c r="Q155" s="470"/>
      <c r="R155" s="401">
        <f>Input!R200</f>
        <v>0</v>
      </c>
      <c r="S155" s="401">
        <f>Input!S200</f>
        <v>0</v>
      </c>
      <c r="T155" s="401">
        <f>Input!T200</f>
        <v>0</v>
      </c>
      <c r="U155" s="401">
        <f>Input!U200</f>
        <v>0</v>
      </c>
      <c r="V155" s="401">
        <f>Input!V200</f>
        <v>0</v>
      </c>
      <c r="W155" s="401">
        <f>Input!W200</f>
        <v>0</v>
      </c>
      <c r="X155" s="401">
        <f>Input!X200</f>
        <v>0</v>
      </c>
      <c r="Y155" s="401">
        <f>Input!Y200</f>
        <v>0</v>
      </c>
      <c r="Z155" s="401">
        <f>Input!Z200</f>
        <v>0</v>
      </c>
      <c r="AA155" s="401">
        <f>Input!AA200</f>
        <v>0</v>
      </c>
      <c r="AB155" s="401">
        <f>Input!AB200</f>
        <v>0</v>
      </c>
      <c r="AC155" s="401">
        <f>Input!AC200</f>
        <v>0</v>
      </c>
      <c r="AD155" s="401">
        <f>Input!AD200</f>
        <v>0</v>
      </c>
      <c r="AE155" s="401">
        <f>Input!AE200</f>
        <v>0</v>
      </c>
      <c r="AF155" s="401">
        <f>Input!AF200</f>
        <v>0</v>
      </c>
      <c r="AG155" s="401">
        <f>Input!AG200</f>
        <v>0</v>
      </c>
      <c r="AH155" s="401">
        <f>Input!AH200</f>
        <v>0</v>
      </c>
      <c r="AI155" s="401">
        <f>Input!AI200</f>
        <v>0</v>
      </c>
      <c r="AJ155" s="401">
        <f>Input!AJ200</f>
        <v>0</v>
      </c>
      <c r="AK155" s="401">
        <f>Input!AK200</f>
        <v>0</v>
      </c>
      <c r="AL155" s="401">
        <f>Input!AL200</f>
        <v>0</v>
      </c>
      <c r="AM155" s="401">
        <f>Input!AM200</f>
        <v>0</v>
      </c>
      <c r="AN155" s="401">
        <f>Input!AN200</f>
        <v>0</v>
      </c>
      <c r="AO155" s="401">
        <f>Input!AO200</f>
        <v>0</v>
      </c>
      <c r="AP155" s="401">
        <f>Input!AP200</f>
        <v>0</v>
      </c>
      <c r="AQ155" s="401">
        <f>Input!AQ200</f>
        <v>0</v>
      </c>
      <c r="AR155" s="401">
        <f>Input!AR200</f>
        <v>0</v>
      </c>
      <c r="AS155" s="401">
        <f>Input!AS200</f>
        <v>0</v>
      </c>
      <c r="AT155" s="401">
        <f>Input!AT200</f>
        <v>0</v>
      </c>
      <c r="AU155" s="401">
        <f>Input!AU200</f>
        <v>0</v>
      </c>
      <c r="AV155" s="401">
        <f>Input!AV200</f>
        <v>0</v>
      </c>
      <c r="AW155" s="401">
        <f>Input!AW200</f>
        <v>0</v>
      </c>
      <c r="AX155" s="401">
        <f>Input!AX200</f>
        <v>0</v>
      </c>
      <c r="AY155" s="401">
        <f>Input!AY200</f>
        <v>0</v>
      </c>
      <c r="AZ155" s="401">
        <f>Input!AZ200</f>
        <v>0</v>
      </c>
      <c r="BA155" s="401">
        <f>Input!BA200</f>
        <v>0</v>
      </c>
      <c r="BB155" s="401">
        <f>Input!BB200</f>
        <v>0</v>
      </c>
      <c r="BC155" s="401">
        <f>Input!BC200</f>
        <v>0</v>
      </c>
      <c r="BD155" s="401">
        <f>Input!BD200</f>
        <v>0</v>
      </c>
      <c r="BE155" s="401">
        <f>Input!BE200</f>
        <v>0</v>
      </c>
      <c r="BF155" s="401">
        <f>Input!BF200</f>
        <v>0</v>
      </c>
      <c r="BG155" s="401">
        <f>Input!BG200</f>
        <v>0</v>
      </c>
      <c r="BH155" s="401">
        <f>Input!BH200</f>
        <v>0</v>
      </c>
      <c r="BI155" s="401">
        <f>Input!BI200</f>
        <v>0</v>
      </c>
      <c r="BJ155" s="401">
        <f>Input!BJ200</f>
        <v>0</v>
      </c>
      <c r="BK155" s="401">
        <f>Input!BK200</f>
        <v>0</v>
      </c>
      <c r="BL155" s="401">
        <f>Input!BL200</f>
        <v>0</v>
      </c>
      <c r="BM155" s="401">
        <f>Input!BM200</f>
        <v>0</v>
      </c>
      <c r="BN155" s="401">
        <f>Input!BN200</f>
        <v>0</v>
      </c>
      <c r="BO155" s="401">
        <f>Input!BO200</f>
        <v>0</v>
      </c>
      <c r="BP155" s="401">
        <f>Input!BP200</f>
        <v>0</v>
      </c>
    </row>
    <row r="156" spans="2:68" outlineLevel="1" x14ac:dyDescent="0.2">
      <c r="B156" s="20"/>
      <c r="C156" s="80"/>
      <c r="D156" s="66" t="s">
        <v>133</v>
      </c>
      <c r="E156" s="80"/>
      <c r="F156" s="80"/>
      <c r="G156" s="80"/>
      <c r="H156" s="80"/>
      <c r="I156" s="80"/>
      <c r="J156" s="80"/>
      <c r="K156" s="401"/>
      <c r="L156" s="436"/>
      <c r="M156" s="469"/>
      <c r="N156" s="470"/>
      <c r="O156" s="470"/>
      <c r="P156" s="470"/>
      <c r="Q156" s="470"/>
      <c r="R156" s="401">
        <f>Input!R201</f>
        <v>0</v>
      </c>
      <c r="S156" s="401">
        <f>Input!S201</f>
        <v>0</v>
      </c>
      <c r="T156" s="401">
        <f>Input!T201</f>
        <v>0</v>
      </c>
      <c r="U156" s="401">
        <f>Input!U201</f>
        <v>984614.10454988095</v>
      </c>
      <c r="V156" s="401">
        <f>Input!V201</f>
        <v>999022.85284218902</v>
      </c>
      <c r="W156" s="401">
        <f>Input!W201</f>
        <v>1005767.09087051</v>
      </c>
      <c r="X156" s="401">
        <f>Input!X201</f>
        <v>1006463.54237789</v>
      </c>
      <c r="Y156" s="401">
        <f>Input!Y201</f>
        <v>1008165.42569475</v>
      </c>
      <c r="Z156" s="401">
        <f>Input!Z201</f>
        <v>1824998.8527189</v>
      </c>
      <c r="AA156" s="401">
        <f>Input!AA201</f>
        <v>0</v>
      </c>
      <c r="AB156" s="401">
        <f>Input!AB201</f>
        <v>0</v>
      </c>
      <c r="AC156" s="401">
        <f>Input!AC201</f>
        <v>0</v>
      </c>
      <c r="AD156" s="401">
        <f>Input!AD201</f>
        <v>0</v>
      </c>
      <c r="AE156" s="401">
        <f>Input!AE201</f>
        <v>0</v>
      </c>
      <c r="AF156" s="401">
        <f>Input!AF201</f>
        <v>0</v>
      </c>
      <c r="AG156" s="401">
        <f>Input!AG201</f>
        <v>0</v>
      </c>
      <c r="AH156" s="401">
        <f>Input!AH201</f>
        <v>0</v>
      </c>
      <c r="AI156" s="401">
        <f>Input!AI201</f>
        <v>0</v>
      </c>
      <c r="AJ156" s="401">
        <f>Input!AJ201</f>
        <v>0</v>
      </c>
      <c r="AK156" s="401">
        <f>Input!AK201</f>
        <v>0</v>
      </c>
      <c r="AL156" s="401">
        <f>Input!AL201</f>
        <v>0</v>
      </c>
      <c r="AM156" s="401">
        <f>Input!AM201</f>
        <v>0</v>
      </c>
      <c r="AN156" s="401">
        <f>Input!AN201</f>
        <v>0</v>
      </c>
      <c r="AO156" s="401">
        <f>Input!AO201</f>
        <v>0</v>
      </c>
      <c r="AP156" s="401">
        <f>Input!AP201</f>
        <v>0</v>
      </c>
      <c r="AQ156" s="401">
        <f>Input!AQ201</f>
        <v>0</v>
      </c>
      <c r="AR156" s="401">
        <f>Input!AR201</f>
        <v>0</v>
      </c>
      <c r="AS156" s="401">
        <f>Input!AS201</f>
        <v>0</v>
      </c>
      <c r="AT156" s="401">
        <f>Input!AT201</f>
        <v>0</v>
      </c>
      <c r="AU156" s="401">
        <f>Input!AU201</f>
        <v>0</v>
      </c>
      <c r="AV156" s="401">
        <f>Input!AV201</f>
        <v>0</v>
      </c>
      <c r="AW156" s="401">
        <f>Input!AW201</f>
        <v>0</v>
      </c>
      <c r="AX156" s="401">
        <f>Input!AX201</f>
        <v>0</v>
      </c>
      <c r="AY156" s="401">
        <f>Input!AY201</f>
        <v>0</v>
      </c>
      <c r="AZ156" s="401">
        <f>Input!AZ201</f>
        <v>0</v>
      </c>
      <c r="BA156" s="401">
        <f>Input!BA201</f>
        <v>0</v>
      </c>
      <c r="BB156" s="401">
        <f>Input!BB201</f>
        <v>0</v>
      </c>
      <c r="BC156" s="401">
        <f>Input!BC201</f>
        <v>0</v>
      </c>
      <c r="BD156" s="401">
        <f>Input!BD201</f>
        <v>0</v>
      </c>
      <c r="BE156" s="401">
        <f>Input!BE201</f>
        <v>0</v>
      </c>
      <c r="BF156" s="401">
        <f>Input!BF201</f>
        <v>0</v>
      </c>
      <c r="BG156" s="401">
        <f>Input!BG201</f>
        <v>0</v>
      </c>
      <c r="BH156" s="401">
        <f>Input!BH201</f>
        <v>0</v>
      </c>
      <c r="BI156" s="401">
        <f>Input!BI201</f>
        <v>0</v>
      </c>
      <c r="BJ156" s="401">
        <f>Input!BJ201</f>
        <v>0</v>
      </c>
      <c r="BK156" s="401">
        <f>Input!BK201</f>
        <v>0</v>
      </c>
      <c r="BL156" s="401">
        <f>Input!BL201</f>
        <v>0</v>
      </c>
      <c r="BM156" s="401">
        <f>Input!BM201</f>
        <v>0</v>
      </c>
      <c r="BN156" s="401">
        <f>Input!BN201</f>
        <v>0</v>
      </c>
      <c r="BO156" s="401">
        <f>Input!BO201</f>
        <v>0</v>
      </c>
      <c r="BP156" s="401">
        <f>Input!BP201</f>
        <v>0</v>
      </c>
    </row>
    <row r="157" spans="2:68" outlineLevel="1" x14ac:dyDescent="0.2">
      <c r="B157" s="20"/>
      <c r="C157" s="80"/>
      <c r="D157" s="479" t="s">
        <v>385</v>
      </c>
      <c r="E157" s="458"/>
      <c r="F157" s="458"/>
      <c r="G157" s="458"/>
      <c r="H157" s="458"/>
      <c r="I157" s="458"/>
      <c r="J157" s="458"/>
      <c r="K157" s="460"/>
      <c r="L157" s="461"/>
      <c r="M157" s="480"/>
      <c r="N157" s="481"/>
      <c r="O157" s="481"/>
      <c r="P157" s="481"/>
      <c r="Q157" s="481"/>
      <c r="R157" s="460">
        <f t="shared" ref="R157" si="188">SUM(R154:R156)</f>
        <v>0</v>
      </c>
      <c r="S157" s="460">
        <f t="shared" ref="S157" si="189">SUM(S154:S156)</f>
        <v>0</v>
      </c>
      <c r="T157" s="460">
        <f t="shared" ref="T157" si="190">SUM(T154:T156)</f>
        <v>0</v>
      </c>
      <c r="U157" s="460">
        <f t="shared" ref="U157" si="191">SUM(U154:U156)</f>
        <v>984614.10454988095</v>
      </c>
      <c r="V157" s="460">
        <f t="shared" ref="V157" si="192">SUM(V154:V156)</f>
        <v>999022.85284218902</v>
      </c>
      <c r="W157" s="460">
        <f t="shared" ref="W157" si="193">SUM(W154:W156)</f>
        <v>1005767.09087051</v>
      </c>
      <c r="X157" s="460">
        <f t="shared" ref="X157" si="194">SUM(X154:X156)</f>
        <v>1006463.54237789</v>
      </c>
      <c r="Y157" s="460">
        <f t="shared" ref="Y157" si="195">SUM(Y154:Y156)</f>
        <v>1008165.42569475</v>
      </c>
      <c r="Z157" s="460">
        <f t="shared" ref="Z157" si="196">SUM(Z154:Z156)</f>
        <v>1824998.8527189</v>
      </c>
      <c r="AA157" s="460">
        <f t="shared" ref="AA157" si="197">SUM(AA154:AA156)</f>
        <v>0</v>
      </c>
      <c r="AB157" s="460">
        <f t="shared" ref="AB157" si="198">SUM(AB154:AB156)</f>
        <v>0</v>
      </c>
      <c r="AC157" s="460">
        <f t="shared" ref="AC157" si="199">SUM(AC154:AC156)</f>
        <v>0</v>
      </c>
      <c r="AD157" s="460">
        <f t="shared" ref="AD157" si="200">SUM(AD154:AD156)</f>
        <v>0</v>
      </c>
      <c r="AE157" s="460">
        <f t="shared" ref="AE157" si="201">SUM(AE154:AE156)</f>
        <v>0</v>
      </c>
      <c r="AF157" s="460">
        <f t="shared" ref="AF157" si="202">SUM(AF154:AF156)</f>
        <v>0</v>
      </c>
      <c r="AG157" s="460">
        <f t="shared" ref="AG157" si="203">SUM(AG154:AG156)</f>
        <v>0</v>
      </c>
      <c r="AH157" s="460">
        <f t="shared" ref="AH157" si="204">SUM(AH154:AH156)</f>
        <v>0</v>
      </c>
      <c r="AI157" s="460">
        <f t="shared" ref="AI157" si="205">SUM(AI154:AI156)</f>
        <v>0</v>
      </c>
      <c r="AJ157" s="460">
        <f t="shared" ref="AJ157" si="206">SUM(AJ154:AJ156)</f>
        <v>0</v>
      </c>
      <c r="AK157" s="460">
        <f t="shared" ref="AK157" si="207">SUM(AK154:AK156)</f>
        <v>0</v>
      </c>
      <c r="AL157" s="460">
        <f t="shared" ref="AL157" si="208">SUM(AL154:AL156)</f>
        <v>0</v>
      </c>
      <c r="AM157" s="460">
        <f t="shared" ref="AM157" si="209">SUM(AM154:AM156)</f>
        <v>0</v>
      </c>
      <c r="AN157" s="460">
        <f t="shared" ref="AN157" si="210">SUM(AN154:AN156)</f>
        <v>0</v>
      </c>
      <c r="AO157" s="460">
        <f t="shared" ref="AO157" si="211">SUM(AO154:AO156)</f>
        <v>0</v>
      </c>
      <c r="AP157" s="460">
        <f t="shared" ref="AP157" si="212">SUM(AP154:AP156)</f>
        <v>0</v>
      </c>
      <c r="AQ157" s="460">
        <f t="shared" ref="AQ157" si="213">SUM(AQ154:AQ156)</f>
        <v>0</v>
      </c>
      <c r="AR157" s="460">
        <f t="shared" ref="AR157" si="214">SUM(AR154:AR156)</f>
        <v>0</v>
      </c>
      <c r="AS157" s="460">
        <f t="shared" ref="AS157" si="215">SUM(AS154:AS156)</f>
        <v>0</v>
      </c>
      <c r="AT157" s="460">
        <f t="shared" ref="AT157" si="216">SUM(AT154:AT156)</f>
        <v>0</v>
      </c>
      <c r="AU157" s="460">
        <f t="shared" ref="AU157" si="217">SUM(AU154:AU156)</f>
        <v>0</v>
      </c>
      <c r="AV157" s="460">
        <f t="shared" ref="AV157" si="218">SUM(AV154:AV156)</f>
        <v>0</v>
      </c>
      <c r="AW157" s="460">
        <f t="shared" ref="AW157" si="219">SUM(AW154:AW156)</f>
        <v>0</v>
      </c>
      <c r="AX157" s="460">
        <f t="shared" ref="AX157" si="220">SUM(AX154:AX156)</f>
        <v>0</v>
      </c>
      <c r="AY157" s="460">
        <f t="shared" ref="AY157" si="221">SUM(AY154:AY156)</f>
        <v>0</v>
      </c>
      <c r="AZ157" s="460">
        <f t="shared" ref="AZ157" si="222">SUM(AZ154:AZ156)</f>
        <v>0</v>
      </c>
      <c r="BA157" s="460">
        <f t="shared" ref="BA157" si="223">SUM(BA154:BA156)</f>
        <v>0</v>
      </c>
      <c r="BB157" s="460">
        <f t="shared" ref="BB157" si="224">SUM(BB154:BB156)</f>
        <v>0</v>
      </c>
      <c r="BC157" s="460">
        <f t="shared" ref="BC157" si="225">SUM(BC154:BC156)</f>
        <v>0</v>
      </c>
      <c r="BD157" s="460">
        <f t="shared" ref="BD157" si="226">SUM(BD154:BD156)</f>
        <v>0</v>
      </c>
      <c r="BE157" s="460">
        <f t="shared" ref="BE157" si="227">SUM(BE154:BE156)</f>
        <v>0</v>
      </c>
      <c r="BF157" s="460">
        <f t="shared" ref="BF157" si="228">SUM(BF154:BF156)</f>
        <v>0</v>
      </c>
      <c r="BG157" s="460">
        <f t="shared" ref="BG157" si="229">SUM(BG154:BG156)</f>
        <v>0</v>
      </c>
      <c r="BH157" s="460">
        <f t="shared" ref="BH157" si="230">SUM(BH154:BH156)</f>
        <v>0</v>
      </c>
      <c r="BI157" s="460">
        <f t="shared" ref="BI157" si="231">SUM(BI154:BI156)</f>
        <v>0</v>
      </c>
      <c r="BJ157" s="460">
        <f t="shared" ref="BJ157" si="232">SUM(BJ154:BJ156)</f>
        <v>0</v>
      </c>
      <c r="BK157" s="460">
        <f t="shared" ref="BK157" si="233">SUM(BK154:BK156)</f>
        <v>0</v>
      </c>
      <c r="BL157" s="460">
        <f t="shared" ref="BL157" si="234">SUM(BL154:BL156)</f>
        <v>0</v>
      </c>
      <c r="BM157" s="460">
        <f t="shared" ref="BM157" si="235">SUM(BM154:BM156)</f>
        <v>0</v>
      </c>
      <c r="BN157" s="460">
        <f t="shared" ref="BN157" si="236">SUM(BN154:BN156)</f>
        <v>0</v>
      </c>
      <c r="BO157" s="460">
        <f t="shared" ref="BO157" si="237">SUM(BO154:BO156)</f>
        <v>0</v>
      </c>
      <c r="BP157" s="460">
        <f t="shared" ref="BP157" si="238">SUM(BP154:BP156)</f>
        <v>0</v>
      </c>
    </row>
    <row r="158" spans="2:68" outlineLevel="1" x14ac:dyDescent="0.2">
      <c r="B158" s="20"/>
      <c r="C158" s="80"/>
      <c r="D158" s="81"/>
      <c r="E158" s="80"/>
      <c r="F158" s="80"/>
      <c r="G158" s="80"/>
      <c r="H158" s="80"/>
      <c r="I158" s="80"/>
      <c r="J158" s="80"/>
      <c r="K158" s="401"/>
      <c r="L158" s="436"/>
      <c r="M158" s="437"/>
      <c r="N158" s="401"/>
      <c r="O158" s="401"/>
      <c r="P158" s="401"/>
      <c r="Q158" s="401"/>
      <c r="R158" s="401"/>
      <c r="S158" s="401"/>
      <c r="T158" s="401"/>
      <c r="U158" s="401"/>
      <c r="V158" s="401"/>
      <c r="W158" s="401"/>
      <c r="X158" s="401"/>
      <c r="Y158" s="401"/>
      <c r="Z158" s="401"/>
      <c r="AA158" s="401"/>
      <c r="AB158" s="401"/>
      <c r="AC158" s="401"/>
      <c r="AD158" s="401"/>
      <c r="AE158" s="401"/>
      <c r="AF158" s="401"/>
      <c r="AG158" s="401"/>
      <c r="AH158" s="401"/>
      <c r="AI158" s="401"/>
      <c r="AJ158" s="401"/>
      <c r="AK158" s="401"/>
      <c r="AL158" s="401"/>
      <c r="AM158" s="401"/>
      <c r="AN158" s="401"/>
      <c r="AO158" s="401"/>
      <c r="AP158" s="401"/>
      <c r="AQ158" s="401"/>
      <c r="AR158" s="401"/>
      <c r="AS158" s="401"/>
      <c r="AT158" s="401"/>
      <c r="AU158" s="401"/>
      <c r="AV158" s="401"/>
      <c r="AW158" s="401"/>
      <c r="AX158" s="401"/>
      <c r="AY158" s="401"/>
      <c r="AZ158" s="401"/>
      <c r="BA158" s="401"/>
      <c r="BB158" s="401"/>
      <c r="BC158" s="401"/>
      <c r="BD158" s="401"/>
      <c r="BE158" s="401"/>
      <c r="BF158" s="401"/>
      <c r="BG158" s="401"/>
      <c r="BH158" s="401"/>
      <c r="BI158" s="401"/>
      <c r="BJ158" s="401"/>
      <c r="BK158" s="401"/>
      <c r="BL158" s="401"/>
      <c r="BM158" s="401"/>
      <c r="BN158" s="401"/>
      <c r="BO158" s="401"/>
      <c r="BP158" s="401"/>
    </row>
    <row r="159" spans="2:68" outlineLevel="1" x14ac:dyDescent="0.2">
      <c r="B159" s="20"/>
      <c r="C159" s="80"/>
      <c r="D159" s="85" t="s">
        <v>130</v>
      </c>
      <c r="E159" s="80"/>
      <c r="F159" s="80"/>
      <c r="G159" s="80"/>
      <c r="H159" s="80"/>
      <c r="I159" s="80"/>
      <c r="J159" s="80"/>
      <c r="K159" s="401"/>
      <c r="L159" s="436"/>
      <c r="M159" s="469"/>
      <c r="N159" s="470"/>
      <c r="O159" s="470"/>
      <c r="P159" s="470"/>
      <c r="Q159" s="470"/>
      <c r="R159" s="476">
        <f>Input!R197</f>
        <v>0</v>
      </c>
      <c r="S159" s="476">
        <f>Input!S197</f>
        <v>0</v>
      </c>
      <c r="T159" s="476">
        <f>Input!T197</f>
        <v>0</v>
      </c>
      <c r="U159" s="476">
        <f>Input!U197</f>
        <v>0</v>
      </c>
      <c r="V159" s="476">
        <f>Input!V197</f>
        <v>0</v>
      </c>
      <c r="W159" s="476">
        <f>Input!W197</f>
        <v>0</v>
      </c>
      <c r="X159" s="476">
        <f>Input!X197</f>
        <v>0</v>
      </c>
      <c r="Y159" s="476">
        <f>Input!Y197</f>
        <v>0</v>
      </c>
      <c r="Z159" s="476">
        <f>Input!Z197</f>
        <v>0</v>
      </c>
      <c r="AA159" s="476">
        <f>Input!AA197</f>
        <v>0</v>
      </c>
      <c r="AB159" s="476">
        <f>Input!AB197</f>
        <v>0</v>
      </c>
      <c r="AC159" s="476">
        <f>Input!AC197</f>
        <v>0</v>
      </c>
      <c r="AD159" s="476">
        <f>Input!AD197</f>
        <v>0</v>
      </c>
      <c r="AE159" s="476">
        <f>Input!AE197</f>
        <v>0</v>
      </c>
      <c r="AF159" s="476">
        <f>Input!AF197</f>
        <v>0</v>
      </c>
      <c r="AG159" s="476">
        <f>Input!AG197</f>
        <v>0</v>
      </c>
      <c r="AH159" s="476">
        <f>Input!AH197</f>
        <v>0</v>
      </c>
      <c r="AI159" s="476">
        <f>Input!AI197</f>
        <v>0</v>
      </c>
      <c r="AJ159" s="476">
        <f>Input!AJ197</f>
        <v>0</v>
      </c>
      <c r="AK159" s="476">
        <f>Input!AK197</f>
        <v>0</v>
      </c>
      <c r="AL159" s="476">
        <f>Input!AL197</f>
        <v>0</v>
      </c>
      <c r="AM159" s="476">
        <f>Input!AM197</f>
        <v>0</v>
      </c>
      <c r="AN159" s="476">
        <f>Input!AN197</f>
        <v>0</v>
      </c>
      <c r="AO159" s="476">
        <f>Input!AO197</f>
        <v>0</v>
      </c>
      <c r="AP159" s="476">
        <f>Input!AP197</f>
        <v>0</v>
      </c>
      <c r="AQ159" s="476">
        <f>Input!AQ197</f>
        <v>0</v>
      </c>
      <c r="AR159" s="476">
        <f>Input!AR197</f>
        <v>0</v>
      </c>
      <c r="AS159" s="476">
        <f>Input!AS197</f>
        <v>0</v>
      </c>
      <c r="AT159" s="476">
        <f>Input!AT197</f>
        <v>0</v>
      </c>
      <c r="AU159" s="476">
        <f>Input!AU197</f>
        <v>0</v>
      </c>
      <c r="AV159" s="476">
        <f>Input!AV197</f>
        <v>0</v>
      </c>
      <c r="AW159" s="476">
        <f>Input!AW197</f>
        <v>0</v>
      </c>
      <c r="AX159" s="476">
        <f>Input!AX197</f>
        <v>0</v>
      </c>
      <c r="AY159" s="476">
        <f>Input!AY197</f>
        <v>0</v>
      </c>
      <c r="AZ159" s="476">
        <f>Input!AZ197</f>
        <v>0</v>
      </c>
      <c r="BA159" s="476">
        <f>Input!BA197</f>
        <v>0</v>
      </c>
      <c r="BB159" s="476">
        <f>Input!BB197</f>
        <v>0</v>
      </c>
      <c r="BC159" s="476">
        <f>Input!BC197</f>
        <v>0</v>
      </c>
      <c r="BD159" s="476">
        <f>Input!BD197</f>
        <v>0</v>
      </c>
      <c r="BE159" s="476">
        <f>Input!BE197</f>
        <v>0</v>
      </c>
      <c r="BF159" s="476">
        <f>Input!BF197</f>
        <v>0</v>
      </c>
      <c r="BG159" s="476">
        <f>Input!BG197</f>
        <v>0</v>
      </c>
      <c r="BH159" s="476">
        <f>Input!BH197</f>
        <v>0</v>
      </c>
      <c r="BI159" s="476">
        <f>Input!BI197</f>
        <v>0</v>
      </c>
      <c r="BJ159" s="476">
        <f>Input!BJ197</f>
        <v>0</v>
      </c>
      <c r="BK159" s="476">
        <f>Input!BK197</f>
        <v>0</v>
      </c>
      <c r="BL159" s="476">
        <f>Input!BL197</f>
        <v>0</v>
      </c>
      <c r="BM159" s="476">
        <f>Input!BM197</f>
        <v>0</v>
      </c>
      <c r="BN159" s="476">
        <f>Input!BN197</f>
        <v>0</v>
      </c>
      <c r="BO159" s="476">
        <f>Input!BO197</f>
        <v>0</v>
      </c>
      <c r="BP159" s="476">
        <f>Input!BP197</f>
        <v>0</v>
      </c>
    </row>
    <row r="160" spans="2:68" outlineLevel="1" x14ac:dyDescent="0.2">
      <c r="B160" s="20"/>
      <c r="C160" s="80"/>
      <c r="D160" s="81"/>
      <c r="E160" s="80"/>
      <c r="F160" s="80"/>
      <c r="G160" s="80"/>
      <c r="H160" s="80"/>
      <c r="I160" s="80"/>
      <c r="J160" s="80"/>
      <c r="K160" s="401"/>
      <c r="L160" s="436"/>
      <c r="M160" s="437"/>
      <c r="N160" s="401"/>
      <c r="O160" s="401"/>
      <c r="P160" s="401"/>
      <c r="Q160" s="401"/>
      <c r="R160" s="401"/>
      <c r="S160" s="401"/>
      <c r="T160" s="401"/>
      <c r="U160" s="401"/>
      <c r="V160" s="401"/>
      <c r="W160" s="401"/>
      <c r="X160" s="401"/>
      <c r="Y160" s="401"/>
      <c r="Z160" s="401"/>
      <c r="AA160" s="401"/>
      <c r="AB160" s="401"/>
      <c r="AC160" s="401"/>
      <c r="AD160" s="401"/>
      <c r="AE160" s="401"/>
      <c r="AF160" s="401"/>
      <c r="AG160" s="401"/>
      <c r="AH160" s="401"/>
      <c r="AI160" s="401"/>
      <c r="AJ160" s="401"/>
      <c r="AK160" s="401"/>
      <c r="AL160" s="401"/>
      <c r="AM160" s="401"/>
      <c r="AN160" s="401"/>
      <c r="AO160" s="401"/>
      <c r="AP160" s="401"/>
      <c r="AQ160" s="401"/>
      <c r="AR160" s="401"/>
      <c r="AS160" s="401"/>
      <c r="AT160" s="401"/>
      <c r="AU160" s="401"/>
      <c r="AV160" s="401"/>
      <c r="AW160" s="401"/>
      <c r="AX160" s="401"/>
      <c r="AY160" s="401"/>
      <c r="AZ160" s="401"/>
      <c r="BA160" s="401"/>
      <c r="BB160" s="401"/>
      <c r="BC160" s="401"/>
      <c r="BD160" s="401"/>
      <c r="BE160" s="401"/>
      <c r="BF160" s="401"/>
      <c r="BG160" s="401"/>
      <c r="BH160" s="401"/>
      <c r="BI160" s="401"/>
      <c r="BJ160" s="401"/>
      <c r="BK160" s="401"/>
      <c r="BL160" s="401"/>
      <c r="BM160" s="401"/>
      <c r="BN160" s="401"/>
      <c r="BO160" s="401"/>
      <c r="BP160" s="401"/>
    </row>
    <row r="161" spans="2:68" outlineLevel="1" x14ac:dyDescent="0.2">
      <c r="B161" s="20"/>
      <c r="C161" s="80"/>
      <c r="D161" s="10" t="str">
        <f>Input!$C$203</f>
        <v>Ongoing new opex</v>
      </c>
      <c r="E161" s="80"/>
      <c r="F161" s="80"/>
      <c r="G161" s="80"/>
      <c r="H161" s="80"/>
      <c r="I161" s="80"/>
      <c r="J161" s="52" t="s">
        <v>386</v>
      </c>
      <c r="K161" s="401"/>
      <c r="L161" s="436"/>
      <c r="M161" s="437"/>
      <c r="N161" s="401"/>
      <c r="O161" s="401"/>
      <c r="P161" s="401"/>
      <c r="Q161" s="401"/>
      <c r="R161" s="401"/>
      <c r="S161" s="401"/>
      <c r="T161" s="401"/>
      <c r="U161" s="401"/>
      <c r="V161" s="401"/>
      <c r="W161" s="401"/>
      <c r="X161" s="401"/>
      <c r="Y161" s="401"/>
      <c r="Z161" s="401"/>
      <c r="AA161" s="401"/>
      <c r="AB161" s="401"/>
      <c r="AC161" s="401"/>
      <c r="AD161" s="401"/>
      <c r="AE161" s="401"/>
      <c r="AF161" s="401"/>
      <c r="AG161" s="401"/>
      <c r="AH161" s="401"/>
      <c r="AI161" s="401"/>
      <c r="AJ161" s="401"/>
      <c r="AK161" s="401"/>
      <c r="AL161" s="401"/>
      <c r="AM161" s="401"/>
      <c r="AN161" s="401"/>
      <c r="AO161" s="401"/>
      <c r="AP161" s="401"/>
      <c r="AQ161" s="401"/>
      <c r="AR161" s="401"/>
      <c r="AS161" s="401"/>
      <c r="AT161" s="401"/>
      <c r="AU161" s="401"/>
      <c r="AV161" s="401"/>
      <c r="AW161" s="401"/>
      <c r="AX161" s="401"/>
      <c r="AY161" s="401"/>
      <c r="AZ161" s="401"/>
      <c r="BA161" s="401"/>
      <c r="BB161" s="401"/>
      <c r="BC161" s="401"/>
      <c r="BD161" s="401"/>
      <c r="BE161" s="401"/>
      <c r="BF161" s="401"/>
      <c r="BG161" s="401"/>
      <c r="BH161" s="401"/>
      <c r="BI161" s="401"/>
      <c r="BJ161" s="401"/>
      <c r="BK161" s="401"/>
      <c r="BL161" s="401"/>
      <c r="BM161" s="401"/>
      <c r="BN161" s="401"/>
      <c r="BO161" s="401"/>
      <c r="BP161" s="401"/>
    </row>
    <row r="162" spans="2:68" ht="10.35" customHeight="1" outlineLevel="1" x14ac:dyDescent="0.2">
      <c r="B162" s="80"/>
      <c r="C162" s="80"/>
      <c r="D162" s="81" t="str">
        <f>Input!$D$220</f>
        <v>Repairs &amp; maintenance (Planned &amp; unplanned)</v>
      </c>
      <c r="E162" s="80"/>
      <c r="F162" s="80"/>
      <c r="G162" s="80"/>
      <c r="H162" s="80"/>
      <c r="I162" s="80"/>
      <c r="J162" s="52" t="e">
        <f>MATCH(TRUE,INDEX((R162:BP162&lt;&gt;0),0),0)-1</f>
        <v>#N/A</v>
      </c>
      <c r="K162" s="401"/>
      <c r="L162" s="436">
        <f t="shared" ref="L162:L168" si="239">SUM(R162:BP162)</f>
        <v>0</v>
      </c>
      <c r="M162" s="469"/>
      <c r="N162" s="470"/>
      <c r="O162" s="470"/>
      <c r="P162" s="470"/>
      <c r="Q162" s="470"/>
      <c r="R162" s="31">
        <f>Input!R220</f>
        <v>0</v>
      </c>
      <c r="S162" s="31">
        <f>Input!S220</f>
        <v>0</v>
      </c>
      <c r="T162" s="31">
        <f>Input!T220</f>
        <v>0</v>
      </c>
      <c r="U162" s="31">
        <f>Input!U220</f>
        <v>0</v>
      </c>
      <c r="V162" s="31">
        <f>Input!V220</f>
        <v>0</v>
      </c>
      <c r="W162" s="31">
        <f>Input!W220</f>
        <v>0</v>
      </c>
      <c r="X162" s="31">
        <f>Input!X220</f>
        <v>0</v>
      </c>
      <c r="Y162" s="31">
        <f>Input!Y220</f>
        <v>0</v>
      </c>
      <c r="Z162" s="31">
        <f>Input!Z220</f>
        <v>0</v>
      </c>
      <c r="AA162" s="31">
        <f>Input!AA220</f>
        <v>0</v>
      </c>
      <c r="AB162" s="31">
        <f>Input!AB220</f>
        <v>0</v>
      </c>
      <c r="AC162" s="31">
        <f>Input!AC220</f>
        <v>0</v>
      </c>
      <c r="AD162" s="31">
        <f>Input!AD220</f>
        <v>0</v>
      </c>
      <c r="AE162" s="31">
        <f>Input!AE220</f>
        <v>0</v>
      </c>
      <c r="AF162" s="31">
        <f>Input!AF220</f>
        <v>0</v>
      </c>
      <c r="AG162" s="31">
        <f>Input!AG220</f>
        <v>0</v>
      </c>
      <c r="AH162" s="31">
        <f>Input!AH220</f>
        <v>0</v>
      </c>
      <c r="AI162" s="31">
        <f>Input!AI220</f>
        <v>0</v>
      </c>
      <c r="AJ162" s="31">
        <f>Input!AJ220</f>
        <v>0</v>
      </c>
      <c r="AK162" s="31">
        <f>Input!AK220</f>
        <v>0</v>
      </c>
      <c r="AL162" s="31">
        <f>Input!AL220</f>
        <v>0</v>
      </c>
      <c r="AM162" s="31">
        <f>Input!AM220</f>
        <v>0</v>
      </c>
      <c r="AN162" s="31">
        <f>Input!AN220</f>
        <v>0</v>
      </c>
      <c r="AO162" s="31">
        <f>Input!AO220</f>
        <v>0</v>
      </c>
      <c r="AP162" s="31">
        <f>Input!AP220</f>
        <v>0</v>
      </c>
      <c r="AQ162" s="31">
        <f>Input!AQ220</f>
        <v>0</v>
      </c>
      <c r="AR162" s="31">
        <f>Input!AR220</f>
        <v>0</v>
      </c>
      <c r="AS162" s="31">
        <f>Input!AS220</f>
        <v>0</v>
      </c>
      <c r="AT162" s="31">
        <f>Input!AT220</f>
        <v>0</v>
      </c>
      <c r="AU162" s="31">
        <f>Input!AU220</f>
        <v>0</v>
      </c>
      <c r="AV162" s="31">
        <f>Input!AV220</f>
        <v>0</v>
      </c>
      <c r="AW162" s="31">
        <f>Input!AW220</f>
        <v>0</v>
      </c>
      <c r="AX162" s="31">
        <f>Input!AX220</f>
        <v>0</v>
      </c>
      <c r="AY162" s="31">
        <f>Input!AY220</f>
        <v>0</v>
      </c>
      <c r="AZ162" s="31">
        <f>Input!AZ220</f>
        <v>0</v>
      </c>
      <c r="BA162" s="31">
        <f>Input!BA220</f>
        <v>0</v>
      </c>
      <c r="BB162" s="31">
        <f>Input!BB220</f>
        <v>0</v>
      </c>
      <c r="BC162" s="31">
        <f>Input!BC220</f>
        <v>0</v>
      </c>
      <c r="BD162" s="31">
        <f>Input!BD220</f>
        <v>0</v>
      </c>
      <c r="BE162" s="31">
        <f>Input!BE220</f>
        <v>0</v>
      </c>
      <c r="BF162" s="31">
        <f>Input!BF220</f>
        <v>0</v>
      </c>
      <c r="BG162" s="31">
        <f>Input!BG220</f>
        <v>0</v>
      </c>
      <c r="BH162" s="31">
        <f>Input!BH220</f>
        <v>0</v>
      </c>
      <c r="BI162" s="31">
        <f>Input!BI220</f>
        <v>0</v>
      </c>
      <c r="BJ162" s="31">
        <f>Input!BJ220</f>
        <v>0</v>
      </c>
      <c r="BK162" s="31">
        <f>Input!BK220</f>
        <v>0</v>
      </c>
      <c r="BL162" s="31">
        <f>Input!BL220</f>
        <v>0</v>
      </c>
      <c r="BM162" s="31">
        <f>Input!BM220</f>
        <v>0</v>
      </c>
      <c r="BN162" s="31">
        <f>Input!BN220</f>
        <v>0</v>
      </c>
      <c r="BO162" s="31">
        <f>Input!BO220</f>
        <v>0</v>
      </c>
      <c r="BP162" s="31">
        <f>Input!BP220</f>
        <v>0</v>
      </c>
    </row>
    <row r="163" spans="2:68" ht="10.35" customHeight="1" outlineLevel="1" x14ac:dyDescent="0.2">
      <c r="B163" s="80"/>
      <c r="C163" s="80"/>
      <c r="D163" s="81" t="str">
        <f>Input!$D$227</f>
        <v>Demand management opex</v>
      </c>
      <c r="E163" s="80"/>
      <c r="F163" s="80"/>
      <c r="G163" s="80"/>
      <c r="H163" s="80"/>
      <c r="I163" s="80"/>
      <c r="J163" s="52" t="e">
        <f t="shared" ref="J163:J166" si="240">MATCH(TRUE,INDEX((R163:BP163&lt;&gt;0),0),0)-1</f>
        <v>#N/A</v>
      </c>
      <c r="K163" s="401"/>
      <c r="L163" s="436">
        <f t="shared" si="239"/>
        <v>0</v>
      </c>
      <c r="M163" s="469"/>
      <c r="N163" s="470"/>
      <c r="O163" s="470"/>
      <c r="P163" s="470"/>
      <c r="Q163" s="470"/>
      <c r="R163" s="31">
        <f>Input!R227</f>
        <v>0</v>
      </c>
      <c r="S163" s="31">
        <f>Input!S227</f>
        <v>0</v>
      </c>
      <c r="T163" s="31">
        <f>Input!T227</f>
        <v>0</v>
      </c>
      <c r="U163" s="31">
        <f>Input!U227</f>
        <v>0</v>
      </c>
      <c r="V163" s="31">
        <f>Input!V227</f>
        <v>0</v>
      </c>
      <c r="W163" s="31">
        <f>Input!W227</f>
        <v>0</v>
      </c>
      <c r="X163" s="31">
        <f>Input!X227</f>
        <v>0</v>
      </c>
      <c r="Y163" s="31">
        <f>Input!Y227</f>
        <v>0</v>
      </c>
      <c r="Z163" s="31">
        <f>Input!Z227</f>
        <v>0</v>
      </c>
      <c r="AA163" s="31">
        <f>Input!AA227</f>
        <v>0</v>
      </c>
      <c r="AB163" s="31">
        <f>Input!AB227</f>
        <v>0</v>
      </c>
      <c r="AC163" s="31">
        <f>Input!AC227</f>
        <v>0</v>
      </c>
      <c r="AD163" s="31">
        <f>Input!AD227</f>
        <v>0</v>
      </c>
      <c r="AE163" s="31">
        <f>Input!AE227</f>
        <v>0</v>
      </c>
      <c r="AF163" s="31">
        <f>Input!AF227</f>
        <v>0</v>
      </c>
      <c r="AG163" s="31">
        <f>Input!AG227</f>
        <v>0</v>
      </c>
      <c r="AH163" s="31">
        <f>Input!AH227</f>
        <v>0</v>
      </c>
      <c r="AI163" s="31">
        <f>Input!AI227</f>
        <v>0</v>
      </c>
      <c r="AJ163" s="31">
        <f>Input!AJ227</f>
        <v>0</v>
      </c>
      <c r="AK163" s="31">
        <f>Input!AK227</f>
        <v>0</v>
      </c>
      <c r="AL163" s="31">
        <f>Input!AL227</f>
        <v>0</v>
      </c>
      <c r="AM163" s="31">
        <f>Input!AM227</f>
        <v>0</v>
      </c>
      <c r="AN163" s="31">
        <f>Input!AN227</f>
        <v>0</v>
      </c>
      <c r="AO163" s="31">
        <f>Input!AO227</f>
        <v>0</v>
      </c>
      <c r="AP163" s="31">
        <f>Input!AP227</f>
        <v>0</v>
      </c>
      <c r="AQ163" s="31">
        <f>Input!AQ227</f>
        <v>0</v>
      </c>
      <c r="AR163" s="31">
        <f>Input!AR227</f>
        <v>0</v>
      </c>
      <c r="AS163" s="31">
        <f>Input!AS227</f>
        <v>0</v>
      </c>
      <c r="AT163" s="31">
        <f>Input!AT227</f>
        <v>0</v>
      </c>
      <c r="AU163" s="31">
        <f>Input!AU227</f>
        <v>0</v>
      </c>
      <c r="AV163" s="31">
        <f>Input!AV227</f>
        <v>0</v>
      </c>
      <c r="AW163" s="31">
        <f>Input!AW227</f>
        <v>0</v>
      </c>
      <c r="AX163" s="31">
        <f>Input!AX227</f>
        <v>0</v>
      </c>
      <c r="AY163" s="31">
        <f>Input!AY227</f>
        <v>0</v>
      </c>
      <c r="AZ163" s="31">
        <f>Input!AZ227</f>
        <v>0</v>
      </c>
      <c r="BA163" s="31">
        <f>Input!BA227</f>
        <v>0</v>
      </c>
      <c r="BB163" s="31">
        <f>Input!BB227</f>
        <v>0</v>
      </c>
      <c r="BC163" s="31">
        <f>Input!BC227</f>
        <v>0</v>
      </c>
      <c r="BD163" s="31">
        <f>Input!BD227</f>
        <v>0</v>
      </c>
      <c r="BE163" s="31">
        <f>Input!BE227</f>
        <v>0</v>
      </c>
      <c r="BF163" s="31">
        <f>Input!BF227</f>
        <v>0</v>
      </c>
      <c r="BG163" s="31">
        <f>Input!BG227</f>
        <v>0</v>
      </c>
      <c r="BH163" s="31">
        <f>Input!BH227</f>
        <v>0</v>
      </c>
      <c r="BI163" s="31">
        <f>Input!BI227</f>
        <v>0</v>
      </c>
      <c r="BJ163" s="31">
        <f>Input!BJ227</f>
        <v>0</v>
      </c>
      <c r="BK163" s="31">
        <f>Input!BK227</f>
        <v>0</v>
      </c>
      <c r="BL163" s="31">
        <f>Input!BL227</f>
        <v>0</v>
      </c>
      <c r="BM163" s="31">
        <f>Input!BM227</f>
        <v>0</v>
      </c>
      <c r="BN163" s="31">
        <f>Input!BN227</f>
        <v>0</v>
      </c>
      <c r="BO163" s="31">
        <f>Input!BO227</f>
        <v>0</v>
      </c>
      <c r="BP163" s="31">
        <f>Input!BP227</f>
        <v>0</v>
      </c>
    </row>
    <row r="164" spans="2:68" ht="10.35" customHeight="1" outlineLevel="1" x14ac:dyDescent="0.2">
      <c r="B164" s="80"/>
      <c r="C164" s="80"/>
      <c r="D164" s="81" t="str">
        <f>Input!$D$234</f>
        <v>Opex benefit 1</v>
      </c>
      <c r="E164" s="80"/>
      <c r="F164" s="80"/>
      <c r="G164" s="80"/>
      <c r="H164" s="80"/>
      <c r="I164" s="80"/>
      <c r="J164" s="83" t="e">
        <f t="shared" si="240"/>
        <v>#N/A</v>
      </c>
      <c r="K164" s="401"/>
      <c r="L164" s="436">
        <f t="shared" si="239"/>
        <v>0</v>
      </c>
      <c r="M164" s="469"/>
      <c r="N164" s="470"/>
      <c r="O164" s="470"/>
      <c r="P164" s="470"/>
      <c r="Q164" s="470"/>
      <c r="R164" s="31">
        <f>Input!R234</f>
        <v>0</v>
      </c>
      <c r="S164" s="31">
        <f>Input!S234</f>
        <v>0</v>
      </c>
      <c r="T164" s="31">
        <f>Input!T234</f>
        <v>0</v>
      </c>
      <c r="U164" s="31">
        <f>Input!U234</f>
        <v>0</v>
      </c>
      <c r="V164" s="31">
        <f>Input!V234</f>
        <v>0</v>
      </c>
      <c r="W164" s="31">
        <f>Input!W234</f>
        <v>0</v>
      </c>
      <c r="X164" s="31">
        <f>Input!X234</f>
        <v>0</v>
      </c>
      <c r="Y164" s="31">
        <f>Input!Y234</f>
        <v>0</v>
      </c>
      <c r="Z164" s="31">
        <f>Input!Z234</f>
        <v>0</v>
      </c>
      <c r="AA164" s="31">
        <f>Input!AA234</f>
        <v>0</v>
      </c>
      <c r="AB164" s="31">
        <f>Input!AB234</f>
        <v>0</v>
      </c>
      <c r="AC164" s="31">
        <f>Input!AC234</f>
        <v>0</v>
      </c>
      <c r="AD164" s="31">
        <f>Input!AD234</f>
        <v>0</v>
      </c>
      <c r="AE164" s="31">
        <f>Input!AE234</f>
        <v>0</v>
      </c>
      <c r="AF164" s="31">
        <f>Input!AF234</f>
        <v>0</v>
      </c>
      <c r="AG164" s="31">
        <f>Input!AG234</f>
        <v>0</v>
      </c>
      <c r="AH164" s="31">
        <f>Input!AH234</f>
        <v>0</v>
      </c>
      <c r="AI164" s="31">
        <f>Input!AI234</f>
        <v>0</v>
      </c>
      <c r="AJ164" s="31">
        <f>Input!AJ234</f>
        <v>0</v>
      </c>
      <c r="AK164" s="31">
        <f>Input!AK234</f>
        <v>0</v>
      </c>
      <c r="AL164" s="31">
        <f>Input!AL234</f>
        <v>0</v>
      </c>
      <c r="AM164" s="31">
        <f>Input!AM234</f>
        <v>0</v>
      </c>
      <c r="AN164" s="31">
        <f>Input!AN234</f>
        <v>0</v>
      </c>
      <c r="AO164" s="31">
        <f>Input!AO234</f>
        <v>0</v>
      </c>
      <c r="AP164" s="31">
        <f>Input!AP234</f>
        <v>0</v>
      </c>
      <c r="AQ164" s="31">
        <f>Input!AQ234</f>
        <v>0</v>
      </c>
      <c r="AR164" s="31">
        <f>Input!AR234</f>
        <v>0</v>
      </c>
      <c r="AS164" s="31">
        <f>Input!AS234</f>
        <v>0</v>
      </c>
      <c r="AT164" s="31">
        <f>Input!AT234</f>
        <v>0</v>
      </c>
      <c r="AU164" s="31">
        <f>Input!AU234</f>
        <v>0</v>
      </c>
      <c r="AV164" s="31">
        <f>Input!AV234</f>
        <v>0</v>
      </c>
      <c r="AW164" s="31">
        <f>Input!AW234</f>
        <v>0</v>
      </c>
      <c r="AX164" s="31">
        <f>Input!AX234</f>
        <v>0</v>
      </c>
      <c r="AY164" s="31">
        <f>Input!AY234</f>
        <v>0</v>
      </c>
      <c r="AZ164" s="31">
        <f>Input!AZ234</f>
        <v>0</v>
      </c>
      <c r="BA164" s="31">
        <f>Input!BA234</f>
        <v>0</v>
      </c>
      <c r="BB164" s="31">
        <f>Input!BB234</f>
        <v>0</v>
      </c>
      <c r="BC164" s="31">
        <f>Input!BC234</f>
        <v>0</v>
      </c>
      <c r="BD164" s="31">
        <f>Input!BD234</f>
        <v>0</v>
      </c>
      <c r="BE164" s="31">
        <f>Input!BE234</f>
        <v>0</v>
      </c>
      <c r="BF164" s="31">
        <f>Input!BF234</f>
        <v>0</v>
      </c>
      <c r="BG164" s="31">
        <f>Input!BG234</f>
        <v>0</v>
      </c>
      <c r="BH164" s="31">
        <f>Input!BH234</f>
        <v>0</v>
      </c>
      <c r="BI164" s="31">
        <f>Input!BI234</f>
        <v>0</v>
      </c>
      <c r="BJ164" s="31">
        <f>Input!BJ234</f>
        <v>0</v>
      </c>
      <c r="BK164" s="31">
        <f>Input!BK234</f>
        <v>0</v>
      </c>
      <c r="BL164" s="31">
        <f>Input!BL234</f>
        <v>0</v>
      </c>
      <c r="BM164" s="31">
        <f>Input!BM234</f>
        <v>0</v>
      </c>
      <c r="BN164" s="31">
        <f>Input!BN234</f>
        <v>0</v>
      </c>
      <c r="BO164" s="31">
        <f>Input!BO234</f>
        <v>0</v>
      </c>
      <c r="BP164" s="31">
        <f>Input!BP234</f>
        <v>0</v>
      </c>
    </row>
    <row r="165" spans="2:68" ht="10.35" customHeight="1" outlineLevel="1" x14ac:dyDescent="0.2">
      <c r="B165" s="80"/>
      <c r="C165" s="80"/>
      <c r="D165" s="81" t="str">
        <f>Input!$D$241</f>
        <v>Opex cost 1</v>
      </c>
      <c r="E165" s="80"/>
      <c r="F165" s="80"/>
      <c r="G165" s="80"/>
      <c r="H165" s="80"/>
      <c r="I165" s="80"/>
      <c r="J165" s="83" t="e">
        <f t="shared" si="240"/>
        <v>#N/A</v>
      </c>
      <c r="K165" s="401"/>
      <c r="L165" s="436">
        <f t="shared" si="239"/>
        <v>0</v>
      </c>
      <c r="M165" s="469"/>
      <c r="N165" s="470"/>
      <c r="O165" s="470"/>
      <c r="P165" s="470"/>
      <c r="Q165" s="470"/>
      <c r="R165" s="31">
        <f>Input!R241</f>
        <v>0</v>
      </c>
      <c r="S165" s="31">
        <f>Input!S241</f>
        <v>0</v>
      </c>
      <c r="T165" s="31">
        <f>Input!T241</f>
        <v>0</v>
      </c>
      <c r="U165" s="31">
        <f>Input!U241</f>
        <v>0</v>
      </c>
      <c r="V165" s="31">
        <f>Input!V241</f>
        <v>0</v>
      </c>
      <c r="W165" s="31">
        <f>Input!W241</f>
        <v>0</v>
      </c>
      <c r="X165" s="31">
        <f>Input!X241</f>
        <v>0</v>
      </c>
      <c r="Y165" s="31">
        <f>Input!Y241</f>
        <v>0</v>
      </c>
      <c r="Z165" s="31">
        <f>Input!Z241</f>
        <v>0</v>
      </c>
      <c r="AA165" s="31">
        <f>Input!AA241</f>
        <v>0</v>
      </c>
      <c r="AB165" s="31">
        <f>Input!AB241</f>
        <v>0</v>
      </c>
      <c r="AC165" s="31">
        <f>Input!AC241</f>
        <v>0</v>
      </c>
      <c r="AD165" s="31">
        <f>Input!AD241</f>
        <v>0</v>
      </c>
      <c r="AE165" s="31">
        <f>Input!AE241</f>
        <v>0</v>
      </c>
      <c r="AF165" s="31">
        <f>Input!AF241</f>
        <v>0</v>
      </c>
      <c r="AG165" s="31">
        <f>Input!AG241</f>
        <v>0</v>
      </c>
      <c r="AH165" s="31">
        <f>Input!AH241</f>
        <v>0</v>
      </c>
      <c r="AI165" s="31">
        <f>Input!AI241</f>
        <v>0</v>
      </c>
      <c r="AJ165" s="31">
        <f>Input!AJ241</f>
        <v>0</v>
      </c>
      <c r="AK165" s="31">
        <f>Input!AK241</f>
        <v>0</v>
      </c>
      <c r="AL165" s="31">
        <f>Input!AL241</f>
        <v>0</v>
      </c>
      <c r="AM165" s="31">
        <f>Input!AM241</f>
        <v>0</v>
      </c>
      <c r="AN165" s="31">
        <f>Input!AN241</f>
        <v>0</v>
      </c>
      <c r="AO165" s="31">
        <f>Input!AO241</f>
        <v>0</v>
      </c>
      <c r="AP165" s="31">
        <f>Input!AP241</f>
        <v>0</v>
      </c>
      <c r="AQ165" s="31">
        <f>Input!AQ241</f>
        <v>0</v>
      </c>
      <c r="AR165" s="31">
        <f>Input!AR241</f>
        <v>0</v>
      </c>
      <c r="AS165" s="31">
        <f>Input!AS241</f>
        <v>0</v>
      </c>
      <c r="AT165" s="31">
        <f>Input!AT241</f>
        <v>0</v>
      </c>
      <c r="AU165" s="31">
        <f>Input!AU241</f>
        <v>0</v>
      </c>
      <c r="AV165" s="31">
        <f>Input!AV241</f>
        <v>0</v>
      </c>
      <c r="AW165" s="31">
        <f>Input!AW241</f>
        <v>0</v>
      </c>
      <c r="AX165" s="31">
        <f>Input!AX241</f>
        <v>0</v>
      </c>
      <c r="AY165" s="31">
        <f>Input!AY241</f>
        <v>0</v>
      </c>
      <c r="AZ165" s="31">
        <f>Input!AZ241</f>
        <v>0</v>
      </c>
      <c r="BA165" s="31">
        <f>Input!BA241</f>
        <v>0</v>
      </c>
      <c r="BB165" s="31">
        <f>Input!BB241</f>
        <v>0</v>
      </c>
      <c r="BC165" s="31">
        <f>Input!BC241</f>
        <v>0</v>
      </c>
      <c r="BD165" s="31">
        <f>Input!BD241</f>
        <v>0</v>
      </c>
      <c r="BE165" s="31">
        <f>Input!BE241</f>
        <v>0</v>
      </c>
      <c r="BF165" s="31">
        <f>Input!BF241</f>
        <v>0</v>
      </c>
      <c r="BG165" s="31">
        <f>Input!BG241</f>
        <v>0</v>
      </c>
      <c r="BH165" s="31">
        <f>Input!BH241</f>
        <v>0</v>
      </c>
      <c r="BI165" s="31">
        <f>Input!BI241</f>
        <v>0</v>
      </c>
      <c r="BJ165" s="31">
        <f>Input!BJ241</f>
        <v>0</v>
      </c>
      <c r="BK165" s="31">
        <f>Input!BK241</f>
        <v>0</v>
      </c>
      <c r="BL165" s="31">
        <f>Input!BL241</f>
        <v>0</v>
      </c>
      <c r="BM165" s="31">
        <f>Input!BM241</f>
        <v>0</v>
      </c>
      <c r="BN165" s="31">
        <f>Input!BN241</f>
        <v>0</v>
      </c>
      <c r="BO165" s="31">
        <f>Input!BO241</f>
        <v>0</v>
      </c>
      <c r="BP165" s="31">
        <f>Input!BP241</f>
        <v>0</v>
      </c>
    </row>
    <row r="166" spans="2:68" ht="10.35" customHeight="1" outlineLevel="1" x14ac:dyDescent="0.2">
      <c r="B166" s="80"/>
      <c r="C166" s="80"/>
      <c r="D166" s="81" t="str">
        <f>Input!$D$248</f>
        <v>Component 3 (if required)</v>
      </c>
      <c r="E166" s="80"/>
      <c r="F166" s="80"/>
      <c r="G166" s="80"/>
      <c r="H166" s="80"/>
      <c r="I166" s="80"/>
      <c r="J166" s="83" t="e">
        <f t="shared" si="240"/>
        <v>#N/A</v>
      </c>
      <c r="K166" s="401"/>
      <c r="L166" s="436">
        <f t="shared" si="239"/>
        <v>0</v>
      </c>
      <c r="M166" s="469"/>
      <c r="N166" s="470"/>
      <c r="O166" s="470"/>
      <c r="P166" s="470"/>
      <c r="Q166" s="470"/>
      <c r="R166" s="31">
        <f>Input!R248</f>
        <v>0</v>
      </c>
      <c r="S166" s="31">
        <f>Input!S248</f>
        <v>0</v>
      </c>
      <c r="T166" s="31">
        <f>Input!T248</f>
        <v>0</v>
      </c>
      <c r="U166" s="31">
        <f>Input!U248</f>
        <v>0</v>
      </c>
      <c r="V166" s="31">
        <f>Input!V248</f>
        <v>0</v>
      </c>
      <c r="W166" s="31">
        <f>Input!W248</f>
        <v>0</v>
      </c>
      <c r="X166" s="31">
        <f>Input!X248</f>
        <v>0</v>
      </c>
      <c r="Y166" s="31">
        <f>Input!Y248</f>
        <v>0</v>
      </c>
      <c r="Z166" s="31">
        <f>Input!Z248</f>
        <v>0</v>
      </c>
      <c r="AA166" s="31">
        <f>Input!AA248</f>
        <v>0</v>
      </c>
      <c r="AB166" s="31">
        <f>Input!AB248</f>
        <v>0</v>
      </c>
      <c r="AC166" s="31">
        <f>Input!AC248</f>
        <v>0</v>
      </c>
      <c r="AD166" s="31">
        <f>Input!AD248</f>
        <v>0</v>
      </c>
      <c r="AE166" s="31">
        <f>Input!AE248</f>
        <v>0</v>
      </c>
      <c r="AF166" s="31">
        <f>Input!AF248</f>
        <v>0</v>
      </c>
      <c r="AG166" s="31">
        <f>Input!AG248</f>
        <v>0</v>
      </c>
      <c r="AH166" s="31">
        <f>Input!AH248</f>
        <v>0</v>
      </c>
      <c r="AI166" s="31">
        <f>Input!AI248</f>
        <v>0</v>
      </c>
      <c r="AJ166" s="31">
        <f>Input!AJ248</f>
        <v>0</v>
      </c>
      <c r="AK166" s="31">
        <f>Input!AK248</f>
        <v>0</v>
      </c>
      <c r="AL166" s="31">
        <f>Input!AL248</f>
        <v>0</v>
      </c>
      <c r="AM166" s="31">
        <f>Input!AM248</f>
        <v>0</v>
      </c>
      <c r="AN166" s="31">
        <f>Input!AN248</f>
        <v>0</v>
      </c>
      <c r="AO166" s="31">
        <f>Input!AO248</f>
        <v>0</v>
      </c>
      <c r="AP166" s="31">
        <f>Input!AP248</f>
        <v>0</v>
      </c>
      <c r="AQ166" s="31">
        <f>Input!AQ248</f>
        <v>0</v>
      </c>
      <c r="AR166" s="31">
        <f>Input!AR248</f>
        <v>0</v>
      </c>
      <c r="AS166" s="31">
        <f>Input!AS248</f>
        <v>0</v>
      </c>
      <c r="AT166" s="31">
        <f>Input!AT248</f>
        <v>0</v>
      </c>
      <c r="AU166" s="31">
        <f>Input!AU248</f>
        <v>0</v>
      </c>
      <c r="AV166" s="31">
        <f>Input!AV248</f>
        <v>0</v>
      </c>
      <c r="AW166" s="31">
        <f>Input!AW248</f>
        <v>0</v>
      </c>
      <c r="AX166" s="31">
        <f>Input!AX248</f>
        <v>0</v>
      </c>
      <c r="AY166" s="31">
        <f>Input!AY248</f>
        <v>0</v>
      </c>
      <c r="AZ166" s="31">
        <f>Input!AZ248</f>
        <v>0</v>
      </c>
      <c r="BA166" s="31">
        <f>Input!BA248</f>
        <v>0</v>
      </c>
      <c r="BB166" s="31">
        <f>Input!BB248</f>
        <v>0</v>
      </c>
      <c r="BC166" s="31">
        <f>Input!BC248</f>
        <v>0</v>
      </c>
      <c r="BD166" s="31">
        <f>Input!BD248</f>
        <v>0</v>
      </c>
      <c r="BE166" s="31">
        <f>Input!BE248</f>
        <v>0</v>
      </c>
      <c r="BF166" s="31">
        <f>Input!BF248</f>
        <v>0</v>
      </c>
      <c r="BG166" s="31">
        <f>Input!BG248</f>
        <v>0</v>
      </c>
      <c r="BH166" s="31">
        <f>Input!BH248</f>
        <v>0</v>
      </c>
      <c r="BI166" s="31">
        <f>Input!BI248</f>
        <v>0</v>
      </c>
      <c r="BJ166" s="31">
        <f>Input!BJ248</f>
        <v>0</v>
      </c>
      <c r="BK166" s="31">
        <f>Input!BK248</f>
        <v>0</v>
      </c>
      <c r="BL166" s="31">
        <f>Input!BL248</f>
        <v>0</v>
      </c>
      <c r="BM166" s="31">
        <f>Input!BM248</f>
        <v>0</v>
      </c>
      <c r="BN166" s="31">
        <f>Input!BN248</f>
        <v>0</v>
      </c>
      <c r="BO166" s="31">
        <f>Input!BO248</f>
        <v>0</v>
      </c>
      <c r="BP166" s="31">
        <f>Input!BP248</f>
        <v>0</v>
      </c>
    </row>
    <row r="167" spans="2:68" ht="10.35" customHeight="1" outlineLevel="1" x14ac:dyDescent="0.2">
      <c r="B167" s="80"/>
      <c r="C167" s="80"/>
      <c r="D167" s="81" t="str">
        <f>Input!$D$255</f>
        <v>Component 4 (if required)</v>
      </c>
      <c r="E167" s="80"/>
      <c r="F167" s="80"/>
      <c r="G167" s="80"/>
      <c r="H167" s="80"/>
      <c r="I167" s="80"/>
      <c r="J167" s="83" t="e">
        <f>MATCH(TRUE,INDEX((R167:BP167&lt;&gt;0),0),0)-1</f>
        <v>#N/A</v>
      </c>
      <c r="K167" s="464"/>
      <c r="L167" s="436">
        <f t="shared" si="239"/>
        <v>0</v>
      </c>
      <c r="M167" s="469"/>
      <c r="N167" s="470"/>
      <c r="O167" s="470"/>
      <c r="P167" s="470"/>
      <c r="Q167" s="470"/>
      <c r="R167" s="31">
        <f>Input!R255</f>
        <v>0</v>
      </c>
      <c r="S167" s="31">
        <f>Input!S255</f>
        <v>0</v>
      </c>
      <c r="T167" s="31">
        <f>Input!T255</f>
        <v>0</v>
      </c>
      <c r="U167" s="31">
        <f>Input!U255</f>
        <v>0</v>
      </c>
      <c r="V167" s="31">
        <f>Input!V255</f>
        <v>0</v>
      </c>
      <c r="W167" s="31">
        <f>Input!W255</f>
        <v>0</v>
      </c>
      <c r="X167" s="31">
        <f>Input!X255</f>
        <v>0</v>
      </c>
      <c r="Y167" s="31">
        <f>Input!Y255</f>
        <v>0</v>
      </c>
      <c r="Z167" s="31">
        <f>Input!Z255</f>
        <v>0</v>
      </c>
      <c r="AA167" s="31">
        <f>Input!AA255</f>
        <v>0</v>
      </c>
      <c r="AB167" s="31">
        <f>Input!AB255</f>
        <v>0</v>
      </c>
      <c r="AC167" s="31">
        <f>Input!AC255</f>
        <v>0</v>
      </c>
      <c r="AD167" s="31">
        <f>Input!AD255</f>
        <v>0</v>
      </c>
      <c r="AE167" s="31">
        <f>Input!AE255</f>
        <v>0</v>
      </c>
      <c r="AF167" s="31">
        <f>Input!AF255</f>
        <v>0</v>
      </c>
      <c r="AG167" s="31">
        <f>Input!AG255</f>
        <v>0</v>
      </c>
      <c r="AH167" s="31">
        <f>Input!AH255</f>
        <v>0</v>
      </c>
      <c r="AI167" s="31">
        <f>Input!AI255</f>
        <v>0</v>
      </c>
      <c r="AJ167" s="31">
        <f>Input!AJ255</f>
        <v>0</v>
      </c>
      <c r="AK167" s="31">
        <f>Input!AK255</f>
        <v>0</v>
      </c>
      <c r="AL167" s="31">
        <f>Input!AL255</f>
        <v>0</v>
      </c>
      <c r="AM167" s="31">
        <f>Input!AM255</f>
        <v>0</v>
      </c>
      <c r="AN167" s="31">
        <f>Input!AN255</f>
        <v>0</v>
      </c>
      <c r="AO167" s="31">
        <f>Input!AO255</f>
        <v>0</v>
      </c>
      <c r="AP167" s="31">
        <f>Input!AP255</f>
        <v>0</v>
      </c>
      <c r="AQ167" s="31">
        <f>Input!AQ255</f>
        <v>0</v>
      </c>
      <c r="AR167" s="31">
        <f>Input!AR255</f>
        <v>0</v>
      </c>
      <c r="AS167" s="31">
        <f>Input!AS255</f>
        <v>0</v>
      </c>
      <c r="AT167" s="31">
        <f>Input!AT255</f>
        <v>0</v>
      </c>
      <c r="AU167" s="31">
        <f>Input!AU255</f>
        <v>0</v>
      </c>
      <c r="AV167" s="31">
        <f>Input!AV255</f>
        <v>0</v>
      </c>
      <c r="AW167" s="31">
        <f>Input!AW255</f>
        <v>0</v>
      </c>
      <c r="AX167" s="31">
        <f>Input!AX255</f>
        <v>0</v>
      </c>
      <c r="AY167" s="31">
        <f>Input!AY255</f>
        <v>0</v>
      </c>
      <c r="AZ167" s="31">
        <f>Input!AZ255</f>
        <v>0</v>
      </c>
      <c r="BA167" s="31">
        <f>Input!BA255</f>
        <v>0</v>
      </c>
      <c r="BB167" s="31">
        <f>Input!BB255</f>
        <v>0</v>
      </c>
      <c r="BC167" s="31">
        <f>Input!BC255</f>
        <v>0</v>
      </c>
      <c r="BD167" s="31">
        <f>Input!BD255</f>
        <v>0</v>
      </c>
      <c r="BE167" s="31">
        <f>Input!BE255</f>
        <v>0</v>
      </c>
      <c r="BF167" s="31">
        <f>Input!BF255</f>
        <v>0</v>
      </c>
      <c r="BG167" s="31">
        <f>Input!BG255</f>
        <v>0</v>
      </c>
      <c r="BH167" s="31">
        <f>Input!BH255</f>
        <v>0</v>
      </c>
      <c r="BI167" s="31">
        <f>Input!BI255</f>
        <v>0</v>
      </c>
      <c r="BJ167" s="31">
        <f>Input!BJ255</f>
        <v>0</v>
      </c>
      <c r="BK167" s="31">
        <f>Input!BK255</f>
        <v>0</v>
      </c>
      <c r="BL167" s="31">
        <f>Input!BL255</f>
        <v>0</v>
      </c>
      <c r="BM167" s="31">
        <f>Input!BM255</f>
        <v>0</v>
      </c>
      <c r="BN167" s="31">
        <f>Input!BN255</f>
        <v>0</v>
      </c>
      <c r="BO167" s="31">
        <f>Input!BO255</f>
        <v>0</v>
      </c>
      <c r="BP167" s="31">
        <f>Input!BP255</f>
        <v>0</v>
      </c>
    </row>
    <row r="168" spans="2:68" outlineLevel="1" x14ac:dyDescent="0.2">
      <c r="B168" s="20"/>
      <c r="C168" s="80"/>
      <c r="D168" s="86" t="s">
        <v>387</v>
      </c>
      <c r="E168" s="458"/>
      <c r="F168" s="458"/>
      <c r="G168" s="458"/>
      <c r="H168" s="458"/>
      <c r="I168" s="458"/>
      <c r="J168" s="459">
        <f>IF(L168=0,0,MATCH(TRUE,INDEX((R168:BP168&lt;&gt;0),0),0)-1)</f>
        <v>0</v>
      </c>
      <c r="K168" s="401"/>
      <c r="L168" s="461">
        <f t="shared" si="239"/>
        <v>0</v>
      </c>
      <c r="M168" s="480"/>
      <c r="N168" s="481"/>
      <c r="O168" s="481"/>
      <c r="P168" s="481"/>
      <c r="Q168" s="481"/>
      <c r="R168" s="460">
        <f>SUM(R162:R167)</f>
        <v>0</v>
      </c>
      <c r="S168" s="460">
        <f t="shared" ref="S168:AU168" si="241">SUM(S162:S167)</f>
        <v>0</v>
      </c>
      <c r="T168" s="460">
        <f t="shared" si="241"/>
        <v>0</v>
      </c>
      <c r="U168" s="460">
        <f t="shared" si="241"/>
        <v>0</v>
      </c>
      <c r="V168" s="460">
        <f t="shared" si="241"/>
        <v>0</v>
      </c>
      <c r="W168" s="460">
        <f t="shared" si="241"/>
        <v>0</v>
      </c>
      <c r="X168" s="460">
        <f t="shared" si="241"/>
        <v>0</v>
      </c>
      <c r="Y168" s="460">
        <f t="shared" si="241"/>
        <v>0</v>
      </c>
      <c r="Z168" s="460">
        <f t="shared" si="241"/>
        <v>0</v>
      </c>
      <c r="AA168" s="460">
        <f t="shared" si="241"/>
        <v>0</v>
      </c>
      <c r="AB168" s="460">
        <f t="shared" si="241"/>
        <v>0</v>
      </c>
      <c r="AC168" s="460">
        <f t="shared" si="241"/>
        <v>0</v>
      </c>
      <c r="AD168" s="460">
        <f t="shared" si="241"/>
        <v>0</v>
      </c>
      <c r="AE168" s="460">
        <f t="shared" si="241"/>
        <v>0</v>
      </c>
      <c r="AF168" s="460">
        <f t="shared" si="241"/>
        <v>0</v>
      </c>
      <c r="AG168" s="460">
        <f t="shared" si="241"/>
        <v>0</v>
      </c>
      <c r="AH168" s="460">
        <f t="shared" si="241"/>
        <v>0</v>
      </c>
      <c r="AI168" s="460">
        <f t="shared" si="241"/>
        <v>0</v>
      </c>
      <c r="AJ168" s="460">
        <f t="shared" si="241"/>
        <v>0</v>
      </c>
      <c r="AK168" s="460">
        <f t="shared" si="241"/>
        <v>0</v>
      </c>
      <c r="AL168" s="460">
        <f t="shared" si="241"/>
        <v>0</v>
      </c>
      <c r="AM168" s="460">
        <f t="shared" si="241"/>
        <v>0</v>
      </c>
      <c r="AN168" s="460">
        <f t="shared" si="241"/>
        <v>0</v>
      </c>
      <c r="AO168" s="460">
        <f t="shared" si="241"/>
        <v>0</v>
      </c>
      <c r="AP168" s="460">
        <f t="shared" si="241"/>
        <v>0</v>
      </c>
      <c r="AQ168" s="460">
        <f t="shared" si="241"/>
        <v>0</v>
      </c>
      <c r="AR168" s="460">
        <f t="shared" si="241"/>
        <v>0</v>
      </c>
      <c r="AS168" s="460">
        <f t="shared" si="241"/>
        <v>0</v>
      </c>
      <c r="AT168" s="460">
        <f t="shared" si="241"/>
        <v>0</v>
      </c>
      <c r="AU168" s="460">
        <f t="shared" si="241"/>
        <v>0</v>
      </c>
      <c r="AV168" s="460">
        <f t="shared" ref="AV168:BP168" si="242">SUM(AV162:AV167)</f>
        <v>0</v>
      </c>
      <c r="AW168" s="460">
        <f t="shared" si="242"/>
        <v>0</v>
      </c>
      <c r="AX168" s="460">
        <f t="shared" si="242"/>
        <v>0</v>
      </c>
      <c r="AY168" s="460">
        <f t="shared" si="242"/>
        <v>0</v>
      </c>
      <c r="AZ168" s="460">
        <f t="shared" si="242"/>
        <v>0</v>
      </c>
      <c r="BA168" s="460">
        <f t="shared" si="242"/>
        <v>0</v>
      </c>
      <c r="BB168" s="460">
        <f t="shared" si="242"/>
        <v>0</v>
      </c>
      <c r="BC168" s="460">
        <f t="shared" si="242"/>
        <v>0</v>
      </c>
      <c r="BD168" s="460">
        <f t="shared" si="242"/>
        <v>0</v>
      </c>
      <c r="BE168" s="460">
        <f t="shared" si="242"/>
        <v>0</v>
      </c>
      <c r="BF168" s="460">
        <f t="shared" si="242"/>
        <v>0</v>
      </c>
      <c r="BG168" s="460">
        <f t="shared" si="242"/>
        <v>0</v>
      </c>
      <c r="BH168" s="460">
        <f t="shared" si="242"/>
        <v>0</v>
      </c>
      <c r="BI168" s="460">
        <f t="shared" si="242"/>
        <v>0</v>
      </c>
      <c r="BJ168" s="460">
        <f t="shared" si="242"/>
        <v>0</v>
      </c>
      <c r="BK168" s="460">
        <f t="shared" si="242"/>
        <v>0</v>
      </c>
      <c r="BL168" s="460">
        <f t="shared" si="242"/>
        <v>0</v>
      </c>
      <c r="BM168" s="460">
        <f t="shared" si="242"/>
        <v>0</v>
      </c>
      <c r="BN168" s="460">
        <f t="shared" si="242"/>
        <v>0</v>
      </c>
      <c r="BO168" s="460">
        <f t="shared" si="242"/>
        <v>0</v>
      </c>
      <c r="BP168" s="460">
        <f t="shared" si="242"/>
        <v>0</v>
      </c>
    </row>
    <row r="169" spans="2:68" outlineLevel="1" x14ac:dyDescent="0.2">
      <c r="B169" s="20"/>
      <c r="C169" s="80"/>
      <c r="D169" s="81"/>
      <c r="E169" s="80"/>
      <c r="F169" s="80"/>
      <c r="G169" s="80"/>
      <c r="H169" s="80"/>
      <c r="I169" s="80"/>
      <c r="J169" s="80"/>
      <c r="K169" s="401"/>
      <c r="L169" s="436"/>
      <c r="M169" s="437"/>
      <c r="N169" s="401"/>
      <c r="O169" s="401"/>
      <c r="P169" s="401"/>
      <c r="Q169" s="401"/>
      <c r="R169" s="401"/>
      <c r="S169" s="401"/>
      <c r="T169" s="401"/>
      <c r="U169" s="401"/>
      <c r="V169" s="401"/>
      <c r="W169" s="401"/>
      <c r="X169" s="401"/>
      <c r="Y169" s="401"/>
      <c r="Z169" s="401"/>
      <c r="AA169" s="401"/>
      <c r="AB169" s="401"/>
      <c r="AC169" s="401"/>
      <c r="AD169" s="401"/>
      <c r="AE169" s="401"/>
      <c r="AF169" s="401"/>
      <c r="AG169" s="401"/>
      <c r="AH169" s="401"/>
      <c r="AI169" s="401"/>
      <c r="AJ169" s="401"/>
      <c r="AK169" s="401"/>
      <c r="AL169" s="401"/>
      <c r="AM169" s="401"/>
      <c r="AN169" s="401"/>
      <c r="AO169" s="401"/>
      <c r="AP169" s="401"/>
      <c r="AQ169" s="401"/>
      <c r="AR169" s="401"/>
      <c r="AS169" s="401"/>
      <c r="AT169" s="401"/>
      <c r="AU169" s="401"/>
      <c r="AV169" s="401"/>
      <c r="AW169" s="401"/>
      <c r="AX169" s="401"/>
      <c r="AY169" s="401"/>
      <c r="AZ169" s="401"/>
      <c r="BA169" s="401"/>
      <c r="BB169" s="401"/>
      <c r="BC169" s="401"/>
      <c r="BD169" s="401"/>
      <c r="BE169" s="401"/>
      <c r="BF169" s="401"/>
      <c r="BG169" s="401"/>
      <c r="BH169" s="401"/>
      <c r="BI169" s="401"/>
      <c r="BJ169" s="401"/>
      <c r="BK169" s="401"/>
      <c r="BL169" s="401"/>
      <c r="BM169" s="401"/>
      <c r="BN169" s="401"/>
      <c r="BO169" s="401"/>
      <c r="BP169" s="401"/>
    </row>
    <row r="170" spans="2:68" outlineLevel="1" x14ac:dyDescent="0.2">
      <c r="B170" s="20"/>
      <c r="C170" s="80"/>
      <c r="D170" s="32" t="str">
        <f>Input!$C$149</f>
        <v>Regulated revenue - Incentive schemes</v>
      </c>
      <c r="E170" s="80"/>
      <c r="F170" s="80"/>
      <c r="G170" s="80"/>
      <c r="H170" s="80"/>
      <c r="I170" s="80"/>
      <c r="J170" s="432"/>
      <c r="K170" s="401"/>
      <c r="L170" s="436"/>
      <c r="M170" s="437"/>
      <c r="N170" s="401"/>
      <c r="O170" s="401"/>
      <c r="P170" s="401"/>
      <c r="Q170" s="401"/>
      <c r="R170" s="401"/>
      <c r="S170" s="401"/>
      <c r="T170" s="401"/>
      <c r="U170" s="401"/>
      <c r="V170" s="401"/>
      <c r="W170" s="401"/>
      <c r="X170" s="401"/>
      <c r="Y170" s="401"/>
      <c r="Z170" s="401"/>
      <c r="AA170" s="401"/>
      <c r="AB170" s="401"/>
      <c r="AC170" s="401"/>
      <c r="AD170" s="401"/>
      <c r="AE170" s="401"/>
      <c r="AF170" s="401"/>
      <c r="AG170" s="401"/>
      <c r="AH170" s="401"/>
      <c r="AI170" s="401"/>
      <c r="AJ170" s="401"/>
      <c r="AK170" s="401"/>
      <c r="AL170" s="401"/>
      <c r="AM170" s="401"/>
      <c r="AN170" s="401"/>
      <c r="AO170" s="401"/>
      <c r="AP170" s="401"/>
      <c r="AQ170" s="401"/>
      <c r="AR170" s="401"/>
      <c r="AS170" s="401"/>
      <c r="AT170" s="401"/>
      <c r="AU170" s="401"/>
      <c r="AV170" s="401"/>
      <c r="AW170" s="401"/>
      <c r="AX170" s="401"/>
      <c r="AY170" s="401"/>
      <c r="AZ170" s="401"/>
      <c r="BA170" s="401"/>
      <c r="BB170" s="401"/>
      <c r="BC170" s="401"/>
      <c r="BD170" s="401"/>
      <c r="BE170" s="401"/>
      <c r="BF170" s="401"/>
      <c r="BG170" s="401"/>
      <c r="BH170" s="401"/>
      <c r="BI170" s="401"/>
      <c r="BJ170" s="401"/>
      <c r="BK170" s="401"/>
      <c r="BL170" s="401"/>
      <c r="BM170" s="401"/>
      <c r="BN170" s="401"/>
      <c r="BO170" s="401"/>
      <c r="BP170" s="401"/>
    </row>
    <row r="171" spans="2:68" outlineLevel="1" x14ac:dyDescent="0.2">
      <c r="B171" s="20"/>
      <c r="C171" s="80"/>
      <c r="D171" s="81" t="str">
        <f>Input!$D$163</f>
        <v>STPIS</v>
      </c>
      <c r="E171" s="80"/>
      <c r="F171"/>
      <c r="G171" s="80"/>
      <c r="H171" s="80"/>
      <c r="I171" s="79"/>
      <c r="J171" s="80"/>
      <c r="K171" s="401"/>
      <c r="L171" s="436">
        <f t="shared" ref="L171" si="243">SUM(R171:BP171)</f>
        <v>0</v>
      </c>
      <c r="M171" s="469"/>
      <c r="N171" s="470"/>
      <c r="O171" s="470"/>
      <c r="P171" s="470"/>
      <c r="Q171" s="470"/>
      <c r="R171" s="476">
        <f>Input!R163</f>
        <v>0</v>
      </c>
      <c r="S171" s="476">
        <f>Input!S163</f>
        <v>0</v>
      </c>
      <c r="T171" s="476">
        <f>Input!T163</f>
        <v>0</v>
      </c>
      <c r="U171" s="476">
        <f>Input!U163</f>
        <v>0</v>
      </c>
      <c r="V171" s="476">
        <f>Input!V163</f>
        <v>0</v>
      </c>
      <c r="W171" s="476">
        <f>Input!W163</f>
        <v>0</v>
      </c>
      <c r="X171" s="476">
        <f>Input!X163</f>
        <v>0</v>
      </c>
      <c r="Y171" s="476">
        <f>Input!Y163</f>
        <v>0</v>
      </c>
      <c r="Z171" s="476">
        <f>Input!Z163</f>
        <v>0</v>
      </c>
      <c r="AA171" s="476">
        <f>Input!AA163</f>
        <v>0</v>
      </c>
      <c r="AB171" s="476">
        <f>Input!AB163</f>
        <v>0</v>
      </c>
      <c r="AC171" s="476">
        <f>Input!AC163</f>
        <v>0</v>
      </c>
      <c r="AD171" s="476">
        <f>Input!AD163</f>
        <v>0</v>
      </c>
      <c r="AE171" s="476">
        <f>Input!AE163</f>
        <v>0</v>
      </c>
      <c r="AF171" s="476">
        <f>Input!AF163</f>
        <v>0</v>
      </c>
      <c r="AG171" s="476">
        <f>Input!AG163</f>
        <v>0</v>
      </c>
      <c r="AH171" s="476">
        <f>Input!AH163</f>
        <v>0</v>
      </c>
      <c r="AI171" s="476">
        <f>Input!AI163</f>
        <v>0</v>
      </c>
      <c r="AJ171" s="476">
        <f>Input!AJ163</f>
        <v>0</v>
      </c>
      <c r="AK171" s="476">
        <f>Input!AK163</f>
        <v>0</v>
      </c>
      <c r="AL171" s="476">
        <f>Input!AL163</f>
        <v>0</v>
      </c>
      <c r="AM171" s="476">
        <f>Input!AM163</f>
        <v>0</v>
      </c>
      <c r="AN171" s="476">
        <f>Input!AN163</f>
        <v>0</v>
      </c>
      <c r="AO171" s="476">
        <f>Input!AO163</f>
        <v>0</v>
      </c>
      <c r="AP171" s="476">
        <f>Input!AP163</f>
        <v>0</v>
      </c>
      <c r="AQ171" s="476">
        <f>Input!AQ163</f>
        <v>0</v>
      </c>
      <c r="AR171" s="476">
        <f>Input!AR163</f>
        <v>0</v>
      </c>
      <c r="AS171" s="476">
        <f>Input!AS163</f>
        <v>0</v>
      </c>
      <c r="AT171" s="476">
        <f>Input!AT163</f>
        <v>0</v>
      </c>
      <c r="AU171" s="476">
        <f>Input!AU163</f>
        <v>0</v>
      </c>
      <c r="AV171" s="476">
        <f>Input!AV163</f>
        <v>0</v>
      </c>
      <c r="AW171" s="476">
        <f>Input!AW163</f>
        <v>0</v>
      </c>
      <c r="AX171" s="476">
        <f>Input!AX163</f>
        <v>0</v>
      </c>
      <c r="AY171" s="476">
        <f>Input!AY163</f>
        <v>0</v>
      </c>
      <c r="AZ171" s="476">
        <f>Input!AZ163</f>
        <v>0</v>
      </c>
      <c r="BA171" s="476">
        <f>Input!BA163</f>
        <v>0</v>
      </c>
      <c r="BB171" s="476">
        <f>Input!BB163</f>
        <v>0</v>
      </c>
      <c r="BC171" s="476">
        <f>Input!BC163</f>
        <v>0</v>
      </c>
      <c r="BD171" s="476">
        <f>Input!BD163</f>
        <v>0</v>
      </c>
      <c r="BE171" s="476">
        <f>Input!BE163</f>
        <v>0</v>
      </c>
      <c r="BF171" s="476">
        <f>Input!BF163</f>
        <v>0</v>
      </c>
      <c r="BG171" s="476">
        <f>Input!BG163</f>
        <v>0</v>
      </c>
      <c r="BH171" s="476">
        <f>Input!BH163</f>
        <v>0</v>
      </c>
      <c r="BI171" s="476">
        <f>Input!BI163</f>
        <v>0</v>
      </c>
      <c r="BJ171" s="476">
        <f>Input!BJ163</f>
        <v>0</v>
      </c>
      <c r="BK171" s="476">
        <f>Input!BK163</f>
        <v>0</v>
      </c>
      <c r="BL171" s="476">
        <f>Input!BL163</f>
        <v>0</v>
      </c>
      <c r="BM171" s="476">
        <f>Input!BM163</f>
        <v>0</v>
      </c>
      <c r="BN171" s="476">
        <f>Input!BN163</f>
        <v>0</v>
      </c>
      <c r="BO171" s="476">
        <f>Input!BO163</f>
        <v>0</v>
      </c>
      <c r="BP171" s="476">
        <f>Input!BP163</f>
        <v>0</v>
      </c>
    </row>
    <row r="172" spans="2:68" outlineLevel="1" x14ac:dyDescent="0.2">
      <c r="B172" s="20"/>
      <c r="C172" s="80"/>
      <c r="D172" s="66" t="s">
        <v>203</v>
      </c>
      <c r="E172" s="90" t="str">
        <f>Output_charts!$H$13</f>
        <v>EBSS switch</v>
      </c>
      <c r="F172" s="476" t="b">
        <f>Output_charts!$H$14</f>
        <v>0</v>
      </c>
      <c r="G172" t="s">
        <v>388</v>
      </c>
      <c r="H172" s="476">
        <f>MIN(EBSS_CESS!$C$21:$M$21)</f>
        <v>0</v>
      </c>
      <c r="I172" s="90" t="s">
        <v>389</v>
      </c>
      <c r="J172" s="476">
        <f>MAX(EBSS_CESS!$C$21:$M$21)</f>
        <v>10</v>
      </c>
      <c r="K172" s="401"/>
      <c r="L172" s="436"/>
      <c r="M172" s="469"/>
      <c r="N172" s="470"/>
      <c r="O172" s="470"/>
      <c r="P172" s="470"/>
      <c r="Q172" s="470"/>
      <c r="R172" s="401"/>
      <c r="S172" s="401"/>
      <c r="T172" s="401"/>
      <c r="U172" s="401"/>
      <c r="V172" s="401"/>
      <c r="W172" s="401"/>
      <c r="X172" s="401"/>
      <c r="Y172" s="401"/>
      <c r="Z172" s="401"/>
      <c r="AA172" s="401"/>
      <c r="AB172" s="401"/>
      <c r="AC172" s="401"/>
      <c r="AD172" s="401"/>
      <c r="AE172" s="401"/>
      <c r="AF172" s="401"/>
      <c r="AG172" s="401"/>
      <c r="AH172" s="401"/>
      <c r="AI172" s="401"/>
      <c r="AJ172" s="401"/>
      <c r="AK172" s="401"/>
      <c r="AL172" s="401"/>
      <c r="AM172" s="401"/>
      <c r="AN172" s="401"/>
      <c r="AO172" s="401"/>
      <c r="AP172" s="401"/>
      <c r="AQ172" s="401"/>
      <c r="AR172" s="401"/>
      <c r="AS172" s="401"/>
      <c r="AT172" s="401"/>
      <c r="AU172" s="401"/>
      <c r="AV172" s="401"/>
      <c r="AW172" s="401"/>
      <c r="AX172" s="401"/>
      <c r="AY172" s="401"/>
      <c r="AZ172" s="401"/>
      <c r="BA172" s="401"/>
      <c r="BB172" s="401"/>
      <c r="BC172" s="401"/>
      <c r="BD172" s="401"/>
      <c r="BE172" s="401"/>
      <c r="BF172" s="401"/>
      <c r="BG172" s="401"/>
      <c r="BH172" s="401"/>
      <c r="BI172" s="401"/>
      <c r="BJ172" s="401"/>
      <c r="BK172" s="401"/>
      <c r="BL172" s="401"/>
      <c r="BM172" s="401"/>
      <c r="BN172" s="401"/>
      <c r="BO172" s="401"/>
      <c r="BP172" s="401"/>
    </row>
    <row r="173" spans="2:68" outlineLevel="1" x14ac:dyDescent="0.2">
      <c r="B173" s="20"/>
      <c r="C173" s="80"/>
      <c r="D173" s="92" t="s">
        <v>64</v>
      </c>
      <c r="E173" s="90"/>
      <c r="F173" s="474"/>
      <c r="G173"/>
      <c r="H173" s="474"/>
      <c r="I173" s="90"/>
      <c r="J173" s="474"/>
      <c r="K173" s="401"/>
      <c r="L173" s="436">
        <f>SUM(R173:BP173)</f>
        <v>0</v>
      </c>
      <c r="M173" s="469"/>
      <c r="N173" s="470"/>
      <c r="O173" s="470"/>
      <c r="P173" s="470"/>
      <c r="Q173" s="470"/>
      <c r="R173" s="401">
        <f>$F$172*IF(OR(R15&lt;$H$172,R15&gt;5+$H$172),0,IF(R15&gt;$J$172,EBSS_CESS!$M$32,INDEX(EBSS_CESS!$C$32:$M$32,1,MATCH(R15,EBSS_CESS!$C$21:$M$21,0))))</f>
        <v>0</v>
      </c>
      <c r="S173" s="401">
        <f>$F$172*IF(OR(S15&lt;$H$172,S15&gt;5+$H$172),0,IF(S15&gt;$J$172,EBSS_CESS!$M$32,INDEX(EBSS_CESS!$C$32:$M$32,1,MATCH(S15,EBSS_CESS!$C$21:$M$21,0))))</f>
        <v>0</v>
      </c>
      <c r="T173" s="401">
        <f>$F$172*IF(OR(T15&lt;$H$172,T15&gt;5+$H$172),0,IF(T15&gt;$J$172,EBSS_CESS!$M$32,INDEX(EBSS_CESS!$C$32:$M$32,1,MATCH(T15,EBSS_CESS!$C$21:$M$21,0))))</f>
        <v>0</v>
      </c>
      <c r="U173" s="401">
        <f>$F$172*IF(OR(U15&lt;$H$172,U15&gt;5+$H$172),0,IF(U15&gt;$J$172,EBSS_CESS!$M$32,INDEX(EBSS_CESS!$C$32:$M$32,1,MATCH(U15,EBSS_CESS!$C$21:$M$21,0))))</f>
        <v>0</v>
      </c>
      <c r="V173" s="401">
        <f>$F$172*IF(OR(V15&lt;$H$172,V15&gt;5+$H$172),0,IF(V15&gt;$J$172,EBSS_CESS!$M$32,INDEX(EBSS_CESS!$C$32:$M$32,1,MATCH(V15,EBSS_CESS!$C$21:$M$21,0))))</f>
        <v>0</v>
      </c>
      <c r="W173" s="401">
        <f>$F$172*IF(OR(W15&lt;$H$172,W15&gt;5+$H$172),0,IF(W15&gt;$J$172,EBSS_CESS!$M$32,INDEX(EBSS_CESS!$C$32:$M$32,1,MATCH(W15,EBSS_CESS!$C$21:$M$21,0))))</f>
        <v>0</v>
      </c>
      <c r="X173" s="401">
        <f>$F$172*IF(OR(X15&lt;$H$172,X15&gt;5+$H$172),0,IF(X15&gt;$J$172,EBSS_CESS!$M$32,INDEX(EBSS_CESS!$C$32:$M$32,1,MATCH(X15,EBSS_CESS!$C$21:$M$21,0))))</f>
        <v>0</v>
      </c>
      <c r="Y173" s="401">
        <f>$F$172*IF(OR(Y15&lt;$H$172,Y15&gt;5+$H$172),0,IF(Y15&gt;$J$172,EBSS_CESS!$M$32,INDEX(EBSS_CESS!$C$32:$M$32,1,MATCH(Y15,EBSS_CESS!$C$21:$M$21,0))))</f>
        <v>0</v>
      </c>
      <c r="Z173" s="401">
        <f>$F$172*IF(OR(Z15&lt;$H$172,Z15&gt;5+$H$172),0,IF(Z15&gt;$J$172,EBSS_CESS!$M$32,INDEX(EBSS_CESS!$C$32:$M$32,1,MATCH(Z15,EBSS_CESS!$C$21:$M$21,0))))</f>
        <v>0</v>
      </c>
      <c r="AA173" s="401">
        <f>$F$172*IF(OR(AA15&lt;$H$172,AA15&gt;5+$H$172),0,IF(AA15&gt;$J$172,EBSS_CESS!$M$32,INDEX(EBSS_CESS!$C$32:$M$32,1,MATCH(AA15,EBSS_CESS!$C$21:$M$21,0))))</f>
        <v>0</v>
      </c>
      <c r="AB173" s="401">
        <f>$F$172*IF(OR(AB15&lt;$H$172,AB15&gt;5+$H$172),0,IF(AB15&gt;$J$172,EBSS_CESS!$M$32,INDEX(EBSS_CESS!$C$32:$M$32,1,MATCH(AB15,EBSS_CESS!$C$21:$M$21,0))))</f>
        <v>0</v>
      </c>
      <c r="AC173" s="401">
        <f>$F$172*IF(OR(AC15&lt;$H$172,AC15&gt;5+$H$172),0,IF(AC15&gt;$J$172,EBSS_CESS!$M$32,INDEX(EBSS_CESS!$C$32:$M$32,1,MATCH(AC15,EBSS_CESS!$C$21:$M$21,0))))</f>
        <v>0</v>
      </c>
      <c r="AD173" s="401">
        <f>$F$172*IF(OR(AD15&lt;$H$172,AD15&gt;5+$H$172),0,IF(AD15&gt;$J$172,EBSS_CESS!$M$32,INDEX(EBSS_CESS!$C$32:$M$32,1,MATCH(AD15,EBSS_CESS!$C$21:$M$21,0))))</f>
        <v>0</v>
      </c>
      <c r="AE173" s="401">
        <f>$F$172*IF(OR(AE15&lt;$H$172,AE15&gt;5+$H$172),0,IF(AE15&gt;$J$172,EBSS_CESS!$M$32,INDEX(EBSS_CESS!$C$32:$M$32,1,MATCH(AE15,EBSS_CESS!$C$21:$M$21,0))))</f>
        <v>0</v>
      </c>
      <c r="AF173" s="401">
        <f>$F$172*IF(OR(AF15&lt;$H$172,AF15&gt;5+$H$172),0,IF(AF15&gt;$J$172,EBSS_CESS!$M$32,INDEX(EBSS_CESS!$C$32:$M$32,1,MATCH(AF15,EBSS_CESS!$C$21:$M$21,0))))</f>
        <v>0</v>
      </c>
      <c r="AG173" s="401">
        <f>$F$172*IF(OR(AG15&lt;$H$172,AG15&gt;5+$H$172),0,IF(AG15&gt;$J$172,EBSS_CESS!$M$32,INDEX(EBSS_CESS!$C$32:$M$32,1,MATCH(AG15,EBSS_CESS!$C$21:$M$21,0))))</f>
        <v>0</v>
      </c>
      <c r="AH173" s="401">
        <f>$F$172*IF(OR(AH15&lt;$H$172,AH15&gt;5+$H$172),0,IF(AH15&gt;$J$172,EBSS_CESS!$M$32,INDEX(EBSS_CESS!$C$32:$M$32,1,MATCH(AH15,EBSS_CESS!$C$21:$M$21,0))))</f>
        <v>0</v>
      </c>
      <c r="AI173" s="401">
        <f>$F$172*IF(OR(AI15&lt;$H$172,AI15&gt;5+$H$172),0,IF(AI15&gt;$J$172,EBSS_CESS!$M$32,INDEX(EBSS_CESS!$C$32:$M$32,1,MATCH(AI15,EBSS_CESS!$C$21:$M$21,0))))</f>
        <v>0</v>
      </c>
      <c r="AJ173" s="401">
        <f>$F$172*IF(OR(AJ15&lt;$H$172,AJ15&gt;5+$H$172),0,IF(AJ15&gt;$J$172,EBSS_CESS!$M$32,INDEX(EBSS_CESS!$C$32:$M$32,1,MATCH(AJ15,EBSS_CESS!$C$21:$M$21,0))))</f>
        <v>0</v>
      </c>
      <c r="AK173" s="401">
        <f>$F$172*IF(OR(AK15&lt;$H$172,AK15&gt;5+$H$172),0,IF(AK15&gt;$J$172,EBSS_CESS!$M$32,INDEX(EBSS_CESS!$C$32:$M$32,1,MATCH(AK15,EBSS_CESS!$C$21:$M$21,0))))</f>
        <v>0</v>
      </c>
      <c r="AL173" s="401">
        <f>$F$172*IF(OR(AL15&lt;$H$172,AL15&gt;5+$H$172),0,IF(AL15&gt;$J$172,EBSS_CESS!$M$32,INDEX(EBSS_CESS!$C$32:$M$32,1,MATCH(AL15,EBSS_CESS!$C$21:$M$21,0))))</f>
        <v>0</v>
      </c>
      <c r="AM173" s="401">
        <f>$F$172*IF(OR(AM15&lt;$H$172,AM15&gt;5+$H$172),0,IF(AM15&gt;$J$172,EBSS_CESS!$M$32,INDEX(EBSS_CESS!$C$32:$M$32,1,MATCH(AM15,EBSS_CESS!$C$21:$M$21,0))))</f>
        <v>0</v>
      </c>
      <c r="AN173" s="401">
        <f>$F$172*IF(OR(AN15&lt;$H$172,AN15&gt;5+$H$172),0,IF(AN15&gt;$J$172,EBSS_CESS!$M$32,INDEX(EBSS_CESS!$C$32:$M$32,1,MATCH(AN15,EBSS_CESS!$C$21:$M$21,0))))</f>
        <v>0</v>
      </c>
      <c r="AO173" s="401">
        <f>$F$172*IF(OR(AO15&lt;$H$172,AO15&gt;5+$H$172),0,IF(AO15&gt;$J$172,EBSS_CESS!$M$32,INDEX(EBSS_CESS!$C$32:$M$32,1,MATCH(AO15,EBSS_CESS!$C$21:$M$21,0))))</f>
        <v>0</v>
      </c>
      <c r="AP173" s="401">
        <f>$F$172*IF(OR(AP15&lt;$H$172,AP15&gt;5+$H$172),0,IF(AP15&gt;$J$172,EBSS_CESS!$M$32,INDEX(EBSS_CESS!$C$32:$M$32,1,MATCH(AP15,EBSS_CESS!$C$21:$M$21,0))))</f>
        <v>0</v>
      </c>
      <c r="AQ173" s="401">
        <f>$F$172*IF(OR(AQ15&lt;$H$172,AQ15&gt;5+$H$172),0,IF(AQ15&gt;$J$172,EBSS_CESS!$M$32,INDEX(EBSS_CESS!$C$32:$M$32,1,MATCH(AQ15,EBSS_CESS!$C$21:$M$21,0))))</f>
        <v>0</v>
      </c>
      <c r="AR173" s="401">
        <f>$F$172*IF(OR(AR15&lt;$H$172,AR15&gt;5+$H$172),0,IF(AR15&gt;$J$172,EBSS_CESS!$M$32,INDEX(EBSS_CESS!$C$32:$M$32,1,MATCH(AR15,EBSS_CESS!$C$21:$M$21,0))))</f>
        <v>0</v>
      </c>
      <c r="AS173" s="401">
        <f>$F$172*IF(OR(AS15&lt;$H$172,AS15&gt;5+$H$172),0,IF(AS15&gt;$J$172,EBSS_CESS!$M$32,INDEX(EBSS_CESS!$C$32:$M$32,1,MATCH(AS15,EBSS_CESS!$C$21:$M$21,0))))</f>
        <v>0</v>
      </c>
      <c r="AT173" s="401">
        <f>$F$172*IF(OR(AT15&lt;$H$172,AT15&gt;5+$H$172),0,IF(AT15&gt;$J$172,EBSS_CESS!$M$32,INDEX(EBSS_CESS!$C$32:$M$32,1,MATCH(AT15,EBSS_CESS!$C$21:$M$21,0))))</f>
        <v>0</v>
      </c>
      <c r="AU173" s="401">
        <f>$F$172*IF(OR(AU15&lt;$H$172,AU15&gt;5+$H$172),0,IF(AU15&gt;$J$172,EBSS_CESS!$M$32,INDEX(EBSS_CESS!$C$32:$M$32,1,MATCH(AU15,EBSS_CESS!$C$21:$M$21,0))))</f>
        <v>0</v>
      </c>
      <c r="AV173" s="401">
        <f>$F$172*IF(OR(AV15&lt;$H$172,AV15&gt;5+$H$172),0,IF(AV15&gt;$J$172,EBSS_CESS!$M$32,INDEX(EBSS_CESS!$C$32:$M$32,1,MATCH(AV15,EBSS_CESS!$C$21:$M$21,0))))</f>
        <v>0</v>
      </c>
      <c r="AW173" s="401">
        <f>$F$172*IF(OR(AW15&lt;$H$172,AW15&gt;5+$H$172),0,IF(AW15&gt;$J$172,EBSS_CESS!$M$32,INDEX(EBSS_CESS!$C$32:$M$32,1,MATCH(AW15,EBSS_CESS!$C$21:$M$21,0))))</f>
        <v>0</v>
      </c>
      <c r="AX173" s="401">
        <f>$F$172*IF(OR(AX15&lt;$H$172,AX15&gt;5+$H$172),0,IF(AX15&gt;$J$172,EBSS_CESS!$M$32,INDEX(EBSS_CESS!$C$32:$M$32,1,MATCH(AX15,EBSS_CESS!$C$21:$M$21,0))))</f>
        <v>0</v>
      </c>
      <c r="AY173" s="401">
        <f>$F$172*IF(OR(AY15&lt;$H$172,AY15&gt;5+$H$172),0,IF(AY15&gt;$J$172,EBSS_CESS!$M$32,INDEX(EBSS_CESS!$C$32:$M$32,1,MATCH(AY15,EBSS_CESS!$C$21:$M$21,0))))</f>
        <v>0</v>
      </c>
      <c r="AZ173" s="401">
        <f>$F$172*IF(OR(AZ15&lt;$H$172,AZ15&gt;5+$H$172),0,IF(AZ15&gt;$J$172,EBSS_CESS!$M$32,INDEX(EBSS_CESS!$C$32:$M$32,1,MATCH(AZ15,EBSS_CESS!$C$21:$M$21,0))))</f>
        <v>0</v>
      </c>
      <c r="BA173" s="401">
        <f>$F$172*IF(OR(BA15&lt;$H$172,BA15&gt;5+$H$172),0,IF(BA15&gt;$J$172,EBSS_CESS!$M$32,INDEX(EBSS_CESS!$C$32:$M$32,1,MATCH(BA15,EBSS_CESS!$C$21:$M$21,0))))</f>
        <v>0</v>
      </c>
      <c r="BB173" s="401">
        <f>$F$172*IF(OR(BB15&lt;$H$172,BB15&gt;5+$H$172),0,IF(BB15&gt;$J$172,EBSS_CESS!$M$32,INDEX(EBSS_CESS!$C$32:$M$32,1,MATCH(BB15,EBSS_CESS!$C$21:$M$21,0))))</f>
        <v>0</v>
      </c>
      <c r="BC173" s="401">
        <f>$F$172*IF(OR(BC15&lt;$H$172,BC15&gt;5+$H$172),0,IF(BC15&gt;$J$172,EBSS_CESS!$M$32,INDEX(EBSS_CESS!$C$32:$M$32,1,MATCH(BC15,EBSS_CESS!$C$21:$M$21,0))))</f>
        <v>0</v>
      </c>
      <c r="BD173" s="401">
        <f>$F$172*IF(OR(BD15&lt;$H$172,BD15&gt;5+$H$172),0,IF(BD15&gt;$J$172,EBSS_CESS!$M$32,INDEX(EBSS_CESS!$C$32:$M$32,1,MATCH(BD15,EBSS_CESS!$C$21:$M$21,0))))</f>
        <v>0</v>
      </c>
      <c r="BE173" s="401">
        <f>$F$172*IF(OR(BE15&lt;$H$172,BE15&gt;5+$H$172),0,IF(BE15&gt;$J$172,EBSS_CESS!$M$32,INDEX(EBSS_CESS!$C$32:$M$32,1,MATCH(BE15,EBSS_CESS!$C$21:$M$21,0))))</f>
        <v>0</v>
      </c>
      <c r="BF173" s="401">
        <f>$F$172*IF(OR(BF15&lt;$H$172,BF15&gt;5+$H$172),0,IF(BF15&gt;$J$172,EBSS_CESS!$M$32,INDEX(EBSS_CESS!$C$32:$M$32,1,MATCH(BF15,EBSS_CESS!$C$21:$M$21,0))))</f>
        <v>0</v>
      </c>
      <c r="BG173" s="401">
        <f>$F$172*IF(OR(BG15&lt;$H$172,BG15&gt;5+$H$172),0,IF(BG15&gt;$J$172,EBSS_CESS!$M$32,INDEX(EBSS_CESS!$C$32:$M$32,1,MATCH(BG15,EBSS_CESS!$C$21:$M$21,0))))</f>
        <v>0</v>
      </c>
      <c r="BH173" s="401">
        <f>$F$172*IF(OR(BH15&lt;$H$172,BH15&gt;5+$H$172),0,IF(BH15&gt;$J$172,EBSS_CESS!$M$32,INDEX(EBSS_CESS!$C$32:$M$32,1,MATCH(BH15,EBSS_CESS!$C$21:$M$21,0))))</f>
        <v>0</v>
      </c>
      <c r="BI173" s="401">
        <f>$F$172*IF(OR(BI15&lt;$H$172,BI15&gt;5+$H$172),0,IF(BI15&gt;$J$172,EBSS_CESS!$M$32,INDEX(EBSS_CESS!$C$32:$M$32,1,MATCH(BI15,EBSS_CESS!$C$21:$M$21,0))))</f>
        <v>0</v>
      </c>
      <c r="BJ173" s="401">
        <f>$F$172*IF(OR(BJ15&lt;$H$172,BJ15&gt;5+$H$172),0,IF(BJ15&gt;$J$172,EBSS_CESS!$M$32,INDEX(EBSS_CESS!$C$32:$M$32,1,MATCH(BJ15,EBSS_CESS!$C$21:$M$21,0))))</f>
        <v>0</v>
      </c>
      <c r="BK173" s="401">
        <f>$F$172*IF(OR(BK15&lt;$H$172,BK15&gt;5+$H$172),0,IF(BK15&gt;$J$172,EBSS_CESS!$M$32,INDEX(EBSS_CESS!$C$32:$M$32,1,MATCH(BK15,EBSS_CESS!$C$21:$M$21,0))))</f>
        <v>0</v>
      </c>
      <c r="BL173" s="401">
        <f>$F$172*IF(OR(BL15&lt;$H$172,BL15&gt;5+$H$172),0,IF(BL15&gt;$J$172,EBSS_CESS!$M$32,INDEX(EBSS_CESS!$C$32:$M$32,1,MATCH(BL15,EBSS_CESS!$C$21:$M$21,0))))</f>
        <v>0</v>
      </c>
      <c r="BM173" s="401">
        <f>$F$172*IF(OR(BM15&lt;$H$172,BM15&gt;5+$H$172),0,IF(BM15&gt;$J$172,EBSS_CESS!$M$32,INDEX(EBSS_CESS!$C$32:$M$32,1,MATCH(BM15,EBSS_CESS!$C$21:$M$21,0))))</f>
        <v>0</v>
      </c>
      <c r="BN173" s="401">
        <f>$F$172*IF(OR(BN15&lt;$H$172,BN15&gt;5+$H$172),0,IF(BN15&gt;$J$172,EBSS_CESS!$M$32,INDEX(EBSS_CESS!$C$32:$M$32,1,MATCH(BN15,EBSS_CESS!$C$21:$M$21,0))))</f>
        <v>0</v>
      </c>
      <c r="BO173" s="401">
        <f>$F$172*IF(OR(BO15&lt;$H$172,BO15&gt;5+$H$172),0,IF(BO15&gt;$J$172,EBSS_CESS!$M$32,INDEX(EBSS_CESS!$C$32:$M$32,1,MATCH(BO15,EBSS_CESS!$C$21:$M$21,0))))</f>
        <v>0</v>
      </c>
      <c r="BP173" s="401">
        <f>$F$172*IF(OR(BP15&lt;$H$172,BP15&gt;5+$H$172),0,IF(BP15&gt;$J$172,EBSS_CESS!$M$32,INDEX(EBSS_CESS!$C$32:$M$32,1,MATCH(BP15,EBSS_CESS!$C$21:$M$21,0))))</f>
        <v>0</v>
      </c>
    </row>
    <row r="174" spans="2:68" outlineLevel="1" x14ac:dyDescent="0.2">
      <c r="B174" s="20"/>
      <c r="C174" s="80"/>
      <c r="D174" s="92" t="s">
        <v>63</v>
      </c>
      <c r="E174" s="90"/>
      <c r="F174" s="474"/>
      <c r="G174"/>
      <c r="H174" s="474"/>
      <c r="I174" s="90"/>
      <c r="J174" s="474"/>
      <c r="K174" s="401"/>
      <c r="L174" s="436">
        <f>SUM(R174:BP174)</f>
        <v>0</v>
      </c>
      <c r="M174" s="469"/>
      <c r="N174" s="470"/>
      <c r="O174" s="470"/>
      <c r="P174" s="470"/>
      <c r="Q174" s="470"/>
      <c r="R174" s="401">
        <f>$F$172*IF(OR(R15&lt;$H$172,R15&gt;6+Input!$F$218),0,IF(R15&gt;$J$172,EBSS_CESS!$M$33,INDEX(EBSS_CESS!$C$33:$M$33,1,MATCH(R15,EBSS_CESS!$C$21:$M$21,0))))</f>
        <v>0</v>
      </c>
      <c r="S174" s="401">
        <f>$F$172*IF(OR(S15&lt;$H$172,S15&gt;6+Input!$F$218),0,IF(S15&gt;$J$172,EBSS_CESS!$M$33,INDEX(EBSS_CESS!$C$33:$M$33,1,MATCH(S15,EBSS_CESS!$C$21:$M$21,0))))</f>
        <v>0</v>
      </c>
      <c r="T174" s="401">
        <f>$F$172*IF(OR(T15&lt;$H$172,T15&gt;6+Input!$F$218),0,IF(T15&gt;$J$172,EBSS_CESS!$M$33,INDEX(EBSS_CESS!$C$33:$M$33,1,MATCH(T15,EBSS_CESS!$C$21:$M$21,0))))</f>
        <v>0</v>
      </c>
      <c r="U174" s="401">
        <f>$F$172*IF(OR(U15&lt;$H$172,U15&gt;6+Input!$F$218),0,IF(U15&gt;$J$172,EBSS_CESS!$M$33,INDEX(EBSS_CESS!$C$33:$M$33,1,MATCH(U15,EBSS_CESS!$C$21:$M$21,0))))</f>
        <v>0</v>
      </c>
      <c r="V174" s="401">
        <f>$F$172*IF(OR(V15&lt;$H$172,V15&gt;6+Input!$F$218),0,IF(V15&gt;$J$172,EBSS_CESS!$M$33,INDEX(EBSS_CESS!$C$33:$M$33,1,MATCH(V15,EBSS_CESS!$C$21:$M$21,0))))</f>
        <v>0</v>
      </c>
      <c r="W174" s="401">
        <f>$F$172*IF(OR(W15&lt;$H$172,W15&gt;6+Input!$F$218),0,IF(W15&gt;$J$172,EBSS_CESS!$M$33,INDEX(EBSS_CESS!$C$33:$M$33,1,MATCH(W15,EBSS_CESS!$C$21:$M$21,0))))</f>
        <v>0</v>
      </c>
      <c r="X174" s="401">
        <f>$F$172*IF(OR(X15&lt;$H$172,X15&gt;6+Input!$F$218),0,IF(X15&gt;$J$172,EBSS_CESS!$M$33,INDEX(EBSS_CESS!$C$33:$M$33,1,MATCH(X15,EBSS_CESS!$C$21:$M$21,0))))</f>
        <v>0</v>
      </c>
      <c r="Y174" s="401">
        <f>$F$172*IF(OR(Y15&lt;$H$172,Y15&gt;6+Input!$F$218),0,IF(Y15&gt;$J$172,EBSS_CESS!$M$33,INDEX(EBSS_CESS!$C$33:$M$33,1,MATCH(Y15,EBSS_CESS!$C$21:$M$21,0))))</f>
        <v>0</v>
      </c>
      <c r="Z174" s="401">
        <f>$F$172*IF(OR(Z15&lt;$H$172,Z15&gt;6+Input!$F$218),0,IF(Z15&gt;$J$172,EBSS_CESS!$M$33,INDEX(EBSS_CESS!$C$33:$M$33,1,MATCH(Z15,EBSS_CESS!$C$21:$M$21,0))))</f>
        <v>0</v>
      </c>
      <c r="AA174" s="401">
        <f>$F$172*IF(OR(AA15&lt;$H$172,AA15&gt;6+Input!$F$218),0,IF(AA15&gt;$J$172,EBSS_CESS!$M$33,INDEX(EBSS_CESS!$C$33:$M$33,1,MATCH(AA15,EBSS_CESS!$C$21:$M$21,0))))</f>
        <v>0</v>
      </c>
      <c r="AB174" s="401">
        <f>$F$172*IF(OR(AB15&lt;$H$172,AB15&gt;6+Input!$F$218),0,IF(AB15&gt;$J$172,EBSS_CESS!$M$33,INDEX(EBSS_CESS!$C$33:$M$33,1,MATCH(AB15,EBSS_CESS!$C$21:$M$21,0))))</f>
        <v>0</v>
      </c>
      <c r="AC174" s="401">
        <f>$F$172*IF(OR(AC15&lt;$H$172,AC15&gt;6+Input!$F$218),0,IF(AC15&gt;$J$172,EBSS_CESS!$M$33,INDEX(EBSS_CESS!$C$33:$M$33,1,MATCH(AC15,EBSS_CESS!$C$21:$M$21,0))))</f>
        <v>0</v>
      </c>
      <c r="AD174" s="401">
        <f>$F$172*IF(OR(AD15&lt;$H$172,AD15&gt;6+Input!$F$218),0,IF(AD15&gt;$J$172,EBSS_CESS!$M$33,INDEX(EBSS_CESS!$C$33:$M$33,1,MATCH(AD15,EBSS_CESS!$C$21:$M$21,0))))</f>
        <v>0</v>
      </c>
      <c r="AE174" s="401">
        <f>$F$172*IF(OR(AE15&lt;$H$172,AE15&gt;6+Input!$F$218),0,IF(AE15&gt;$J$172,EBSS_CESS!$M$33,INDEX(EBSS_CESS!$C$33:$M$33,1,MATCH(AE15,EBSS_CESS!$C$21:$M$21,0))))</f>
        <v>0</v>
      </c>
      <c r="AF174" s="401">
        <f>$F$172*IF(OR(AF15&lt;$H$172,AF15&gt;6+Input!$F$218),0,IF(AF15&gt;$J$172,EBSS_CESS!$M$33,INDEX(EBSS_CESS!$C$33:$M$33,1,MATCH(AF15,EBSS_CESS!$C$21:$M$21,0))))</f>
        <v>0</v>
      </c>
      <c r="AG174" s="401">
        <f>$F$172*IF(OR(AG15&lt;$H$172,AG15&gt;6+Input!$F$218),0,IF(AG15&gt;$J$172,EBSS_CESS!$M$33,INDEX(EBSS_CESS!$C$33:$M$33,1,MATCH(AG15,EBSS_CESS!$C$21:$M$21,0))))</f>
        <v>0</v>
      </c>
      <c r="AH174" s="401">
        <f>$F$172*IF(OR(AH15&lt;$H$172,AH15&gt;6+Input!$F$218),0,IF(AH15&gt;$J$172,EBSS_CESS!$M$33,INDEX(EBSS_CESS!$C$33:$M$33,1,MATCH(AH15,EBSS_CESS!$C$21:$M$21,0))))</f>
        <v>0</v>
      </c>
      <c r="AI174" s="401">
        <f>$F$172*IF(OR(AI15&lt;$H$172,AI15&gt;6+Input!$F$218),0,IF(AI15&gt;$J$172,EBSS_CESS!$M$33,INDEX(EBSS_CESS!$C$33:$M$33,1,MATCH(AI15,EBSS_CESS!$C$21:$M$21,0))))</f>
        <v>0</v>
      </c>
      <c r="AJ174" s="401">
        <f>$F$172*IF(OR(AJ15&lt;$H$172,AJ15&gt;6+Input!$F$218),0,IF(AJ15&gt;$J$172,EBSS_CESS!$M$33,INDEX(EBSS_CESS!$C$33:$M$33,1,MATCH(AJ15,EBSS_CESS!$C$21:$M$21,0))))</f>
        <v>0</v>
      </c>
      <c r="AK174" s="401">
        <f>$F$172*IF(OR(AK15&lt;$H$172,AK15&gt;6+Input!$F$218),0,IF(AK15&gt;$J$172,EBSS_CESS!$M$33,INDEX(EBSS_CESS!$C$33:$M$33,1,MATCH(AK15,EBSS_CESS!$C$21:$M$21,0))))</f>
        <v>0</v>
      </c>
      <c r="AL174" s="401">
        <f>$F$172*IF(OR(AL15&lt;$H$172,AL15&gt;6+Input!$F$218),0,IF(AL15&gt;$J$172,EBSS_CESS!$M$33,INDEX(EBSS_CESS!$C$33:$M$33,1,MATCH(AL15,EBSS_CESS!$C$21:$M$21,0))))</f>
        <v>0</v>
      </c>
      <c r="AM174" s="401">
        <f>$F$172*IF(OR(AM15&lt;$H$172,AM15&gt;6+Input!$F$218),0,IF(AM15&gt;$J$172,EBSS_CESS!$M$33,INDEX(EBSS_CESS!$C$33:$M$33,1,MATCH(AM15,EBSS_CESS!$C$21:$M$21,0))))</f>
        <v>0</v>
      </c>
      <c r="AN174" s="401">
        <f>$F$172*IF(OR(AN15&lt;$H$172,AN15&gt;6+Input!$F$218),0,IF(AN15&gt;$J$172,EBSS_CESS!$M$33,INDEX(EBSS_CESS!$C$33:$M$33,1,MATCH(AN15,EBSS_CESS!$C$21:$M$21,0))))</f>
        <v>0</v>
      </c>
      <c r="AO174" s="401">
        <f>$F$172*IF(OR(AO15&lt;$H$172,AO15&gt;6+Input!$F$218),0,IF(AO15&gt;$J$172,EBSS_CESS!$M$33,INDEX(EBSS_CESS!$C$33:$M$33,1,MATCH(AO15,EBSS_CESS!$C$21:$M$21,0))))</f>
        <v>0</v>
      </c>
      <c r="AP174" s="401">
        <f>$F$172*IF(OR(AP15&lt;$H$172,AP15&gt;6+Input!$F$218),0,IF(AP15&gt;$J$172,EBSS_CESS!$M$33,INDEX(EBSS_CESS!$C$33:$M$33,1,MATCH(AP15,EBSS_CESS!$C$21:$M$21,0))))</f>
        <v>0</v>
      </c>
      <c r="AQ174" s="401">
        <f>$F$172*IF(OR(AQ15&lt;$H$172,AQ15&gt;6+Input!$F$218),0,IF(AQ15&gt;$J$172,EBSS_CESS!$M$33,INDEX(EBSS_CESS!$C$33:$M$33,1,MATCH(AQ15,EBSS_CESS!$C$21:$M$21,0))))</f>
        <v>0</v>
      </c>
      <c r="AR174" s="401">
        <f>$F$172*IF(OR(AR15&lt;$H$172,AR15&gt;6+Input!$F$218),0,IF(AR15&gt;$J$172,EBSS_CESS!$M$33,INDEX(EBSS_CESS!$C$33:$M$33,1,MATCH(AR15,EBSS_CESS!$C$21:$M$21,0))))</f>
        <v>0</v>
      </c>
      <c r="AS174" s="401">
        <f>$F$172*IF(OR(AS15&lt;$H$172,AS15&gt;6+Input!$F$218),0,IF(AS15&gt;$J$172,EBSS_CESS!$M$33,INDEX(EBSS_CESS!$C$33:$M$33,1,MATCH(AS15,EBSS_CESS!$C$21:$M$21,0))))</f>
        <v>0</v>
      </c>
      <c r="AT174" s="401">
        <f>$F$172*IF(OR(AT15&lt;$H$172,AT15&gt;6+Input!$F$218),0,IF(AT15&gt;$J$172,EBSS_CESS!$M$33,INDEX(EBSS_CESS!$C$33:$M$33,1,MATCH(AT15,EBSS_CESS!$C$21:$M$21,0))))</f>
        <v>0</v>
      </c>
      <c r="AU174" s="401">
        <f>$F$172*IF(OR(AU15&lt;$H$172,AU15&gt;6+Input!$F$218),0,IF(AU15&gt;$J$172,EBSS_CESS!$M$33,INDEX(EBSS_CESS!$C$33:$M$33,1,MATCH(AU15,EBSS_CESS!$C$21:$M$21,0))))</f>
        <v>0</v>
      </c>
      <c r="AV174" s="401">
        <f>$F$172*IF(OR(AV15&lt;$H$172,AV15&gt;6+Input!$F$218),0,IF(AV15&gt;$J$172,EBSS_CESS!$M$33,INDEX(EBSS_CESS!$C$33:$M$33,1,MATCH(AV15,EBSS_CESS!$C$21:$M$21,0))))</f>
        <v>0</v>
      </c>
      <c r="AW174" s="401">
        <f>$F$172*IF(OR(AW15&lt;$H$172,AW15&gt;6+Input!$F$218),0,IF(AW15&gt;$J$172,EBSS_CESS!$M$33,INDEX(EBSS_CESS!$C$33:$M$33,1,MATCH(AW15,EBSS_CESS!$C$21:$M$21,0))))</f>
        <v>0</v>
      </c>
      <c r="AX174" s="401">
        <f>$F$172*IF(OR(AX15&lt;$H$172,AX15&gt;6+Input!$F$218),0,IF(AX15&gt;$J$172,EBSS_CESS!$M$33,INDEX(EBSS_CESS!$C$33:$M$33,1,MATCH(AX15,EBSS_CESS!$C$21:$M$21,0))))</f>
        <v>0</v>
      </c>
      <c r="AY174" s="401">
        <f>$F$172*IF(OR(AY15&lt;$H$172,AY15&gt;6+Input!$F$218),0,IF(AY15&gt;$J$172,EBSS_CESS!$M$33,INDEX(EBSS_CESS!$C$33:$M$33,1,MATCH(AY15,EBSS_CESS!$C$21:$M$21,0))))</f>
        <v>0</v>
      </c>
      <c r="AZ174" s="401">
        <f>$F$172*IF(OR(AZ15&lt;$H$172,AZ15&gt;6+Input!$F$218),0,IF(AZ15&gt;$J$172,EBSS_CESS!$M$33,INDEX(EBSS_CESS!$C$33:$M$33,1,MATCH(AZ15,EBSS_CESS!$C$21:$M$21,0))))</f>
        <v>0</v>
      </c>
      <c r="BA174" s="401">
        <f>$F$172*IF(OR(BA15&lt;$H$172,BA15&gt;6+Input!$F$218),0,IF(BA15&gt;$J$172,EBSS_CESS!$M$33,INDEX(EBSS_CESS!$C$33:$M$33,1,MATCH(BA15,EBSS_CESS!$C$21:$M$21,0))))</f>
        <v>0</v>
      </c>
      <c r="BB174" s="401">
        <f>$F$172*IF(OR(BB15&lt;$H$172,BB15&gt;6+Input!$F$218),0,IF(BB15&gt;$J$172,EBSS_CESS!$M$33,INDEX(EBSS_CESS!$C$33:$M$33,1,MATCH(BB15,EBSS_CESS!$C$21:$M$21,0))))</f>
        <v>0</v>
      </c>
      <c r="BC174" s="401">
        <f>$F$172*IF(OR(BC15&lt;$H$172,BC15&gt;6+Input!$F$218),0,IF(BC15&gt;$J$172,EBSS_CESS!$M$33,INDEX(EBSS_CESS!$C$33:$M$33,1,MATCH(BC15,EBSS_CESS!$C$21:$M$21,0))))</f>
        <v>0</v>
      </c>
      <c r="BD174" s="401">
        <f>$F$172*IF(OR(BD15&lt;$H$172,BD15&gt;6+Input!$F$218),0,IF(BD15&gt;$J$172,EBSS_CESS!$M$33,INDEX(EBSS_CESS!$C$33:$M$33,1,MATCH(BD15,EBSS_CESS!$C$21:$M$21,0))))</f>
        <v>0</v>
      </c>
      <c r="BE174" s="401">
        <f>$F$172*IF(OR(BE15&lt;$H$172,BE15&gt;6+Input!$F$218),0,IF(BE15&gt;$J$172,EBSS_CESS!$M$33,INDEX(EBSS_CESS!$C$33:$M$33,1,MATCH(BE15,EBSS_CESS!$C$21:$M$21,0))))</f>
        <v>0</v>
      </c>
      <c r="BF174" s="401">
        <f>$F$172*IF(OR(BF15&lt;$H$172,BF15&gt;6+Input!$F$218),0,IF(BF15&gt;$J$172,EBSS_CESS!$M$33,INDEX(EBSS_CESS!$C$33:$M$33,1,MATCH(BF15,EBSS_CESS!$C$21:$M$21,0))))</f>
        <v>0</v>
      </c>
      <c r="BG174" s="401">
        <f>$F$172*IF(OR(BG15&lt;$H$172,BG15&gt;6+Input!$F$218),0,IF(BG15&gt;$J$172,EBSS_CESS!$M$33,INDEX(EBSS_CESS!$C$33:$M$33,1,MATCH(BG15,EBSS_CESS!$C$21:$M$21,0))))</f>
        <v>0</v>
      </c>
      <c r="BH174" s="401">
        <f>$F$172*IF(OR(BH15&lt;$H$172,BH15&gt;6+Input!$F$218),0,IF(BH15&gt;$J$172,EBSS_CESS!$M$33,INDEX(EBSS_CESS!$C$33:$M$33,1,MATCH(BH15,EBSS_CESS!$C$21:$M$21,0))))</f>
        <v>0</v>
      </c>
      <c r="BI174" s="401">
        <f>$F$172*IF(OR(BI15&lt;$H$172,BI15&gt;6+Input!$F$218),0,IF(BI15&gt;$J$172,EBSS_CESS!$M$33,INDEX(EBSS_CESS!$C$33:$M$33,1,MATCH(BI15,EBSS_CESS!$C$21:$M$21,0))))</f>
        <v>0</v>
      </c>
      <c r="BJ174" s="401">
        <f>$F$172*IF(OR(BJ15&lt;$H$172,BJ15&gt;6+Input!$F$218),0,IF(BJ15&gt;$J$172,EBSS_CESS!$M$33,INDEX(EBSS_CESS!$C$33:$M$33,1,MATCH(BJ15,EBSS_CESS!$C$21:$M$21,0))))</f>
        <v>0</v>
      </c>
      <c r="BK174" s="401">
        <f>$F$172*IF(OR(BK15&lt;$H$172,BK15&gt;6+Input!$F$218),0,IF(BK15&gt;$J$172,EBSS_CESS!$M$33,INDEX(EBSS_CESS!$C$33:$M$33,1,MATCH(BK15,EBSS_CESS!$C$21:$M$21,0))))</f>
        <v>0</v>
      </c>
      <c r="BL174" s="401">
        <f>$F$172*IF(OR(BL15&lt;$H$172,BL15&gt;6+Input!$F$218),0,IF(BL15&gt;$J$172,EBSS_CESS!$M$33,INDEX(EBSS_CESS!$C$33:$M$33,1,MATCH(BL15,EBSS_CESS!$C$21:$M$21,0))))</f>
        <v>0</v>
      </c>
      <c r="BM174" s="401">
        <f>$F$172*IF(OR(BM15&lt;$H$172,BM15&gt;6+Input!$F$218),0,IF(BM15&gt;$J$172,EBSS_CESS!$M$33,INDEX(EBSS_CESS!$C$33:$M$33,1,MATCH(BM15,EBSS_CESS!$C$21:$M$21,0))))</f>
        <v>0</v>
      </c>
      <c r="BN174" s="401">
        <f>$F$172*IF(OR(BN15&lt;$H$172,BN15&gt;6+Input!$F$218),0,IF(BN15&gt;$J$172,EBSS_CESS!$M$33,INDEX(EBSS_CESS!$C$33:$M$33,1,MATCH(BN15,EBSS_CESS!$C$21:$M$21,0))))</f>
        <v>0</v>
      </c>
      <c r="BO174" s="401">
        <f>$F$172*IF(OR(BO15&lt;$H$172,BO15&gt;6+Input!$F$218),0,IF(BO15&gt;$J$172,EBSS_CESS!$M$33,INDEX(EBSS_CESS!$C$33:$M$33,1,MATCH(BO15,EBSS_CESS!$C$21:$M$21,0))))</f>
        <v>0</v>
      </c>
      <c r="BP174" s="401">
        <f>$F$172*IF(OR(BP15&lt;$H$172,BP15&gt;6+Input!$F$218),0,IF(BP15&gt;$J$172,EBSS_CESS!$M$33,INDEX(EBSS_CESS!$C$33:$M$33,1,MATCH(BP15,EBSS_CESS!$C$21:$M$21,0))))</f>
        <v>0</v>
      </c>
    </row>
    <row r="175" spans="2:68" outlineLevel="1" x14ac:dyDescent="0.2">
      <c r="B175" s="20"/>
      <c r="C175" s="80"/>
      <c r="D175" s="66" t="s">
        <v>204</v>
      </c>
      <c r="E175" s="90" t="str">
        <f>Output_charts!$I$13</f>
        <v>CESS switch</v>
      </c>
      <c r="F175" s="476" t="b">
        <f>Output_charts!$I$14</f>
        <v>0</v>
      </c>
      <c r="G175" s="80"/>
      <c r="H175" s="80"/>
      <c r="I175" s="80"/>
      <c r="J175" s="80"/>
      <c r="K175" s="80"/>
      <c r="L175" s="80"/>
      <c r="M175" s="469"/>
      <c r="N175" s="470"/>
      <c r="O175" s="470"/>
      <c r="P175" s="470"/>
      <c r="Q175" s="470"/>
      <c r="R175" s="80"/>
      <c r="S175" s="80"/>
      <c r="T175" s="80"/>
      <c r="U175" s="80"/>
      <c r="V175" s="80"/>
      <c r="W175" s="80"/>
      <c r="X175" s="80"/>
      <c r="Y175" s="80"/>
      <c r="Z175" s="80"/>
      <c r="AA175" s="80"/>
      <c r="AB175" s="80"/>
      <c r="AC175" s="80"/>
      <c r="AD175" s="80"/>
      <c r="AE175" s="80"/>
      <c r="AF175" s="80"/>
      <c r="AG175" s="80"/>
      <c r="AH175" s="80"/>
      <c r="AI175" s="80"/>
      <c r="AJ175" s="80"/>
      <c r="AK175" s="80"/>
      <c r="AL175" s="80"/>
      <c r="AM175" s="80"/>
      <c r="AN175" s="80"/>
      <c r="AO175" s="80"/>
      <c r="AP175" s="80"/>
      <c r="AQ175" s="80"/>
      <c r="AR175" s="80"/>
      <c r="AS175" s="80"/>
      <c r="AT175" s="80"/>
      <c r="AU175" s="80"/>
      <c r="AV175" s="80"/>
      <c r="AW175" s="80"/>
      <c r="AX175" s="80"/>
      <c r="AY175" s="80"/>
      <c r="AZ175" s="80"/>
      <c r="BA175" s="80"/>
      <c r="BB175" s="80"/>
      <c r="BC175" s="80"/>
      <c r="BD175" s="80"/>
      <c r="BE175" s="80"/>
      <c r="BF175" s="80"/>
      <c r="BG175" s="80"/>
      <c r="BH175" s="80"/>
      <c r="BI175" s="80"/>
      <c r="BJ175" s="80"/>
      <c r="BK175" s="80"/>
      <c r="BL175" s="80"/>
      <c r="BM175" s="80"/>
      <c r="BN175" s="80"/>
      <c r="BO175" s="80"/>
      <c r="BP175" s="80"/>
    </row>
    <row r="176" spans="2:68" outlineLevel="1" x14ac:dyDescent="0.2">
      <c r="B176" s="20"/>
      <c r="C176" s="80"/>
      <c r="D176" s="92" t="s">
        <v>64</v>
      </c>
      <c r="E176" s="90"/>
      <c r="F176" s="90"/>
      <c r="G176" s="80"/>
      <c r="H176" s="80"/>
      <c r="I176" s="90" t="s">
        <v>390</v>
      </c>
      <c r="J176" s="482">
        <f>EBSS_CESS!$C$36</f>
        <v>-0.17055711687386843</v>
      </c>
      <c r="K176" s="80"/>
      <c r="L176" s="436">
        <f>SUM(R176:BP176)</f>
        <v>0</v>
      </c>
      <c r="M176" s="469"/>
      <c r="N176" s="470"/>
      <c r="O176" s="470"/>
      <c r="P176" s="470"/>
      <c r="Q176" s="470"/>
      <c r="R176" s="401">
        <f t="shared" ref="R176:AW176" si="244">$F$175*(-$J$176*(R41+R60))</f>
        <v>0</v>
      </c>
      <c r="S176" s="401">
        <f t="shared" si="244"/>
        <v>0</v>
      </c>
      <c r="T176" s="401">
        <f t="shared" si="244"/>
        <v>0</v>
      </c>
      <c r="U176" s="401">
        <f t="shared" si="244"/>
        <v>0</v>
      </c>
      <c r="V176" s="401">
        <f t="shared" si="244"/>
        <v>0</v>
      </c>
      <c r="W176" s="401">
        <f t="shared" si="244"/>
        <v>0</v>
      </c>
      <c r="X176" s="401">
        <f t="shared" si="244"/>
        <v>0</v>
      </c>
      <c r="Y176" s="401">
        <f t="shared" si="244"/>
        <v>0</v>
      </c>
      <c r="Z176" s="401">
        <f t="shared" si="244"/>
        <v>0</v>
      </c>
      <c r="AA176" s="401">
        <f t="shared" si="244"/>
        <v>0</v>
      </c>
      <c r="AB176" s="401">
        <f t="shared" si="244"/>
        <v>0</v>
      </c>
      <c r="AC176" s="401">
        <f t="shared" si="244"/>
        <v>0</v>
      </c>
      <c r="AD176" s="401">
        <f t="shared" si="244"/>
        <v>0</v>
      </c>
      <c r="AE176" s="401">
        <f t="shared" si="244"/>
        <v>0</v>
      </c>
      <c r="AF176" s="401">
        <f t="shared" si="244"/>
        <v>0</v>
      </c>
      <c r="AG176" s="401">
        <f t="shared" si="244"/>
        <v>0</v>
      </c>
      <c r="AH176" s="401">
        <f t="shared" si="244"/>
        <v>0</v>
      </c>
      <c r="AI176" s="401">
        <f t="shared" si="244"/>
        <v>0</v>
      </c>
      <c r="AJ176" s="401">
        <f t="shared" si="244"/>
        <v>0</v>
      </c>
      <c r="AK176" s="401">
        <f t="shared" si="244"/>
        <v>0</v>
      </c>
      <c r="AL176" s="401">
        <f t="shared" si="244"/>
        <v>0</v>
      </c>
      <c r="AM176" s="401">
        <f t="shared" si="244"/>
        <v>0</v>
      </c>
      <c r="AN176" s="401">
        <f t="shared" si="244"/>
        <v>0</v>
      </c>
      <c r="AO176" s="401">
        <f t="shared" si="244"/>
        <v>0</v>
      </c>
      <c r="AP176" s="401">
        <f t="shared" si="244"/>
        <v>0</v>
      </c>
      <c r="AQ176" s="401">
        <f t="shared" si="244"/>
        <v>0</v>
      </c>
      <c r="AR176" s="401">
        <f t="shared" si="244"/>
        <v>0</v>
      </c>
      <c r="AS176" s="401">
        <f t="shared" si="244"/>
        <v>0</v>
      </c>
      <c r="AT176" s="401">
        <f t="shared" si="244"/>
        <v>0</v>
      </c>
      <c r="AU176" s="401">
        <f t="shared" si="244"/>
        <v>0</v>
      </c>
      <c r="AV176" s="401">
        <f t="shared" si="244"/>
        <v>0</v>
      </c>
      <c r="AW176" s="401">
        <f t="shared" si="244"/>
        <v>0</v>
      </c>
      <c r="AX176" s="401">
        <f t="shared" ref="AX176:BP176" si="245">$F$175*(-$J$176*(AX41+AX60))</f>
        <v>0</v>
      </c>
      <c r="AY176" s="401">
        <f t="shared" si="245"/>
        <v>0</v>
      </c>
      <c r="AZ176" s="401">
        <f t="shared" si="245"/>
        <v>0</v>
      </c>
      <c r="BA176" s="401">
        <f t="shared" si="245"/>
        <v>0</v>
      </c>
      <c r="BB176" s="401">
        <f t="shared" si="245"/>
        <v>0</v>
      </c>
      <c r="BC176" s="401">
        <f t="shared" si="245"/>
        <v>0</v>
      </c>
      <c r="BD176" s="401">
        <f t="shared" si="245"/>
        <v>0</v>
      </c>
      <c r="BE176" s="401">
        <f t="shared" si="245"/>
        <v>0</v>
      </c>
      <c r="BF176" s="401">
        <f t="shared" si="245"/>
        <v>0</v>
      </c>
      <c r="BG176" s="401">
        <f t="shared" si="245"/>
        <v>0</v>
      </c>
      <c r="BH176" s="401">
        <f t="shared" si="245"/>
        <v>0</v>
      </c>
      <c r="BI176" s="401">
        <f t="shared" si="245"/>
        <v>0</v>
      </c>
      <c r="BJ176" s="401">
        <f t="shared" si="245"/>
        <v>0</v>
      </c>
      <c r="BK176" s="401">
        <f t="shared" si="245"/>
        <v>0</v>
      </c>
      <c r="BL176" s="401">
        <f t="shared" si="245"/>
        <v>0</v>
      </c>
      <c r="BM176" s="401">
        <f t="shared" si="245"/>
        <v>0</v>
      </c>
      <c r="BN176" s="401">
        <f t="shared" si="245"/>
        <v>0</v>
      </c>
      <c r="BO176" s="401">
        <f t="shared" si="245"/>
        <v>0</v>
      </c>
      <c r="BP176" s="401">
        <f t="shared" si="245"/>
        <v>0</v>
      </c>
    </row>
    <row r="177" spans="2:68" outlineLevel="1" x14ac:dyDescent="0.2">
      <c r="B177" s="20"/>
      <c r="C177" s="80"/>
      <c r="D177" s="92" t="s">
        <v>63</v>
      </c>
      <c r="E177" s="90"/>
      <c r="F177" s="90"/>
      <c r="G177" s="80"/>
      <c r="H177" s="80"/>
      <c r="I177" s="90" t="s">
        <v>390</v>
      </c>
      <c r="J177" s="482">
        <f>EBSS_CESS!$C$37</f>
        <v>-0.68826198720524245</v>
      </c>
      <c r="K177" s="80"/>
      <c r="L177" s="436">
        <f>SUM(R177:BP177)</f>
        <v>0</v>
      </c>
      <c r="M177" s="469"/>
      <c r="N177" s="470"/>
      <c r="O177" s="470"/>
      <c r="P177" s="470"/>
      <c r="Q177" s="470"/>
      <c r="R177" s="401">
        <f t="shared" ref="R177:AW177" si="246">$F$175*(-$J$177*(R41+R60))</f>
        <v>0</v>
      </c>
      <c r="S177" s="401">
        <f t="shared" si="246"/>
        <v>0</v>
      </c>
      <c r="T177" s="401">
        <f t="shared" si="246"/>
        <v>0</v>
      </c>
      <c r="U177" s="401">
        <f t="shared" si="246"/>
        <v>0</v>
      </c>
      <c r="V177" s="401">
        <f t="shared" si="246"/>
        <v>0</v>
      </c>
      <c r="W177" s="401">
        <f t="shared" si="246"/>
        <v>0</v>
      </c>
      <c r="X177" s="401">
        <f t="shared" si="246"/>
        <v>0</v>
      </c>
      <c r="Y177" s="401">
        <f t="shared" si="246"/>
        <v>0</v>
      </c>
      <c r="Z177" s="401">
        <f t="shared" si="246"/>
        <v>0</v>
      </c>
      <c r="AA177" s="401">
        <f t="shared" si="246"/>
        <v>0</v>
      </c>
      <c r="AB177" s="401">
        <f t="shared" si="246"/>
        <v>0</v>
      </c>
      <c r="AC177" s="401">
        <f t="shared" si="246"/>
        <v>0</v>
      </c>
      <c r="AD177" s="401">
        <f t="shared" si="246"/>
        <v>0</v>
      </c>
      <c r="AE177" s="401">
        <f t="shared" si="246"/>
        <v>0</v>
      </c>
      <c r="AF177" s="401">
        <f t="shared" si="246"/>
        <v>0</v>
      </c>
      <c r="AG177" s="401">
        <f t="shared" si="246"/>
        <v>0</v>
      </c>
      <c r="AH177" s="401">
        <f t="shared" si="246"/>
        <v>0</v>
      </c>
      <c r="AI177" s="401">
        <f t="shared" si="246"/>
        <v>0</v>
      </c>
      <c r="AJ177" s="401">
        <f t="shared" si="246"/>
        <v>0</v>
      </c>
      <c r="AK177" s="401">
        <f t="shared" si="246"/>
        <v>0</v>
      </c>
      <c r="AL177" s="401">
        <f t="shared" si="246"/>
        <v>0</v>
      </c>
      <c r="AM177" s="401">
        <f t="shared" si="246"/>
        <v>0</v>
      </c>
      <c r="AN177" s="401">
        <f t="shared" si="246"/>
        <v>0</v>
      </c>
      <c r="AO177" s="401">
        <f t="shared" si="246"/>
        <v>0</v>
      </c>
      <c r="AP177" s="401">
        <f t="shared" si="246"/>
        <v>0</v>
      </c>
      <c r="AQ177" s="401">
        <f t="shared" si="246"/>
        <v>0</v>
      </c>
      <c r="AR177" s="401">
        <f t="shared" si="246"/>
        <v>0</v>
      </c>
      <c r="AS177" s="401">
        <f t="shared" si="246"/>
        <v>0</v>
      </c>
      <c r="AT177" s="401">
        <f t="shared" si="246"/>
        <v>0</v>
      </c>
      <c r="AU177" s="401">
        <f t="shared" si="246"/>
        <v>0</v>
      </c>
      <c r="AV177" s="401">
        <f t="shared" si="246"/>
        <v>0</v>
      </c>
      <c r="AW177" s="401">
        <f t="shared" si="246"/>
        <v>0</v>
      </c>
      <c r="AX177" s="401">
        <f t="shared" ref="AX177:BP177" si="247">$F$175*(-$J$177*(AX41+AX60))</f>
        <v>0</v>
      </c>
      <c r="AY177" s="401">
        <f t="shared" si="247"/>
        <v>0</v>
      </c>
      <c r="AZ177" s="401">
        <f t="shared" si="247"/>
        <v>0</v>
      </c>
      <c r="BA177" s="401">
        <f t="shared" si="247"/>
        <v>0</v>
      </c>
      <c r="BB177" s="401">
        <f t="shared" si="247"/>
        <v>0</v>
      </c>
      <c r="BC177" s="401">
        <f t="shared" si="247"/>
        <v>0</v>
      </c>
      <c r="BD177" s="401">
        <f t="shared" si="247"/>
        <v>0</v>
      </c>
      <c r="BE177" s="401">
        <f t="shared" si="247"/>
        <v>0</v>
      </c>
      <c r="BF177" s="401">
        <f t="shared" si="247"/>
        <v>0</v>
      </c>
      <c r="BG177" s="401">
        <f t="shared" si="247"/>
        <v>0</v>
      </c>
      <c r="BH177" s="401">
        <f t="shared" si="247"/>
        <v>0</v>
      </c>
      <c r="BI177" s="401">
        <f t="shared" si="247"/>
        <v>0</v>
      </c>
      <c r="BJ177" s="401">
        <f t="shared" si="247"/>
        <v>0</v>
      </c>
      <c r="BK177" s="401">
        <f t="shared" si="247"/>
        <v>0</v>
      </c>
      <c r="BL177" s="401">
        <f t="shared" si="247"/>
        <v>0</v>
      </c>
      <c r="BM177" s="401">
        <f t="shared" si="247"/>
        <v>0</v>
      </c>
      <c r="BN177" s="401">
        <f t="shared" si="247"/>
        <v>0</v>
      </c>
      <c r="BO177" s="401">
        <f t="shared" si="247"/>
        <v>0</v>
      </c>
      <c r="BP177" s="401">
        <f t="shared" si="247"/>
        <v>0</v>
      </c>
    </row>
    <row r="178" spans="2:68" outlineLevel="1" x14ac:dyDescent="0.2">
      <c r="B178" s="20"/>
      <c r="C178" s="80"/>
      <c r="D178" s="66" t="s">
        <v>124</v>
      </c>
      <c r="E178" s="80"/>
      <c r="F178" s="80"/>
      <c r="G178" s="80"/>
      <c r="H178" s="80"/>
      <c r="I178" s="90" t="str">
        <f>Input!$K$164</f>
        <v>DMIS incentive %</v>
      </c>
      <c r="J178" s="477">
        <f>Input!$L$164</f>
        <v>0.5</v>
      </c>
      <c r="K178" s="464"/>
      <c r="L178" s="436">
        <f>SUM(R178:BP178)</f>
        <v>0</v>
      </c>
      <c r="M178" s="469"/>
      <c r="N178" s="470"/>
      <c r="O178" s="470"/>
      <c r="P178" s="470"/>
      <c r="Q178" s="470"/>
      <c r="R178" s="401">
        <f t="shared" ref="R178:AW178" si="248">IF(AND($J$178&lt;&gt;0,R15=$L$50+1),$J$178*(-$L$163),0)</f>
        <v>0</v>
      </c>
      <c r="S178" s="401">
        <f t="shared" si="248"/>
        <v>0</v>
      </c>
      <c r="T178" s="401">
        <f t="shared" si="248"/>
        <v>0</v>
      </c>
      <c r="U178" s="401">
        <f t="shared" si="248"/>
        <v>0</v>
      </c>
      <c r="V178" s="401">
        <f t="shared" si="248"/>
        <v>0</v>
      </c>
      <c r="W178" s="401">
        <f t="shared" si="248"/>
        <v>0</v>
      </c>
      <c r="X178" s="401">
        <f t="shared" si="248"/>
        <v>0</v>
      </c>
      <c r="Y178" s="401">
        <f t="shared" si="248"/>
        <v>0</v>
      </c>
      <c r="Z178" s="401">
        <f t="shared" si="248"/>
        <v>0</v>
      </c>
      <c r="AA178" s="401">
        <f t="shared" si="248"/>
        <v>0</v>
      </c>
      <c r="AB178" s="401">
        <f t="shared" si="248"/>
        <v>0</v>
      </c>
      <c r="AC178" s="401">
        <f t="shared" si="248"/>
        <v>0</v>
      </c>
      <c r="AD178" s="401">
        <f t="shared" si="248"/>
        <v>0</v>
      </c>
      <c r="AE178" s="401">
        <f t="shared" si="248"/>
        <v>0</v>
      </c>
      <c r="AF178" s="401">
        <f t="shared" si="248"/>
        <v>0</v>
      </c>
      <c r="AG178" s="401">
        <f t="shared" si="248"/>
        <v>0</v>
      </c>
      <c r="AH178" s="401">
        <f t="shared" si="248"/>
        <v>0</v>
      </c>
      <c r="AI178" s="401">
        <f t="shared" si="248"/>
        <v>0</v>
      </c>
      <c r="AJ178" s="401">
        <f t="shared" si="248"/>
        <v>0</v>
      </c>
      <c r="AK178" s="401">
        <f t="shared" si="248"/>
        <v>0</v>
      </c>
      <c r="AL178" s="401">
        <f t="shared" si="248"/>
        <v>0</v>
      </c>
      <c r="AM178" s="401">
        <f t="shared" si="248"/>
        <v>0</v>
      </c>
      <c r="AN178" s="401">
        <f t="shared" si="248"/>
        <v>0</v>
      </c>
      <c r="AO178" s="401">
        <f t="shared" si="248"/>
        <v>0</v>
      </c>
      <c r="AP178" s="401">
        <f t="shared" si="248"/>
        <v>0</v>
      </c>
      <c r="AQ178" s="401">
        <f t="shared" si="248"/>
        <v>0</v>
      </c>
      <c r="AR178" s="401">
        <f t="shared" si="248"/>
        <v>0</v>
      </c>
      <c r="AS178" s="401">
        <f t="shared" si="248"/>
        <v>0</v>
      </c>
      <c r="AT178" s="401">
        <f t="shared" si="248"/>
        <v>0</v>
      </c>
      <c r="AU178" s="401">
        <f t="shared" si="248"/>
        <v>0</v>
      </c>
      <c r="AV178" s="401">
        <f t="shared" si="248"/>
        <v>0</v>
      </c>
      <c r="AW178" s="401">
        <f t="shared" si="248"/>
        <v>0</v>
      </c>
      <c r="AX178" s="401">
        <f t="shared" ref="AX178:BP178" si="249">IF(AND($J$178&lt;&gt;0,AX15=$L$50+1),$J$178*(-$L$163),0)</f>
        <v>0</v>
      </c>
      <c r="AY178" s="401">
        <f t="shared" si="249"/>
        <v>0</v>
      </c>
      <c r="AZ178" s="401">
        <f t="shared" si="249"/>
        <v>0</v>
      </c>
      <c r="BA178" s="401">
        <f t="shared" si="249"/>
        <v>0</v>
      </c>
      <c r="BB178" s="401">
        <f t="shared" si="249"/>
        <v>0</v>
      </c>
      <c r="BC178" s="401">
        <f t="shared" si="249"/>
        <v>0</v>
      </c>
      <c r="BD178" s="401">
        <f t="shared" si="249"/>
        <v>0</v>
      </c>
      <c r="BE178" s="401">
        <f t="shared" si="249"/>
        <v>0</v>
      </c>
      <c r="BF178" s="401">
        <f t="shared" si="249"/>
        <v>0</v>
      </c>
      <c r="BG178" s="401">
        <f t="shared" si="249"/>
        <v>0</v>
      </c>
      <c r="BH178" s="401">
        <f t="shared" si="249"/>
        <v>0</v>
      </c>
      <c r="BI178" s="401">
        <f t="shared" si="249"/>
        <v>0</v>
      </c>
      <c r="BJ178" s="401">
        <f t="shared" si="249"/>
        <v>0</v>
      </c>
      <c r="BK178" s="401">
        <f t="shared" si="249"/>
        <v>0</v>
      </c>
      <c r="BL178" s="401">
        <f t="shared" si="249"/>
        <v>0</v>
      </c>
      <c r="BM178" s="401">
        <f t="shared" si="249"/>
        <v>0</v>
      </c>
      <c r="BN178" s="401">
        <f t="shared" si="249"/>
        <v>0</v>
      </c>
      <c r="BO178" s="401">
        <f t="shared" si="249"/>
        <v>0</v>
      </c>
      <c r="BP178" s="401">
        <f t="shared" si="249"/>
        <v>0</v>
      </c>
    </row>
    <row r="179" spans="2:68" outlineLevel="1" x14ac:dyDescent="0.2">
      <c r="B179" s="20"/>
      <c r="C179" s="80"/>
      <c r="D179" s="86" t="s">
        <v>391</v>
      </c>
      <c r="E179" s="458"/>
      <c r="F179" s="458"/>
      <c r="G179" s="458"/>
      <c r="H179" s="458"/>
      <c r="I179" s="458"/>
      <c r="J179" s="458"/>
      <c r="K179" s="401"/>
      <c r="L179" s="461">
        <f>SUM(R179:BP179)</f>
        <v>0</v>
      </c>
      <c r="M179" s="480"/>
      <c r="N179" s="481"/>
      <c r="O179" s="481"/>
      <c r="P179" s="481"/>
      <c r="Q179" s="481"/>
      <c r="R179" s="460">
        <f>SUM(R171:R178)</f>
        <v>0</v>
      </c>
      <c r="S179" s="460">
        <f t="shared" ref="S179:BP179" si="250">SUM(S171:S178)</f>
        <v>0</v>
      </c>
      <c r="T179" s="460">
        <f t="shared" si="250"/>
        <v>0</v>
      </c>
      <c r="U179" s="460">
        <f t="shared" si="250"/>
        <v>0</v>
      </c>
      <c r="V179" s="460">
        <f t="shared" si="250"/>
        <v>0</v>
      </c>
      <c r="W179" s="460">
        <f t="shared" si="250"/>
        <v>0</v>
      </c>
      <c r="X179" s="460">
        <f t="shared" si="250"/>
        <v>0</v>
      </c>
      <c r="Y179" s="460">
        <f t="shared" si="250"/>
        <v>0</v>
      </c>
      <c r="Z179" s="460">
        <f t="shared" si="250"/>
        <v>0</v>
      </c>
      <c r="AA179" s="460">
        <f t="shared" si="250"/>
        <v>0</v>
      </c>
      <c r="AB179" s="460">
        <f t="shared" si="250"/>
        <v>0</v>
      </c>
      <c r="AC179" s="460">
        <f t="shared" si="250"/>
        <v>0</v>
      </c>
      <c r="AD179" s="460">
        <f t="shared" si="250"/>
        <v>0</v>
      </c>
      <c r="AE179" s="460">
        <f t="shared" si="250"/>
        <v>0</v>
      </c>
      <c r="AF179" s="460">
        <f t="shared" si="250"/>
        <v>0</v>
      </c>
      <c r="AG179" s="460">
        <f t="shared" si="250"/>
        <v>0</v>
      </c>
      <c r="AH179" s="460">
        <f t="shared" si="250"/>
        <v>0</v>
      </c>
      <c r="AI179" s="460">
        <f t="shared" si="250"/>
        <v>0</v>
      </c>
      <c r="AJ179" s="460">
        <f t="shared" si="250"/>
        <v>0</v>
      </c>
      <c r="AK179" s="460">
        <f t="shared" si="250"/>
        <v>0</v>
      </c>
      <c r="AL179" s="460">
        <f t="shared" si="250"/>
        <v>0</v>
      </c>
      <c r="AM179" s="460">
        <f t="shared" si="250"/>
        <v>0</v>
      </c>
      <c r="AN179" s="460">
        <f t="shared" si="250"/>
        <v>0</v>
      </c>
      <c r="AO179" s="460">
        <f t="shared" si="250"/>
        <v>0</v>
      </c>
      <c r="AP179" s="460">
        <f t="shared" si="250"/>
        <v>0</v>
      </c>
      <c r="AQ179" s="460">
        <f t="shared" si="250"/>
        <v>0</v>
      </c>
      <c r="AR179" s="460">
        <f t="shared" si="250"/>
        <v>0</v>
      </c>
      <c r="AS179" s="460">
        <f t="shared" si="250"/>
        <v>0</v>
      </c>
      <c r="AT179" s="460">
        <f t="shared" si="250"/>
        <v>0</v>
      </c>
      <c r="AU179" s="460">
        <f t="shared" si="250"/>
        <v>0</v>
      </c>
      <c r="AV179" s="460">
        <f t="shared" si="250"/>
        <v>0</v>
      </c>
      <c r="AW179" s="460">
        <f t="shared" si="250"/>
        <v>0</v>
      </c>
      <c r="AX179" s="460">
        <f t="shared" si="250"/>
        <v>0</v>
      </c>
      <c r="AY179" s="460">
        <f t="shared" si="250"/>
        <v>0</v>
      </c>
      <c r="AZ179" s="460">
        <f t="shared" si="250"/>
        <v>0</v>
      </c>
      <c r="BA179" s="460">
        <f t="shared" si="250"/>
        <v>0</v>
      </c>
      <c r="BB179" s="460">
        <f t="shared" si="250"/>
        <v>0</v>
      </c>
      <c r="BC179" s="460">
        <f t="shared" si="250"/>
        <v>0</v>
      </c>
      <c r="BD179" s="460">
        <f t="shared" si="250"/>
        <v>0</v>
      </c>
      <c r="BE179" s="460">
        <f t="shared" si="250"/>
        <v>0</v>
      </c>
      <c r="BF179" s="460">
        <f t="shared" si="250"/>
        <v>0</v>
      </c>
      <c r="BG179" s="460">
        <f t="shared" si="250"/>
        <v>0</v>
      </c>
      <c r="BH179" s="460">
        <f t="shared" si="250"/>
        <v>0</v>
      </c>
      <c r="BI179" s="460">
        <f t="shared" si="250"/>
        <v>0</v>
      </c>
      <c r="BJ179" s="460">
        <f t="shared" si="250"/>
        <v>0</v>
      </c>
      <c r="BK179" s="460">
        <f t="shared" si="250"/>
        <v>0</v>
      </c>
      <c r="BL179" s="460">
        <f t="shared" si="250"/>
        <v>0</v>
      </c>
      <c r="BM179" s="460">
        <f t="shared" si="250"/>
        <v>0</v>
      </c>
      <c r="BN179" s="460">
        <f t="shared" si="250"/>
        <v>0</v>
      </c>
      <c r="BO179" s="460">
        <f t="shared" si="250"/>
        <v>0</v>
      </c>
      <c r="BP179" s="460">
        <f t="shared" si="250"/>
        <v>0</v>
      </c>
    </row>
    <row r="180" spans="2:68" outlineLevel="1" x14ac:dyDescent="0.2">
      <c r="B180" s="20"/>
      <c r="C180" s="80"/>
      <c r="D180" s="66"/>
      <c r="E180" s="80"/>
      <c r="F180" s="80"/>
      <c r="G180" s="80"/>
      <c r="H180" s="80"/>
      <c r="I180" s="80"/>
      <c r="J180" s="80"/>
      <c r="K180" s="401"/>
      <c r="L180" s="436"/>
      <c r="M180" s="437"/>
      <c r="N180" s="401"/>
      <c r="O180" s="401"/>
      <c r="P180" s="401"/>
      <c r="Q180" s="401"/>
      <c r="R180" s="401"/>
      <c r="S180" s="401"/>
      <c r="T180" s="401"/>
      <c r="U180" s="401"/>
      <c r="V180" s="401"/>
      <c r="W180" s="401"/>
      <c r="X180" s="401"/>
      <c r="Y180" s="401"/>
      <c r="Z180" s="401"/>
      <c r="AA180" s="401"/>
      <c r="AB180" s="401"/>
      <c r="AC180" s="401"/>
      <c r="AD180" s="401"/>
      <c r="AE180" s="401"/>
      <c r="AF180" s="401"/>
      <c r="AG180" s="401"/>
      <c r="AH180" s="401"/>
      <c r="AI180" s="401"/>
      <c r="AJ180" s="401"/>
      <c r="AK180" s="401"/>
      <c r="AL180" s="401"/>
      <c r="AM180" s="401"/>
      <c r="AN180" s="401"/>
      <c r="AO180" s="401"/>
      <c r="AP180" s="401"/>
      <c r="AQ180" s="401"/>
      <c r="AR180" s="401"/>
      <c r="AS180" s="401"/>
      <c r="AT180" s="401"/>
      <c r="AU180" s="401"/>
      <c r="AV180" s="401"/>
      <c r="AW180" s="401"/>
      <c r="AX180" s="401"/>
      <c r="AY180" s="401"/>
      <c r="AZ180" s="401"/>
      <c r="BA180" s="401"/>
      <c r="BB180" s="401"/>
      <c r="BC180" s="401"/>
      <c r="BD180" s="401"/>
      <c r="BE180" s="401"/>
      <c r="BF180" s="401"/>
      <c r="BG180" s="401"/>
      <c r="BH180" s="401"/>
      <c r="BI180" s="401"/>
      <c r="BJ180" s="401"/>
      <c r="BK180" s="401"/>
      <c r="BL180" s="401"/>
      <c r="BM180" s="401"/>
      <c r="BN180" s="401"/>
      <c r="BO180" s="401"/>
      <c r="BP180" s="401"/>
    </row>
    <row r="181" spans="2:68" outlineLevel="1" x14ac:dyDescent="0.2">
      <c r="B181" s="20"/>
      <c r="C181" s="80"/>
      <c r="D181" s="66" t="s">
        <v>392</v>
      </c>
      <c r="E181" s="80"/>
      <c r="F181" s="80"/>
      <c r="G181" s="80"/>
      <c r="H181" s="80"/>
      <c r="I181" s="80"/>
      <c r="J181" s="80"/>
      <c r="K181" s="401"/>
      <c r="L181" s="436">
        <f>MIN(R181:BP181)</f>
        <v>0</v>
      </c>
      <c r="M181" s="437"/>
      <c r="N181" s="401"/>
      <c r="O181" s="401"/>
      <c r="P181" s="401"/>
      <c r="Q181" s="401"/>
      <c r="R181" s="401" t="str">
        <f t="shared" ref="R181:S181" si="251">IF(R171=0,"",R$15)</f>
        <v/>
      </c>
      <c r="S181" s="401" t="str">
        <f t="shared" si="251"/>
        <v/>
      </c>
      <c r="T181" s="401" t="str">
        <f>IF(T171=0,"",T$15)</f>
        <v/>
      </c>
      <c r="U181" s="401" t="str">
        <f>IF(U171=0,"",U$15)</f>
        <v/>
      </c>
      <c r="V181" s="401" t="str">
        <f t="shared" ref="V181:BP181" si="252">IF(V171=0,"",V$15)</f>
        <v/>
      </c>
      <c r="W181" s="401" t="str">
        <f>IF(W171=0,"",W$15)</f>
        <v/>
      </c>
      <c r="X181" s="401" t="str">
        <f t="shared" si="252"/>
        <v/>
      </c>
      <c r="Y181" s="401" t="str">
        <f t="shared" si="252"/>
        <v/>
      </c>
      <c r="Z181" s="401" t="str">
        <f t="shared" si="252"/>
        <v/>
      </c>
      <c r="AA181" s="401" t="str">
        <f t="shared" si="252"/>
        <v/>
      </c>
      <c r="AB181" s="401" t="str">
        <f t="shared" si="252"/>
        <v/>
      </c>
      <c r="AC181" s="401" t="str">
        <f t="shared" si="252"/>
        <v/>
      </c>
      <c r="AD181" s="401" t="str">
        <f t="shared" si="252"/>
        <v/>
      </c>
      <c r="AE181" s="401" t="str">
        <f t="shared" si="252"/>
        <v/>
      </c>
      <c r="AF181" s="401" t="str">
        <f t="shared" si="252"/>
        <v/>
      </c>
      <c r="AG181" s="401" t="str">
        <f t="shared" si="252"/>
        <v/>
      </c>
      <c r="AH181" s="401" t="str">
        <f t="shared" si="252"/>
        <v/>
      </c>
      <c r="AI181" s="401" t="str">
        <f t="shared" si="252"/>
        <v/>
      </c>
      <c r="AJ181" s="401" t="str">
        <f t="shared" si="252"/>
        <v/>
      </c>
      <c r="AK181" s="401" t="str">
        <f t="shared" si="252"/>
        <v/>
      </c>
      <c r="AL181" s="401" t="str">
        <f t="shared" si="252"/>
        <v/>
      </c>
      <c r="AM181" s="401" t="str">
        <f t="shared" si="252"/>
        <v/>
      </c>
      <c r="AN181" s="401" t="str">
        <f t="shared" si="252"/>
        <v/>
      </c>
      <c r="AO181" s="401" t="str">
        <f t="shared" si="252"/>
        <v/>
      </c>
      <c r="AP181" s="401" t="str">
        <f t="shared" si="252"/>
        <v/>
      </c>
      <c r="AQ181" s="401" t="str">
        <f t="shared" si="252"/>
        <v/>
      </c>
      <c r="AR181" s="401" t="str">
        <f t="shared" si="252"/>
        <v/>
      </c>
      <c r="AS181" s="401" t="str">
        <f t="shared" si="252"/>
        <v/>
      </c>
      <c r="AT181" s="401" t="str">
        <f t="shared" si="252"/>
        <v/>
      </c>
      <c r="AU181" s="401" t="str">
        <f t="shared" si="252"/>
        <v/>
      </c>
      <c r="AV181" s="401" t="str">
        <f t="shared" si="252"/>
        <v/>
      </c>
      <c r="AW181" s="401" t="str">
        <f t="shared" si="252"/>
        <v/>
      </c>
      <c r="AX181" s="401" t="str">
        <f t="shared" si="252"/>
        <v/>
      </c>
      <c r="AY181" s="401" t="str">
        <f t="shared" si="252"/>
        <v/>
      </c>
      <c r="AZ181" s="401" t="str">
        <f t="shared" si="252"/>
        <v/>
      </c>
      <c r="BA181" s="401" t="str">
        <f t="shared" si="252"/>
        <v/>
      </c>
      <c r="BB181" s="401" t="str">
        <f t="shared" si="252"/>
        <v/>
      </c>
      <c r="BC181" s="401" t="str">
        <f t="shared" si="252"/>
        <v/>
      </c>
      <c r="BD181" s="401" t="str">
        <f t="shared" si="252"/>
        <v/>
      </c>
      <c r="BE181" s="401" t="str">
        <f t="shared" si="252"/>
        <v/>
      </c>
      <c r="BF181" s="401" t="str">
        <f t="shared" si="252"/>
        <v/>
      </c>
      <c r="BG181" s="401" t="str">
        <f t="shared" si="252"/>
        <v/>
      </c>
      <c r="BH181" s="401" t="str">
        <f t="shared" si="252"/>
        <v/>
      </c>
      <c r="BI181" s="401" t="str">
        <f t="shared" si="252"/>
        <v/>
      </c>
      <c r="BJ181" s="401" t="str">
        <f t="shared" si="252"/>
        <v/>
      </c>
      <c r="BK181" s="401" t="str">
        <f t="shared" si="252"/>
        <v/>
      </c>
      <c r="BL181" s="401" t="str">
        <f t="shared" si="252"/>
        <v/>
      </c>
      <c r="BM181" s="401" t="str">
        <f t="shared" si="252"/>
        <v/>
      </c>
      <c r="BN181" s="401" t="str">
        <f t="shared" si="252"/>
        <v/>
      </c>
      <c r="BO181" s="401" t="str">
        <f t="shared" si="252"/>
        <v/>
      </c>
      <c r="BP181" s="401" t="str">
        <f t="shared" si="252"/>
        <v/>
      </c>
    </row>
    <row r="182" spans="2:68" outlineLevel="1" x14ac:dyDescent="0.2">
      <c r="B182" s="20"/>
      <c r="C182" s="80"/>
      <c r="D182" s="85"/>
      <c r="E182" s="80"/>
      <c r="F182" s="80"/>
      <c r="G182" s="80"/>
      <c r="H182" s="80"/>
      <c r="I182" s="80"/>
      <c r="J182" s="80"/>
      <c r="K182" s="79"/>
      <c r="L182" s="424"/>
      <c r="M182" s="425"/>
      <c r="N182" s="83"/>
      <c r="O182" s="83"/>
      <c r="P182" s="83"/>
      <c r="Q182" s="83"/>
      <c r="R182" s="35"/>
      <c r="S182" s="35"/>
      <c r="T182" s="35"/>
      <c r="U182" s="35"/>
      <c r="V182" s="35"/>
      <c r="W182" s="35"/>
      <c r="X182" s="35"/>
      <c r="Y182" s="35"/>
      <c r="Z182" s="35"/>
      <c r="AA182" s="35"/>
      <c r="AB182" s="35"/>
      <c r="AC182" s="35"/>
      <c r="AD182" s="35"/>
      <c r="AE182" s="35"/>
      <c r="AF182" s="35"/>
      <c r="AG182" s="35"/>
      <c r="AH182" s="35"/>
      <c r="AI182" s="35"/>
      <c r="AJ182" s="35"/>
      <c r="AK182" s="35"/>
      <c r="AL182" s="35"/>
      <c r="AM182" s="35"/>
      <c r="AN182" s="35"/>
      <c r="AO182" s="35"/>
      <c r="AP182" s="35"/>
      <c r="AQ182" s="35"/>
      <c r="AR182" s="35"/>
      <c r="AS182" s="35"/>
      <c r="AT182" s="35"/>
      <c r="AU182" s="35"/>
      <c r="AV182" s="35"/>
      <c r="AW182" s="35"/>
      <c r="AX182" s="35"/>
      <c r="AY182" s="35"/>
      <c r="AZ182" s="35"/>
      <c r="BA182" s="35"/>
      <c r="BB182" s="35"/>
      <c r="BC182" s="35"/>
      <c r="BD182" s="35"/>
      <c r="BE182" s="35"/>
      <c r="BF182" s="35"/>
      <c r="BG182" s="35"/>
      <c r="BH182" s="35"/>
      <c r="BI182" s="35"/>
      <c r="BJ182" s="35"/>
      <c r="BK182" s="35"/>
      <c r="BL182" s="35"/>
      <c r="BM182" s="35"/>
      <c r="BN182" s="35"/>
      <c r="BO182" s="35"/>
      <c r="BP182" s="35"/>
    </row>
    <row r="183" spans="2:68" outlineLevel="1" x14ac:dyDescent="0.2">
      <c r="B183" s="20"/>
      <c r="C183" s="80"/>
      <c r="D183" s="32" t="s">
        <v>140</v>
      </c>
      <c r="E183" s="80"/>
      <c r="F183" s="80"/>
      <c r="G183" s="80"/>
      <c r="H183" s="80"/>
      <c r="I183" s="80"/>
      <c r="J183" s="80"/>
      <c r="K183" s="401"/>
      <c r="L183" s="436"/>
      <c r="M183" s="437"/>
      <c r="N183" s="401"/>
      <c r="O183" s="401"/>
      <c r="P183" s="401"/>
      <c r="Q183" s="401"/>
      <c r="R183" s="401"/>
      <c r="S183" s="35"/>
      <c r="T183" s="35"/>
      <c r="U183" s="35"/>
      <c r="V183" s="35"/>
      <c r="W183" s="35"/>
      <c r="X183" s="35"/>
      <c r="Y183" s="35"/>
      <c r="Z183" s="35"/>
      <c r="AA183" s="35"/>
      <c r="AB183" s="35"/>
      <c r="AC183" s="35"/>
      <c r="AD183" s="35"/>
      <c r="AE183" s="35"/>
      <c r="AF183" s="35"/>
      <c r="AG183" s="35"/>
      <c r="AH183" s="35"/>
      <c r="AI183" s="35"/>
      <c r="AJ183" s="35"/>
      <c r="AK183" s="35"/>
      <c r="AL183" s="35"/>
      <c r="AM183" s="35"/>
      <c r="AN183" s="35"/>
      <c r="AO183" s="35"/>
      <c r="AP183" s="35"/>
      <c r="AQ183" s="35"/>
      <c r="AR183" s="35"/>
      <c r="AS183" s="35"/>
      <c r="AT183" s="35"/>
      <c r="AU183" s="35"/>
      <c r="AV183" s="35"/>
      <c r="AW183" s="35"/>
      <c r="AX183" s="35"/>
      <c r="AY183" s="35"/>
      <c r="AZ183" s="35"/>
      <c r="BA183" s="35"/>
      <c r="BB183" s="35"/>
      <c r="BC183" s="35"/>
      <c r="BD183" s="35"/>
      <c r="BE183" s="35"/>
      <c r="BF183" s="35"/>
      <c r="BG183" s="35"/>
      <c r="BH183" s="35"/>
      <c r="BI183" s="35"/>
      <c r="BJ183" s="35"/>
      <c r="BK183" s="35"/>
      <c r="BL183" s="35"/>
      <c r="BM183" s="35"/>
      <c r="BN183" s="35"/>
      <c r="BO183" s="35"/>
      <c r="BP183" s="35"/>
    </row>
    <row r="184" spans="2:68" outlineLevel="1" x14ac:dyDescent="0.2">
      <c r="B184" s="20"/>
      <c r="C184" s="80"/>
      <c r="D184" s="81" t="str">
        <f>Input!$D$278</f>
        <v>Safety risk</v>
      </c>
      <c r="E184" s="80"/>
      <c r="F184" s="80"/>
      <c r="G184" s="80"/>
      <c r="H184" s="80"/>
      <c r="I184" s="80"/>
      <c r="J184" s="80"/>
      <c r="K184" s="401"/>
      <c r="L184" s="436">
        <f t="shared" ref="L184:L213" si="253">SUM(R184:BP184)</f>
        <v>24551006.651312798</v>
      </c>
      <c r="M184" s="469"/>
      <c r="N184" s="470"/>
      <c r="O184" s="470"/>
      <c r="P184" s="470"/>
      <c r="Q184" s="470"/>
      <c r="R184" s="476">
        <f>Input!R278</f>
        <v>0</v>
      </c>
      <c r="S184" s="476">
        <f>Input!S278</f>
        <v>0</v>
      </c>
      <c r="T184" s="476">
        <f>Input!T278</f>
        <v>0</v>
      </c>
      <c r="U184" s="476">
        <f>Input!U278</f>
        <v>4357421.4794582743</v>
      </c>
      <c r="V184" s="476">
        <f>Input!V278</f>
        <v>4421187.5671172729</v>
      </c>
      <c r="W184" s="476">
        <f>Input!W278</f>
        <v>4451034.2730616657</v>
      </c>
      <c r="X184" s="476">
        <f>Input!X278</f>
        <v>4454116.4275256703</v>
      </c>
      <c r="Y184" s="476">
        <f>Input!Y278</f>
        <v>4521292.9927943535</v>
      </c>
      <c r="Z184" s="476">
        <f>Input!Z278</f>
        <v>2345953.9113555606</v>
      </c>
      <c r="AA184" s="476">
        <f>Input!AA278</f>
        <v>0</v>
      </c>
      <c r="AB184" s="476">
        <f>Input!AB278</f>
        <v>0</v>
      </c>
      <c r="AC184" s="476">
        <f>Input!AC278</f>
        <v>0</v>
      </c>
      <c r="AD184" s="476">
        <f>Input!AD278</f>
        <v>0</v>
      </c>
      <c r="AE184" s="476">
        <f>Input!AE278</f>
        <v>0</v>
      </c>
      <c r="AF184" s="476">
        <f>Input!AF278</f>
        <v>0</v>
      </c>
      <c r="AG184" s="476">
        <f>Input!AG278</f>
        <v>0</v>
      </c>
      <c r="AH184" s="476">
        <f>Input!AH278</f>
        <v>0</v>
      </c>
      <c r="AI184" s="476">
        <f>Input!AI278</f>
        <v>0</v>
      </c>
      <c r="AJ184" s="476">
        <f>Input!AJ278</f>
        <v>0</v>
      </c>
      <c r="AK184" s="476">
        <f>Input!AK278</f>
        <v>0</v>
      </c>
      <c r="AL184" s="476">
        <f>Input!AL278</f>
        <v>0</v>
      </c>
      <c r="AM184" s="476">
        <f>Input!AM278</f>
        <v>0</v>
      </c>
      <c r="AN184" s="476">
        <f>Input!AN278</f>
        <v>0</v>
      </c>
      <c r="AO184" s="476">
        <f>Input!AO278</f>
        <v>0</v>
      </c>
      <c r="AP184" s="476">
        <f>Input!AP278</f>
        <v>0</v>
      </c>
      <c r="AQ184" s="476">
        <f>Input!AQ278</f>
        <v>0</v>
      </c>
      <c r="AR184" s="476">
        <f>Input!AR278</f>
        <v>0</v>
      </c>
      <c r="AS184" s="476">
        <f>Input!AS278</f>
        <v>0</v>
      </c>
      <c r="AT184" s="476">
        <f>Input!AT278</f>
        <v>0</v>
      </c>
      <c r="AU184" s="476">
        <f>Input!AU278</f>
        <v>0</v>
      </c>
      <c r="AV184" s="476">
        <f>Input!AV278</f>
        <v>0</v>
      </c>
      <c r="AW184" s="476">
        <f>Input!AW278</f>
        <v>0</v>
      </c>
      <c r="AX184" s="476">
        <f>Input!AX278</f>
        <v>0</v>
      </c>
      <c r="AY184" s="476">
        <f>Input!AY278</f>
        <v>0</v>
      </c>
      <c r="AZ184" s="476">
        <f>Input!AZ278</f>
        <v>0</v>
      </c>
      <c r="BA184" s="476">
        <f>Input!BA278</f>
        <v>0</v>
      </c>
      <c r="BB184" s="476">
        <f>Input!BB278</f>
        <v>0</v>
      </c>
      <c r="BC184" s="476">
        <f>Input!BC278</f>
        <v>0</v>
      </c>
      <c r="BD184" s="476">
        <f>Input!BD278</f>
        <v>0</v>
      </c>
      <c r="BE184" s="476">
        <f>Input!BE278</f>
        <v>0</v>
      </c>
      <c r="BF184" s="476">
        <f>Input!BF278</f>
        <v>0</v>
      </c>
      <c r="BG184" s="476">
        <f>Input!BG278</f>
        <v>0</v>
      </c>
      <c r="BH184" s="476">
        <f>Input!BH278</f>
        <v>0</v>
      </c>
      <c r="BI184" s="476">
        <f>Input!BI278</f>
        <v>0</v>
      </c>
      <c r="BJ184" s="476">
        <f>Input!BJ278</f>
        <v>0</v>
      </c>
      <c r="BK184" s="476">
        <f>Input!BK278</f>
        <v>0</v>
      </c>
      <c r="BL184" s="476">
        <f>Input!BL278</f>
        <v>0</v>
      </c>
      <c r="BM184" s="476">
        <f>Input!BM278</f>
        <v>0</v>
      </c>
      <c r="BN184" s="476">
        <f>Input!BN278</f>
        <v>0</v>
      </c>
      <c r="BO184" s="476">
        <f>Input!BO278</f>
        <v>0</v>
      </c>
      <c r="BP184" s="476">
        <f>Input!BP278</f>
        <v>0</v>
      </c>
    </row>
    <row r="185" spans="2:68" outlineLevel="1" x14ac:dyDescent="0.2">
      <c r="B185" s="20"/>
      <c r="C185" s="80"/>
      <c r="D185" s="81" t="str">
        <f>Input!$D$279</f>
        <v>Fire risk</v>
      </c>
      <c r="E185" s="80"/>
      <c r="F185" s="80"/>
      <c r="G185" s="80"/>
      <c r="H185" s="80"/>
      <c r="I185" s="80"/>
      <c r="J185" s="80"/>
      <c r="K185" s="401"/>
      <c r="L185" s="436">
        <f t="shared" si="253"/>
        <v>0</v>
      </c>
      <c r="M185" s="469"/>
      <c r="N185" s="470"/>
      <c r="O185" s="470"/>
      <c r="P185" s="470"/>
      <c r="Q185" s="470"/>
      <c r="R185" s="476">
        <f>Input!R279</f>
        <v>0</v>
      </c>
      <c r="S185" s="476">
        <f>Input!S279</f>
        <v>0</v>
      </c>
      <c r="T185" s="476">
        <f>Input!T279</f>
        <v>0</v>
      </c>
      <c r="U185" s="476">
        <f>Input!U279</f>
        <v>0</v>
      </c>
      <c r="V185" s="476">
        <f>Input!V279</f>
        <v>0</v>
      </c>
      <c r="W185" s="476">
        <f>Input!W279</f>
        <v>0</v>
      </c>
      <c r="X185" s="476">
        <f>Input!X279</f>
        <v>0</v>
      </c>
      <c r="Y185" s="476">
        <f>Input!Y279</f>
        <v>0</v>
      </c>
      <c r="Z185" s="476">
        <f>Input!Z279</f>
        <v>0</v>
      </c>
      <c r="AA185" s="476">
        <f>Input!AA279</f>
        <v>0</v>
      </c>
      <c r="AB185" s="476">
        <f>Input!AB279</f>
        <v>0</v>
      </c>
      <c r="AC185" s="476">
        <f>Input!AC279</f>
        <v>0</v>
      </c>
      <c r="AD185" s="476">
        <f>Input!AD279</f>
        <v>0</v>
      </c>
      <c r="AE185" s="476">
        <f>Input!AE279</f>
        <v>0</v>
      </c>
      <c r="AF185" s="476">
        <f>Input!AF279</f>
        <v>0</v>
      </c>
      <c r="AG185" s="476">
        <f>Input!AG279</f>
        <v>0</v>
      </c>
      <c r="AH185" s="476">
        <f>Input!AH279</f>
        <v>0</v>
      </c>
      <c r="AI185" s="476">
        <f>Input!AI279</f>
        <v>0</v>
      </c>
      <c r="AJ185" s="476">
        <f>Input!AJ279</f>
        <v>0</v>
      </c>
      <c r="AK185" s="476">
        <f>Input!AK279</f>
        <v>0</v>
      </c>
      <c r="AL185" s="476">
        <f>Input!AL279</f>
        <v>0</v>
      </c>
      <c r="AM185" s="476">
        <f>Input!AM279</f>
        <v>0</v>
      </c>
      <c r="AN185" s="476">
        <f>Input!AN279</f>
        <v>0</v>
      </c>
      <c r="AO185" s="476">
        <f>Input!AO279</f>
        <v>0</v>
      </c>
      <c r="AP185" s="476">
        <f>Input!AP279</f>
        <v>0</v>
      </c>
      <c r="AQ185" s="476">
        <f>Input!AQ279</f>
        <v>0</v>
      </c>
      <c r="AR185" s="476">
        <f>Input!AR279</f>
        <v>0</v>
      </c>
      <c r="AS185" s="476">
        <f>Input!AS279</f>
        <v>0</v>
      </c>
      <c r="AT185" s="476">
        <f>Input!AT279</f>
        <v>0</v>
      </c>
      <c r="AU185" s="476">
        <f>Input!AU279</f>
        <v>0</v>
      </c>
      <c r="AV185" s="476">
        <f>Input!AV279</f>
        <v>0</v>
      </c>
      <c r="AW185" s="476">
        <f>Input!AW279</f>
        <v>0</v>
      </c>
      <c r="AX185" s="476">
        <f>Input!AX279</f>
        <v>0</v>
      </c>
      <c r="AY185" s="476">
        <f>Input!AY279</f>
        <v>0</v>
      </c>
      <c r="AZ185" s="476">
        <f>Input!AZ279</f>
        <v>0</v>
      </c>
      <c r="BA185" s="476">
        <f>Input!BA279</f>
        <v>0</v>
      </c>
      <c r="BB185" s="476">
        <f>Input!BB279</f>
        <v>0</v>
      </c>
      <c r="BC185" s="476">
        <f>Input!BC279</f>
        <v>0</v>
      </c>
      <c r="BD185" s="476">
        <f>Input!BD279</f>
        <v>0</v>
      </c>
      <c r="BE185" s="476">
        <f>Input!BE279</f>
        <v>0</v>
      </c>
      <c r="BF185" s="476">
        <f>Input!BF279</f>
        <v>0</v>
      </c>
      <c r="BG185" s="476">
        <f>Input!BG279</f>
        <v>0</v>
      </c>
      <c r="BH185" s="476">
        <f>Input!BH279</f>
        <v>0</v>
      </c>
      <c r="BI185" s="476">
        <f>Input!BI279</f>
        <v>0</v>
      </c>
      <c r="BJ185" s="476">
        <f>Input!BJ279</f>
        <v>0</v>
      </c>
      <c r="BK185" s="476">
        <f>Input!BK279</f>
        <v>0</v>
      </c>
      <c r="BL185" s="476">
        <f>Input!BL279</f>
        <v>0</v>
      </c>
      <c r="BM185" s="476">
        <f>Input!BM279</f>
        <v>0</v>
      </c>
      <c r="BN185" s="476">
        <f>Input!BN279</f>
        <v>0</v>
      </c>
      <c r="BO185" s="476">
        <f>Input!BO279</f>
        <v>0</v>
      </c>
      <c r="BP185" s="476">
        <f>Input!BP279</f>
        <v>0</v>
      </c>
    </row>
    <row r="186" spans="2:68" outlineLevel="1" x14ac:dyDescent="0.2">
      <c r="B186" s="20"/>
      <c r="C186" s="80"/>
      <c r="D186" s="81" t="str">
        <f>Input!$D$280</f>
        <v>Environment risk</v>
      </c>
      <c r="E186" s="80"/>
      <c r="F186" s="80"/>
      <c r="G186" s="80"/>
      <c r="H186" s="80"/>
      <c r="I186" s="80"/>
      <c r="J186" s="80"/>
      <c r="K186" s="401"/>
      <c r="L186" s="436">
        <f t="shared" si="253"/>
        <v>0</v>
      </c>
      <c r="M186" s="469"/>
      <c r="N186" s="470"/>
      <c r="O186" s="470"/>
      <c r="P186" s="470"/>
      <c r="Q186" s="470"/>
      <c r="R186" s="476">
        <f>Input!R280</f>
        <v>0</v>
      </c>
      <c r="S186" s="476">
        <f>Input!S280</f>
        <v>0</v>
      </c>
      <c r="T186" s="476">
        <f>Input!T280</f>
        <v>0</v>
      </c>
      <c r="U186" s="476">
        <f>Input!U280</f>
        <v>0</v>
      </c>
      <c r="V186" s="476">
        <f>Input!V280</f>
        <v>0</v>
      </c>
      <c r="W186" s="476">
        <f>Input!W280</f>
        <v>0</v>
      </c>
      <c r="X186" s="476">
        <f>Input!X280</f>
        <v>0</v>
      </c>
      <c r="Y186" s="476">
        <f>Input!Y280</f>
        <v>0</v>
      </c>
      <c r="Z186" s="476">
        <f>Input!Z280</f>
        <v>0</v>
      </c>
      <c r="AA186" s="476">
        <f>Input!AA280</f>
        <v>0</v>
      </c>
      <c r="AB186" s="476">
        <f>Input!AB280</f>
        <v>0</v>
      </c>
      <c r="AC186" s="476">
        <f>Input!AC280</f>
        <v>0</v>
      </c>
      <c r="AD186" s="476">
        <f>Input!AD280</f>
        <v>0</v>
      </c>
      <c r="AE186" s="476">
        <f>Input!AE280</f>
        <v>0</v>
      </c>
      <c r="AF186" s="476">
        <f>Input!AF280</f>
        <v>0</v>
      </c>
      <c r="AG186" s="476">
        <f>Input!AG280</f>
        <v>0</v>
      </c>
      <c r="AH186" s="476">
        <f>Input!AH280</f>
        <v>0</v>
      </c>
      <c r="AI186" s="476">
        <f>Input!AI280</f>
        <v>0</v>
      </c>
      <c r="AJ186" s="476">
        <f>Input!AJ280</f>
        <v>0</v>
      </c>
      <c r="AK186" s="476">
        <f>Input!AK280</f>
        <v>0</v>
      </c>
      <c r="AL186" s="476">
        <f>Input!AL280</f>
        <v>0</v>
      </c>
      <c r="AM186" s="476">
        <f>Input!AM280</f>
        <v>0</v>
      </c>
      <c r="AN186" s="476">
        <f>Input!AN280</f>
        <v>0</v>
      </c>
      <c r="AO186" s="476">
        <f>Input!AO280</f>
        <v>0</v>
      </c>
      <c r="AP186" s="476">
        <f>Input!AP280</f>
        <v>0</v>
      </c>
      <c r="AQ186" s="476">
        <f>Input!AQ280</f>
        <v>0</v>
      </c>
      <c r="AR186" s="476">
        <f>Input!AR280</f>
        <v>0</v>
      </c>
      <c r="AS186" s="476">
        <f>Input!AS280</f>
        <v>0</v>
      </c>
      <c r="AT186" s="476">
        <f>Input!AT280</f>
        <v>0</v>
      </c>
      <c r="AU186" s="476">
        <f>Input!AU280</f>
        <v>0</v>
      </c>
      <c r="AV186" s="476">
        <f>Input!AV280</f>
        <v>0</v>
      </c>
      <c r="AW186" s="476">
        <f>Input!AW280</f>
        <v>0</v>
      </c>
      <c r="AX186" s="476">
        <f>Input!AX280</f>
        <v>0</v>
      </c>
      <c r="AY186" s="476">
        <f>Input!AY280</f>
        <v>0</v>
      </c>
      <c r="AZ186" s="476">
        <f>Input!AZ280</f>
        <v>0</v>
      </c>
      <c r="BA186" s="476">
        <f>Input!BA280</f>
        <v>0</v>
      </c>
      <c r="BB186" s="476">
        <f>Input!BB280</f>
        <v>0</v>
      </c>
      <c r="BC186" s="476">
        <f>Input!BC280</f>
        <v>0</v>
      </c>
      <c r="BD186" s="476">
        <f>Input!BD280</f>
        <v>0</v>
      </c>
      <c r="BE186" s="476">
        <f>Input!BE280</f>
        <v>0</v>
      </c>
      <c r="BF186" s="476">
        <f>Input!BF280</f>
        <v>0</v>
      </c>
      <c r="BG186" s="476">
        <f>Input!BG280</f>
        <v>0</v>
      </c>
      <c r="BH186" s="476">
        <f>Input!BH280</f>
        <v>0</v>
      </c>
      <c r="BI186" s="476">
        <f>Input!BI280</f>
        <v>0</v>
      </c>
      <c r="BJ186" s="476">
        <f>Input!BJ280</f>
        <v>0</v>
      </c>
      <c r="BK186" s="476">
        <f>Input!BK280</f>
        <v>0</v>
      </c>
      <c r="BL186" s="476">
        <f>Input!BL280</f>
        <v>0</v>
      </c>
      <c r="BM186" s="476">
        <f>Input!BM280</f>
        <v>0</v>
      </c>
      <c r="BN186" s="476">
        <f>Input!BN280</f>
        <v>0</v>
      </c>
      <c r="BO186" s="476">
        <f>Input!BO280</f>
        <v>0</v>
      </c>
      <c r="BP186" s="476">
        <f>Input!BP280</f>
        <v>0</v>
      </c>
    </row>
    <row r="187" spans="2:68" outlineLevel="1" x14ac:dyDescent="0.2">
      <c r="B187" s="20"/>
      <c r="C187" s="80"/>
      <c r="D187" s="81" t="str">
        <f>Input!$D$281</f>
        <v>Network asset failure EUE</v>
      </c>
      <c r="E187" s="80"/>
      <c r="F187" s="80"/>
      <c r="G187" s="80"/>
      <c r="H187" s="80"/>
      <c r="I187" s="80"/>
      <c r="J187" s="80"/>
      <c r="K187" s="401"/>
      <c r="L187" s="436">
        <f t="shared" si="253"/>
        <v>10652719.644212171</v>
      </c>
      <c r="M187" s="469"/>
      <c r="N187" s="470"/>
      <c r="O187" s="470"/>
      <c r="P187" s="470"/>
      <c r="Q187" s="470"/>
      <c r="R187" s="476">
        <f>Input!R281</f>
        <v>0</v>
      </c>
      <c r="S187" s="476">
        <f>Input!S281</f>
        <v>0</v>
      </c>
      <c r="T187" s="476">
        <f>Input!T281</f>
        <v>0</v>
      </c>
      <c r="U187" s="476">
        <f>Input!U281</f>
        <v>1601352.3937009159</v>
      </c>
      <c r="V187" s="476">
        <f>Input!V281</f>
        <v>1624786.4309155978</v>
      </c>
      <c r="W187" s="476">
        <f>Input!W281</f>
        <v>1635755.0953501621</v>
      </c>
      <c r="X187" s="476">
        <f>Input!X281</f>
        <v>1636887.7871156838</v>
      </c>
      <c r="Y187" s="476">
        <f>Input!Y281</f>
        <v>1661575.1748519249</v>
      </c>
      <c r="Z187" s="476">
        <f>Input!Z281</f>
        <v>830787.58742596244</v>
      </c>
      <c r="AA187" s="476">
        <f>Input!AA281</f>
        <v>830787.58742596244</v>
      </c>
      <c r="AB187" s="476">
        <f>Input!AB281</f>
        <v>830787.58742596244</v>
      </c>
      <c r="AC187" s="476">
        <f>Input!AC281</f>
        <v>0</v>
      </c>
      <c r="AD187" s="476">
        <f>Input!AD281</f>
        <v>0</v>
      </c>
      <c r="AE187" s="476">
        <f>Input!AE281</f>
        <v>0</v>
      </c>
      <c r="AF187" s="476">
        <f>Input!AF281</f>
        <v>0</v>
      </c>
      <c r="AG187" s="476">
        <f>Input!AG281</f>
        <v>0</v>
      </c>
      <c r="AH187" s="476">
        <f>Input!AH281</f>
        <v>0</v>
      </c>
      <c r="AI187" s="476">
        <f>Input!AI281</f>
        <v>0</v>
      </c>
      <c r="AJ187" s="476">
        <f>Input!AJ281</f>
        <v>0</v>
      </c>
      <c r="AK187" s="476">
        <f>Input!AK281</f>
        <v>0</v>
      </c>
      <c r="AL187" s="476">
        <f>Input!AL281</f>
        <v>0</v>
      </c>
      <c r="AM187" s="476">
        <f>Input!AM281</f>
        <v>0</v>
      </c>
      <c r="AN187" s="476">
        <f>Input!AN281</f>
        <v>0</v>
      </c>
      <c r="AO187" s="476">
        <f>Input!AO281</f>
        <v>0</v>
      </c>
      <c r="AP187" s="476">
        <f>Input!AP281</f>
        <v>0</v>
      </c>
      <c r="AQ187" s="476">
        <f>Input!AQ281</f>
        <v>0</v>
      </c>
      <c r="AR187" s="476">
        <f>Input!AR281</f>
        <v>0</v>
      </c>
      <c r="AS187" s="476">
        <f>Input!AS281</f>
        <v>0</v>
      </c>
      <c r="AT187" s="476">
        <f>Input!AT281</f>
        <v>0</v>
      </c>
      <c r="AU187" s="476">
        <f>Input!AU281</f>
        <v>0</v>
      </c>
      <c r="AV187" s="476">
        <f>Input!AV281</f>
        <v>0</v>
      </c>
      <c r="AW187" s="476">
        <f>Input!AW281</f>
        <v>0</v>
      </c>
      <c r="AX187" s="476">
        <f>Input!AX281</f>
        <v>0</v>
      </c>
      <c r="AY187" s="476">
        <f>Input!AY281</f>
        <v>0</v>
      </c>
      <c r="AZ187" s="476">
        <f>Input!AZ281</f>
        <v>0</v>
      </c>
      <c r="BA187" s="476">
        <f>Input!BA281</f>
        <v>0</v>
      </c>
      <c r="BB187" s="476">
        <f>Input!BB281</f>
        <v>0</v>
      </c>
      <c r="BC187" s="476">
        <f>Input!BC281</f>
        <v>0</v>
      </c>
      <c r="BD187" s="476">
        <f>Input!BD281</f>
        <v>0</v>
      </c>
      <c r="BE187" s="476">
        <f>Input!BE281</f>
        <v>0</v>
      </c>
      <c r="BF187" s="476">
        <f>Input!BF281</f>
        <v>0</v>
      </c>
      <c r="BG187" s="476">
        <f>Input!BG281</f>
        <v>0</v>
      </c>
      <c r="BH187" s="476">
        <f>Input!BH281</f>
        <v>0</v>
      </c>
      <c r="BI187" s="476">
        <f>Input!BI281</f>
        <v>0</v>
      </c>
      <c r="BJ187" s="476">
        <f>Input!BJ281</f>
        <v>0</v>
      </c>
      <c r="BK187" s="476">
        <f>Input!BK281</f>
        <v>0</v>
      </c>
      <c r="BL187" s="476">
        <f>Input!BL281</f>
        <v>0</v>
      </c>
      <c r="BM187" s="476">
        <f>Input!BM281</f>
        <v>0</v>
      </c>
      <c r="BN187" s="476">
        <f>Input!BN281</f>
        <v>0</v>
      </c>
      <c r="BO187" s="476">
        <f>Input!BO281</f>
        <v>0</v>
      </c>
      <c r="BP187" s="476">
        <f>Input!BP281</f>
        <v>0</v>
      </c>
    </row>
    <row r="188" spans="2:68" outlineLevel="1" x14ac:dyDescent="0.2">
      <c r="B188" s="20"/>
      <c r="C188" s="80"/>
      <c r="D188" s="81" t="str">
        <f>Input!$D$282</f>
        <v>Reactive replacement cost</v>
      </c>
      <c r="E188" s="80"/>
      <c r="F188" s="80"/>
      <c r="G188" s="80"/>
      <c r="H188" s="80"/>
      <c r="I188" s="80"/>
      <c r="J188" s="80"/>
      <c r="K188" s="401"/>
      <c r="L188" s="436">
        <f t="shared" si="253"/>
        <v>0</v>
      </c>
      <c r="M188" s="469"/>
      <c r="N188" s="470"/>
      <c r="O188" s="470"/>
      <c r="P188" s="470"/>
      <c r="Q188" s="470"/>
      <c r="R188" s="476">
        <f>Input!R282</f>
        <v>0</v>
      </c>
      <c r="S188" s="476">
        <f>Input!S282</f>
        <v>0</v>
      </c>
      <c r="T188" s="476">
        <f>Input!T282</f>
        <v>0</v>
      </c>
      <c r="U188" s="476">
        <f>Input!U282</f>
        <v>0</v>
      </c>
      <c r="V188" s="476">
        <f>Input!V282</f>
        <v>0</v>
      </c>
      <c r="W188" s="476">
        <f>Input!W282</f>
        <v>0</v>
      </c>
      <c r="X188" s="476">
        <f>Input!X282</f>
        <v>0</v>
      </c>
      <c r="Y188" s="476">
        <f>Input!Y282</f>
        <v>0</v>
      </c>
      <c r="Z188" s="476">
        <f>Input!Z282</f>
        <v>0</v>
      </c>
      <c r="AA188" s="476">
        <f>Input!AA282</f>
        <v>0</v>
      </c>
      <c r="AB188" s="476">
        <f>Input!AB282</f>
        <v>0</v>
      </c>
      <c r="AC188" s="476">
        <f>Input!AC282</f>
        <v>0</v>
      </c>
      <c r="AD188" s="476">
        <f>Input!AD282</f>
        <v>0</v>
      </c>
      <c r="AE188" s="476">
        <f>Input!AE282</f>
        <v>0</v>
      </c>
      <c r="AF188" s="476">
        <f>Input!AF282</f>
        <v>0</v>
      </c>
      <c r="AG188" s="476">
        <f>Input!AG282</f>
        <v>0</v>
      </c>
      <c r="AH188" s="476">
        <f>Input!AH282</f>
        <v>0</v>
      </c>
      <c r="AI188" s="476">
        <f>Input!AI282</f>
        <v>0</v>
      </c>
      <c r="AJ188" s="476">
        <f>Input!AJ282</f>
        <v>0</v>
      </c>
      <c r="AK188" s="476">
        <f>Input!AK282</f>
        <v>0</v>
      </c>
      <c r="AL188" s="476">
        <f>Input!AL282</f>
        <v>0</v>
      </c>
      <c r="AM188" s="476">
        <f>Input!AM282</f>
        <v>0</v>
      </c>
      <c r="AN188" s="476">
        <f>Input!AN282</f>
        <v>0</v>
      </c>
      <c r="AO188" s="476">
        <f>Input!AO282</f>
        <v>0</v>
      </c>
      <c r="AP188" s="476">
        <f>Input!AP282</f>
        <v>0</v>
      </c>
      <c r="AQ188" s="476">
        <f>Input!AQ282</f>
        <v>0</v>
      </c>
      <c r="AR188" s="476">
        <f>Input!AR282</f>
        <v>0</v>
      </c>
      <c r="AS188" s="476">
        <f>Input!AS282</f>
        <v>0</v>
      </c>
      <c r="AT188" s="476">
        <f>Input!AT282</f>
        <v>0</v>
      </c>
      <c r="AU188" s="476">
        <f>Input!AU282</f>
        <v>0</v>
      </c>
      <c r="AV188" s="476">
        <f>Input!AV282</f>
        <v>0</v>
      </c>
      <c r="AW188" s="476">
        <f>Input!AW282</f>
        <v>0</v>
      </c>
      <c r="AX188" s="476">
        <f>Input!AX282</f>
        <v>0</v>
      </c>
      <c r="AY188" s="476">
        <f>Input!AY282</f>
        <v>0</v>
      </c>
      <c r="AZ188" s="476">
        <f>Input!AZ282</f>
        <v>0</v>
      </c>
      <c r="BA188" s="476">
        <f>Input!BA282</f>
        <v>0</v>
      </c>
      <c r="BB188" s="476">
        <f>Input!BB282</f>
        <v>0</v>
      </c>
      <c r="BC188" s="476">
        <f>Input!BC282</f>
        <v>0</v>
      </c>
      <c r="BD188" s="476">
        <f>Input!BD282</f>
        <v>0</v>
      </c>
      <c r="BE188" s="476">
        <f>Input!BE282</f>
        <v>0</v>
      </c>
      <c r="BF188" s="476">
        <f>Input!BF282</f>
        <v>0</v>
      </c>
      <c r="BG188" s="476">
        <f>Input!BG282</f>
        <v>0</v>
      </c>
      <c r="BH188" s="476">
        <f>Input!BH282</f>
        <v>0</v>
      </c>
      <c r="BI188" s="476">
        <f>Input!BI282</f>
        <v>0</v>
      </c>
      <c r="BJ188" s="476">
        <f>Input!BJ282</f>
        <v>0</v>
      </c>
      <c r="BK188" s="476">
        <f>Input!BK282</f>
        <v>0</v>
      </c>
      <c r="BL188" s="476">
        <f>Input!BL282</f>
        <v>0</v>
      </c>
      <c r="BM188" s="476">
        <f>Input!BM282</f>
        <v>0</v>
      </c>
      <c r="BN188" s="476">
        <f>Input!BN282</f>
        <v>0</v>
      </c>
      <c r="BO188" s="476">
        <f>Input!BO282</f>
        <v>0</v>
      </c>
      <c r="BP188" s="476">
        <f>Input!BP282</f>
        <v>0</v>
      </c>
    </row>
    <row r="189" spans="2:68" outlineLevel="1" x14ac:dyDescent="0.2">
      <c r="B189" s="20"/>
      <c r="C189" s="80"/>
      <c r="D189" s="81" t="str">
        <f>Input!$D$283</f>
        <v>3rd party property damage risk</v>
      </c>
      <c r="E189" s="80"/>
      <c r="F189" s="80"/>
      <c r="G189" s="80"/>
      <c r="H189" s="80"/>
      <c r="I189" s="80"/>
      <c r="J189" s="80"/>
      <c r="K189" s="401"/>
      <c r="L189" s="436">
        <f t="shared" si="253"/>
        <v>0</v>
      </c>
      <c r="M189" s="469"/>
      <c r="N189" s="470"/>
      <c r="O189" s="470"/>
      <c r="P189" s="470"/>
      <c r="Q189" s="470"/>
      <c r="R189" s="476">
        <f>Input!R283</f>
        <v>0</v>
      </c>
      <c r="S189" s="476">
        <f>Input!S283</f>
        <v>0</v>
      </c>
      <c r="T189" s="476">
        <f>Input!T283</f>
        <v>0</v>
      </c>
      <c r="U189" s="476">
        <f>Input!U283</f>
        <v>0</v>
      </c>
      <c r="V189" s="476">
        <f>Input!V283</f>
        <v>0</v>
      </c>
      <c r="W189" s="476">
        <f>Input!W283</f>
        <v>0</v>
      </c>
      <c r="X189" s="476">
        <f>Input!X283</f>
        <v>0</v>
      </c>
      <c r="Y189" s="476">
        <f>Input!Y283</f>
        <v>0</v>
      </c>
      <c r="Z189" s="476">
        <f>Input!Z283</f>
        <v>0</v>
      </c>
      <c r="AA189" s="476">
        <f>Input!AA283</f>
        <v>0</v>
      </c>
      <c r="AB189" s="476">
        <f>Input!AB283</f>
        <v>0</v>
      </c>
      <c r="AC189" s="476">
        <f>Input!AC283</f>
        <v>0</v>
      </c>
      <c r="AD189" s="476">
        <f>Input!AD283</f>
        <v>0</v>
      </c>
      <c r="AE189" s="476">
        <f>Input!AE283</f>
        <v>0</v>
      </c>
      <c r="AF189" s="476">
        <f>Input!AF283</f>
        <v>0</v>
      </c>
      <c r="AG189" s="476">
        <f>Input!AG283</f>
        <v>0</v>
      </c>
      <c r="AH189" s="476">
        <f>Input!AH283</f>
        <v>0</v>
      </c>
      <c r="AI189" s="476">
        <f>Input!AI283</f>
        <v>0</v>
      </c>
      <c r="AJ189" s="476">
        <f>Input!AJ283</f>
        <v>0</v>
      </c>
      <c r="AK189" s="476">
        <f>Input!AK283</f>
        <v>0</v>
      </c>
      <c r="AL189" s="476">
        <f>Input!AL283</f>
        <v>0</v>
      </c>
      <c r="AM189" s="476">
        <f>Input!AM283</f>
        <v>0</v>
      </c>
      <c r="AN189" s="476">
        <f>Input!AN283</f>
        <v>0</v>
      </c>
      <c r="AO189" s="476">
        <f>Input!AO283</f>
        <v>0</v>
      </c>
      <c r="AP189" s="476">
        <f>Input!AP283</f>
        <v>0</v>
      </c>
      <c r="AQ189" s="476">
        <f>Input!AQ283</f>
        <v>0</v>
      </c>
      <c r="AR189" s="476">
        <f>Input!AR283</f>
        <v>0</v>
      </c>
      <c r="AS189" s="476">
        <f>Input!AS283</f>
        <v>0</v>
      </c>
      <c r="AT189" s="476">
        <f>Input!AT283</f>
        <v>0</v>
      </c>
      <c r="AU189" s="476">
        <f>Input!AU283</f>
        <v>0</v>
      </c>
      <c r="AV189" s="476">
        <f>Input!AV283</f>
        <v>0</v>
      </c>
      <c r="AW189" s="476">
        <f>Input!AW283</f>
        <v>0</v>
      </c>
      <c r="AX189" s="476">
        <f>Input!AX283</f>
        <v>0</v>
      </c>
      <c r="AY189" s="476">
        <f>Input!AY283</f>
        <v>0</v>
      </c>
      <c r="AZ189" s="476">
        <f>Input!AZ283</f>
        <v>0</v>
      </c>
      <c r="BA189" s="476">
        <f>Input!BA283</f>
        <v>0</v>
      </c>
      <c r="BB189" s="476">
        <f>Input!BB283</f>
        <v>0</v>
      </c>
      <c r="BC189" s="476">
        <f>Input!BC283</f>
        <v>0</v>
      </c>
      <c r="BD189" s="476">
        <f>Input!BD283</f>
        <v>0</v>
      </c>
      <c r="BE189" s="476">
        <f>Input!BE283</f>
        <v>0</v>
      </c>
      <c r="BF189" s="476">
        <f>Input!BF283</f>
        <v>0</v>
      </c>
      <c r="BG189" s="476">
        <f>Input!BG283</f>
        <v>0</v>
      </c>
      <c r="BH189" s="476">
        <f>Input!BH283</f>
        <v>0</v>
      </c>
      <c r="BI189" s="476">
        <f>Input!BI283</f>
        <v>0</v>
      </c>
      <c r="BJ189" s="476">
        <f>Input!BJ283</f>
        <v>0</v>
      </c>
      <c r="BK189" s="476">
        <f>Input!BK283</f>
        <v>0</v>
      </c>
      <c r="BL189" s="476">
        <f>Input!BL283</f>
        <v>0</v>
      </c>
      <c r="BM189" s="476">
        <f>Input!BM283</f>
        <v>0</v>
      </c>
      <c r="BN189" s="476">
        <f>Input!BN283</f>
        <v>0</v>
      </c>
      <c r="BO189" s="476">
        <f>Input!BO283</f>
        <v>0</v>
      </c>
      <c r="BP189" s="476">
        <f>Input!BP283</f>
        <v>0</v>
      </c>
    </row>
    <row r="190" spans="2:68" outlineLevel="1" x14ac:dyDescent="0.2">
      <c r="B190" s="20"/>
      <c r="C190" s="80"/>
      <c r="D190" s="81" t="str">
        <f>Input!$D$284</f>
        <v>Construction EUE risk</v>
      </c>
      <c r="E190" s="80"/>
      <c r="F190" s="80"/>
      <c r="G190" s="80"/>
      <c r="H190" s="80"/>
      <c r="I190" s="80"/>
      <c r="J190" s="80"/>
      <c r="K190" s="401"/>
      <c r="L190" s="436">
        <f t="shared" si="253"/>
        <v>0</v>
      </c>
      <c r="M190" s="469"/>
      <c r="N190" s="470"/>
      <c r="O190" s="470"/>
      <c r="P190" s="470"/>
      <c r="Q190" s="470"/>
      <c r="R190" s="476">
        <f>Input!R284</f>
        <v>0</v>
      </c>
      <c r="S190" s="476">
        <f>Input!S284</f>
        <v>0</v>
      </c>
      <c r="T190" s="476">
        <f>Input!T284</f>
        <v>0</v>
      </c>
      <c r="U190" s="476">
        <f>Input!U284</f>
        <v>0</v>
      </c>
      <c r="V190" s="476">
        <f>Input!V284</f>
        <v>0</v>
      </c>
      <c r="W190" s="476">
        <f>Input!W284</f>
        <v>0</v>
      </c>
      <c r="X190" s="476">
        <f>Input!X284</f>
        <v>0</v>
      </c>
      <c r="Y190" s="476">
        <f>Input!Y284</f>
        <v>0</v>
      </c>
      <c r="Z190" s="476">
        <f>Input!Z284</f>
        <v>0</v>
      </c>
      <c r="AA190" s="476">
        <f>Input!AA284</f>
        <v>0</v>
      </c>
      <c r="AB190" s="476">
        <f>Input!AB284</f>
        <v>0</v>
      </c>
      <c r="AC190" s="476">
        <f>Input!AC284</f>
        <v>0</v>
      </c>
      <c r="AD190" s="476">
        <f>Input!AD284</f>
        <v>0</v>
      </c>
      <c r="AE190" s="476">
        <f>Input!AE284</f>
        <v>0</v>
      </c>
      <c r="AF190" s="476">
        <f>Input!AF284</f>
        <v>0</v>
      </c>
      <c r="AG190" s="476">
        <f>Input!AG284</f>
        <v>0</v>
      </c>
      <c r="AH190" s="476">
        <f>Input!AH284</f>
        <v>0</v>
      </c>
      <c r="AI190" s="476">
        <f>Input!AI284</f>
        <v>0</v>
      </c>
      <c r="AJ190" s="476">
        <f>Input!AJ284</f>
        <v>0</v>
      </c>
      <c r="AK190" s="476">
        <f>Input!AK284</f>
        <v>0</v>
      </c>
      <c r="AL190" s="476">
        <f>Input!AL284</f>
        <v>0</v>
      </c>
      <c r="AM190" s="476">
        <f>Input!AM284</f>
        <v>0</v>
      </c>
      <c r="AN190" s="476">
        <f>Input!AN284</f>
        <v>0</v>
      </c>
      <c r="AO190" s="476">
        <f>Input!AO284</f>
        <v>0</v>
      </c>
      <c r="AP190" s="476">
        <f>Input!AP284</f>
        <v>0</v>
      </c>
      <c r="AQ190" s="476">
        <f>Input!AQ284</f>
        <v>0</v>
      </c>
      <c r="AR190" s="476">
        <f>Input!AR284</f>
        <v>0</v>
      </c>
      <c r="AS190" s="476">
        <f>Input!AS284</f>
        <v>0</v>
      </c>
      <c r="AT190" s="476">
        <f>Input!AT284</f>
        <v>0</v>
      </c>
      <c r="AU190" s="476">
        <f>Input!AU284</f>
        <v>0</v>
      </c>
      <c r="AV190" s="476">
        <f>Input!AV284</f>
        <v>0</v>
      </c>
      <c r="AW190" s="476">
        <f>Input!AW284</f>
        <v>0</v>
      </c>
      <c r="AX190" s="476">
        <f>Input!AX284</f>
        <v>0</v>
      </c>
      <c r="AY190" s="476">
        <f>Input!AY284</f>
        <v>0</v>
      </c>
      <c r="AZ190" s="476">
        <f>Input!AZ284</f>
        <v>0</v>
      </c>
      <c r="BA190" s="476">
        <f>Input!BA284</f>
        <v>0</v>
      </c>
      <c r="BB190" s="476">
        <f>Input!BB284</f>
        <v>0</v>
      </c>
      <c r="BC190" s="476">
        <f>Input!BC284</f>
        <v>0</v>
      </c>
      <c r="BD190" s="476">
        <f>Input!BD284</f>
        <v>0</v>
      </c>
      <c r="BE190" s="476">
        <f>Input!BE284</f>
        <v>0</v>
      </c>
      <c r="BF190" s="476">
        <f>Input!BF284</f>
        <v>0</v>
      </c>
      <c r="BG190" s="476">
        <f>Input!BG284</f>
        <v>0</v>
      </c>
      <c r="BH190" s="476">
        <f>Input!BH284</f>
        <v>0</v>
      </c>
      <c r="BI190" s="476">
        <f>Input!BI284</f>
        <v>0</v>
      </c>
      <c r="BJ190" s="476">
        <f>Input!BJ284</f>
        <v>0</v>
      </c>
      <c r="BK190" s="476">
        <f>Input!BK284</f>
        <v>0</v>
      </c>
      <c r="BL190" s="476">
        <f>Input!BL284</f>
        <v>0</v>
      </c>
      <c r="BM190" s="476">
        <f>Input!BM284</f>
        <v>0</v>
      </c>
      <c r="BN190" s="476">
        <f>Input!BN284</f>
        <v>0</v>
      </c>
      <c r="BO190" s="476">
        <f>Input!BO284</f>
        <v>0</v>
      </c>
      <c r="BP190" s="476">
        <f>Input!BP284</f>
        <v>0</v>
      </c>
    </row>
    <row r="191" spans="2:68" outlineLevel="1" x14ac:dyDescent="0.2">
      <c r="B191" s="20"/>
      <c r="C191" s="80"/>
      <c r="D191" s="81" t="str">
        <f>Input!$D$285</f>
        <v>Carbon emissions</v>
      </c>
      <c r="E191" s="80"/>
      <c r="F191" s="80"/>
      <c r="G191" s="80"/>
      <c r="H191" s="80"/>
      <c r="I191" s="80"/>
      <c r="J191" s="80"/>
      <c r="K191" s="401"/>
      <c r="L191" s="436">
        <f t="shared" si="253"/>
        <v>0</v>
      </c>
      <c r="M191" s="469"/>
      <c r="N191" s="470"/>
      <c r="O191" s="470"/>
      <c r="P191" s="470"/>
      <c r="Q191" s="470"/>
      <c r="R191" s="476">
        <f>Input!R285</f>
        <v>0</v>
      </c>
      <c r="S191" s="476">
        <f>Input!S285</f>
        <v>0</v>
      </c>
      <c r="T191" s="476">
        <f>Input!T285</f>
        <v>0</v>
      </c>
      <c r="U191" s="476">
        <f>Input!U285</f>
        <v>0</v>
      </c>
      <c r="V191" s="476">
        <f>Input!V285</f>
        <v>0</v>
      </c>
      <c r="W191" s="476">
        <f>Input!W285</f>
        <v>0</v>
      </c>
      <c r="X191" s="476">
        <f>Input!X285</f>
        <v>0</v>
      </c>
      <c r="Y191" s="476">
        <f>Input!Y285</f>
        <v>0</v>
      </c>
      <c r="Z191" s="476">
        <f>Input!Z285</f>
        <v>0</v>
      </c>
      <c r="AA191" s="476">
        <f>Input!AA285</f>
        <v>0</v>
      </c>
      <c r="AB191" s="476">
        <f>Input!AB285</f>
        <v>0</v>
      </c>
      <c r="AC191" s="476">
        <f>Input!AC285</f>
        <v>0</v>
      </c>
      <c r="AD191" s="476">
        <f>Input!AD285</f>
        <v>0</v>
      </c>
      <c r="AE191" s="476">
        <f>Input!AE285</f>
        <v>0</v>
      </c>
      <c r="AF191" s="476">
        <f>Input!AF285</f>
        <v>0</v>
      </c>
      <c r="AG191" s="476">
        <f>Input!AG285</f>
        <v>0</v>
      </c>
      <c r="AH191" s="476">
        <f>Input!AH285</f>
        <v>0</v>
      </c>
      <c r="AI191" s="476">
        <f>Input!AI285</f>
        <v>0</v>
      </c>
      <c r="AJ191" s="476">
        <f>Input!AJ285</f>
        <v>0</v>
      </c>
      <c r="AK191" s="476">
        <f>Input!AK285</f>
        <v>0</v>
      </c>
      <c r="AL191" s="476">
        <f>Input!AL285</f>
        <v>0</v>
      </c>
      <c r="AM191" s="476">
        <f>Input!AM285</f>
        <v>0</v>
      </c>
      <c r="AN191" s="476">
        <f>Input!AN285</f>
        <v>0</v>
      </c>
      <c r="AO191" s="476">
        <f>Input!AO285</f>
        <v>0</v>
      </c>
      <c r="AP191" s="476">
        <f>Input!AP285</f>
        <v>0</v>
      </c>
      <c r="AQ191" s="476">
        <f>Input!AQ285</f>
        <v>0</v>
      </c>
      <c r="AR191" s="476">
        <f>Input!AR285</f>
        <v>0</v>
      </c>
      <c r="AS191" s="476">
        <f>Input!AS285</f>
        <v>0</v>
      </c>
      <c r="AT191" s="476">
        <f>Input!AT285</f>
        <v>0</v>
      </c>
      <c r="AU191" s="476">
        <f>Input!AU285</f>
        <v>0</v>
      </c>
      <c r="AV191" s="476">
        <f>Input!AV285</f>
        <v>0</v>
      </c>
      <c r="AW191" s="476">
        <f>Input!AW285</f>
        <v>0</v>
      </c>
      <c r="AX191" s="476">
        <f>Input!AX285</f>
        <v>0</v>
      </c>
      <c r="AY191" s="476">
        <f>Input!AY285</f>
        <v>0</v>
      </c>
      <c r="AZ191" s="476">
        <f>Input!AZ285</f>
        <v>0</v>
      </c>
      <c r="BA191" s="476">
        <f>Input!BA285</f>
        <v>0</v>
      </c>
      <c r="BB191" s="476">
        <f>Input!BB285</f>
        <v>0</v>
      </c>
      <c r="BC191" s="476">
        <f>Input!BC285</f>
        <v>0</v>
      </c>
      <c r="BD191" s="476">
        <f>Input!BD285</f>
        <v>0</v>
      </c>
      <c r="BE191" s="476">
        <f>Input!BE285</f>
        <v>0</v>
      </c>
      <c r="BF191" s="476">
        <f>Input!BF285</f>
        <v>0</v>
      </c>
      <c r="BG191" s="476">
        <f>Input!BG285</f>
        <v>0</v>
      </c>
      <c r="BH191" s="476">
        <f>Input!BH285</f>
        <v>0</v>
      </c>
      <c r="BI191" s="476">
        <f>Input!BI285</f>
        <v>0</v>
      </c>
      <c r="BJ191" s="476">
        <f>Input!BJ285</f>
        <v>0</v>
      </c>
      <c r="BK191" s="476">
        <f>Input!BK285</f>
        <v>0</v>
      </c>
      <c r="BL191" s="476">
        <f>Input!BL285</f>
        <v>0</v>
      </c>
      <c r="BM191" s="476">
        <f>Input!BM285</f>
        <v>0</v>
      </c>
      <c r="BN191" s="476">
        <f>Input!BN285</f>
        <v>0</v>
      </c>
      <c r="BO191" s="476">
        <f>Input!BO285</f>
        <v>0</v>
      </c>
      <c r="BP191" s="476">
        <f>Input!BP285</f>
        <v>0</v>
      </c>
    </row>
    <row r="192" spans="2:68" outlineLevel="1" x14ac:dyDescent="0.2">
      <c r="B192" s="20"/>
      <c r="C192" s="80"/>
      <c r="D192" s="81" t="str">
        <f>Input!$D$286</f>
        <v>Protective security risk</v>
      </c>
      <c r="E192" s="80"/>
      <c r="F192" s="80"/>
      <c r="G192" s="80"/>
      <c r="H192" s="80"/>
      <c r="I192" s="80"/>
      <c r="J192" s="80"/>
      <c r="K192" s="401"/>
      <c r="L192" s="436">
        <f t="shared" si="253"/>
        <v>0</v>
      </c>
      <c r="M192" s="469"/>
      <c r="N192" s="470"/>
      <c r="O192" s="470"/>
      <c r="P192" s="470"/>
      <c r="Q192" s="470"/>
      <c r="R192" s="476">
        <f>Input!R286</f>
        <v>0</v>
      </c>
      <c r="S192" s="476">
        <f>Input!S286</f>
        <v>0</v>
      </c>
      <c r="T192" s="476">
        <f>Input!T286</f>
        <v>0</v>
      </c>
      <c r="U192" s="476">
        <f>Input!U286</f>
        <v>0</v>
      </c>
      <c r="V192" s="476">
        <f>Input!V286</f>
        <v>0</v>
      </c>
      <c r="W192" s="476">
        <f>Input!W286</f>
        <v>0</v>
      </c>
      <c r="X192" s="476">
        <f>Input!X286</f>
        <v>0</v>
      </c>
      <c r="Y192" s="476">
        <f>Input!Y286</f>
        <v>0</v>
      </c>
      <c r="Z192" s="476">
        <f>Input!Z286</f>
        <v>0</v>
      </c>
      <c r="AA192" s="476">
        <f>Input!AA286</f>
        <v>0</v>
      </c>
      <c r="AB192" s="476">
        <f>Input!AB286</f>
        <v>0</v>
      </c>
      <c r="AC192" s="476">
        <f>Input!AC286</f>
        <v>0</v>
      </c>
      <c r="AD192" s="476">
        <f>Input!AD286</f>
        <v>0</v>
      </c>
      <c r="AE192" s="476">
        <f>Input!AE286</f>
        <v>0</v>
      </c>
      <c r="AF192" s="476">
        <f>Input!AF286</f>
        <v>0</v>
      </c>
      <c r="AG192" s="476">
        <f>Input!AG286</f>
        <v>0</v>
      </c>
      <c r="AH192" s="476">
        <f>Input!AH286</f>
        <v>0</v>
      </c>
      <c r="AI192" s="476">
        <f>Input!AI286</f>
        <v>0</v>
      </c>
      <c r="AJ192" s="476">
        <f>Input!AJ286</f>
        <v>0</v>
      </c>
      <c r="AK192" s="476">
        <f>Input!AK286</f>
        <v>0</v>
      </c>
      <c r="AL192" s="476">
        <f>Input!AL286</f>
        <v>0</v>
      </c>
      <c r="AM192" s="476">
        <f>Input!AM286</f>
        <v>0</v>
      </c>
      <c r="AN192" s="476">
        <f>Input!AN286</f>
        <v>0</v>
      </c>
      <c r="AO192" s="476">
        <f>Input!AO286</f>
        <v>0</v>
      </c>
      <c r="AP192" s="476">
        <f>Input!AP286</f>
        <v>0</v>
      </c>
      <c r="AQ192" s="476">
        <f>Input!AQ286</f>
        <v>0</v>
      </c>
      <c r="AR192" s="476">
        <f>Input!AR286</f>
        <v>0</v>
      </c>
      <c r="AS192" s="476">
        <f>Input!AS286</f>
        <v>0</v>
      </c>
      <c r="AT192" s="476">
        <f>Input!AT286</f>
        <v>0</v>
      </c>
      <c r="AU192" s="476">
        <f>Input!AU286</f>
        <v>0</v>
      </c>
      <c r="AV192" s="476">
        <f>Input!AV286</f>
        <v>0</v>
      </c>
      <c r="AW192" s="476">
        <f>Input!AW286</f>
        <v>0</v>
      </c>
      <c r="AX192" s="476">
        <f>Input!AX286</f>
        <v>0</v>
      </c>
      <c r="AY192" s="476">
        <f>Input!AY286</f>
        <v>0</v>
      </c>
      <c r="AZ192" s="476">
        <f>Input!AZ286</f>
        <v>0</v>
      </c>
      <c r="BA192" s="476">
        <f>Input!BA286</f>
        <v>0</v>
      </c>
      <c r="BB192" s="476">
        <f>Input!BB286</f>
        <v>0</v>
      </c>
      <c r="BC192" s="476">
        <f>Input!BC286</f>
        <v>0</v>
      </c>
      <c r="BD192" s="476">
        <f>Input!BD286</f>
        <v>0</v>
      </c>
      <c r="BE192" s="476">
        <f>Input!BE286</f>
        <v>0</v>
      </c>
      <c r="BF192" s="476">
        <f>Input!BF286</f>
        <v>0</v>
      </c>
      <c r="BG192" s="476">
        <f>Input!BG286</f>
        <v>0</v>
      </c>
      <c r="BH192" s="476">
        <f>Input!BH286</f>
        <v>0</v>
      </c>
      <c r="BI192" s="476">
        <f>Input!BI286</f>
        <v>0</v>
      </c>
      <c r="BJ192" s="476">
        <f>Input!BJ286</f>
        <v>0</v>
      </c>
      <c r="BK192" s="476">
        <f>Input!BK286</f>
        <v>0</v>
      </c>
      <c r="BL192" s="476">
        <f>Input!BL286</f>
        <v>0</v>
      </c>
      <c r="BM192" s="476">
        <f>Input!BM286</f>
        <v>0</v>
      </c>
      <c r="BN192" s="476">
        <f>Input!BN286</f>
        <v>0</v>
      </c>
      <c r="BO192" s="476">
        <f>Input!BO286</f>
        <v>0</v>
      </c>
      <c r="BP192" s="476">
        <f>Input!BP286</f>
        <v>0</v>
      </c>
    </row>
    <row r="193" spans="2:68" outlineLevel="1" x14ac:dyDescent="0.2">
      <c r="B193" s="20"/>
      <c r="C193" s="80"/>
      <c r="D193" s="402" t="str">
        <f>Input!$D$287</f>
        <v>Cost to respond to crisis</v>
      </c>
      <c r="E193" s="80"/>
      <c r="F193" s="80"/>
      <c r="G193" s="80"/>
      <c r="H193" s="80"/>
      <c r="I193" s="80"/>
      <c r="J193" s="80"/>
      <c r="K193" s="401"/>
      <c r="L193" s="436">
        <f t="shared" si="253"/>
        <v>0</v>
      </c>
      <c r="M193" s="469"/>
      <c r="N193" s="470"/>
      <c r="O193" s="470"/>
      <c r="P193" s="470"/>
      <c r="Q193" s="470"/>
      <c r="R193" s="476">
        <f>Input!R287</f>
        <v>0</v>
      </c>
      <c r="S193" s="476">
        <f>Input!S287</f>
        <v>0</v>
      </c>
      <c r="T193" s="476">
        <f>Input!T287</f>
        <v>0</v>
      </c>
      <c r="U193" s="476">
        <f>Input!U287</f>
        <v>0</v>
      </c>
      <c r="V193" s="476">
        <f>Input!V287</f>
        <v>0</v>
      </c>
      <c r="W193" s="476">
        <f>Input!W287</f>
        <v>0</v>
      </c>
      <c r="X193" s="476">
        <f>Input!X287</f>
        <v>0</v>
      </c>
      <c r="Y193" s="476">
        <f>Input!Y287</f>
        <v>0</v>
      </c>
      <c r="Z193" s="476">
        <f>Input!Z287</f>
        <v>0</v>
      </c>
      <c r="AA193" s="476">
        <f>Input!AA287</f>
        <v>0</v>
      </c>
      <c r="AB193" s="476">
        <f>Input!AB287</f>
        <v>0</v>
      </c>
      <c r="AC193" s="476">
        <f>Input!AC287</f>
        <v>0</v>
      </c>
      <c r="AD193" s="476">
        <f>Input!AD287</f>
        <v>0</v>
      </c>
      <c r="AE193" s="476">
        <f>Input!AE287</f>
        <v>0</v>
      </c>
      <c r="AF193" s="476">
        <f>Input!AF287</f>
        <v>0</v>
      </c>
      <c r="AG193" s="476">
        <f>Input!AG287</f>
        <v>0</v>
      </c>
      <c r="AH193" s="476">
        <f>Input!AH287</f>
        <v>0</v>
      </c>
      <c r="AI193" s="476">
        <f>Input!AI287</f>
        <v>0</v>
      </c>
      <c r="AJ193" s="476">
        <f>Input!AJ287</f>
        <v>0</v>
      </c>
      <c r="AK193" s="476">
        <f>Input!AK287</f>
        <v>0</v>
      </c>
      <c r="AL193" s="476">
        <f>Input!AL287</f>
        <v>0</v>
      </c>
      <c r="AM193" s="476">
        <f>Input!AM287</f>
        <v>0</v>
      </c>
      <c r="AN193" s="476">
        <f>Input!AN287</f>
        <v>0</v>
      </c>
      <c r="AO193" s="476">
        <f>Input!AO287</f>
        <v>0</v>
      </c>
      <c r="AP193" s="476">
        <f>Input!AP287</f>
        <v>0</v>
      </c>
      <c r="AQ193" s="476">
        <f>Input!AQ287</f>
        <v>0</v>
      </c>
      <c r="AR193" s="476">
        <f>Input!AR287</f>
        <v>0</v>
      </c>
      <c r="AS193" s="476">
        <f>Input!AS287</f>
        <v>0</v>
      </c>
      <c r="AT193" s="476">
        <f>Input!AT287</f>
        <v>0</v>
      </c>
      <c r="AU193" s="476">
        <f>Input!AU287</f>
        <v>0</v>
      </c>
      <c r="AV193" s="476">
        <f>Input!AV287</f>
        <v>0</v>
      </c>
      <c r="AW193" s="476">
        <f>Input!AW287</f>
        <v>0</v>
      </c>
      <c r="AX193" s="476">
        <f>Input!AX287</f>
        <v>0</v>
      </c>
      <c r="AY193" s="476">
        <f>Input!AY287</f>
        <v>0</v>
      </c>
      <c r="AZ193" s="476">
        <f>Input!AZ287</f>
        <v>0</v>
      </c>
      <c r="BA193" s="476">
        <f>Input!BA287</f>
        <v>0</v>
      </c>
      <c r="BB193" s="476">
        <f>Input!BB287</f>
        <v>0</v>
      </c>
      <c r="BC193" s="476">
        <f>Input!BC287</f>
        <v>0</v>
      </c>
      <c r="BD193" s="476">
        <f>Input!BD287</f>
        <v>0</v>
      </c>
      <c r="BE193" s="476">
        <f>Input!BE287</f>
        <v>0</v>
      </c>
      <c r="BF193" s="476">
        <f>Input!BF287</f>
        <v>0</v>
      </c>
      <c r="BG193" s="476">
        <f>Input!BG287</f>
        <v>0</v>
      </c>
      <c r="BH193" s="476">
        <f>Input!BH287</f>
        <v>0</v>
      </c>
      <c r="BI193" s="476">
        <f>Input!BI287</f>
        <v>0</v>
      </c>
      <c r="BJ193" s="476">
        <f>Input!BJ287</f>
        <v>0</v>
      </c>
      <c r="BK193" s="476">
        <f>Input!BK287</f>
        <v>0</v>
      </c>
      <c r="BL193" s="476">
        <f>Input!BL287</f>
        <v>0</v>
      </c>
      <c r="BM193" s="476">
        <f>Input!BM287</f>
        <v>0</v>
      </c>
      <c r="BN193" s="476">
        <f>Input!BN287</f>
        <v>0</v>
      </c>
      <c r="BO193" s="476">
        <f>Input!BO287</f>
        <v>0</v>
      </c>
      <c r="BP193" s="476">
        <f>Input!BP287</f>
        <v>0</v>
      </c>
    </row>
    <row r="194" spans="2:68" outlineLevel="1" x14ac:dyDescent="0.2">
      <c r="B194" s="20"/>
      <c r="C194" s="80"/>
      <c r="D194" s="402" t="str">
        <f>Input!$D$288</f>
        <v>Loss productive time</v>
      </c>
      <c r="E194" s="80"/>
      <c r="F194" s="80"/>
      <c r="G194" s="80"/>
      <c r="H194" s="80"/>
      <c r="I194" s="80"/>
      <c r="J194" s="80"/>
      <c r="K194" s="401"/>
      <c r="L194" s="436">
        <f t="shared" si="253"/>
        <v>0</v>
      </c>
      <c r="M194" s="469"/>
      <c r="N194" s="470"/>
      <c r="O194" s="470"/>
      <c r="P194" s="470"/>
      <c r="Q194" s="470"/>
      <c r="R194" s="476">
        <f>Input!R288</f>
        <v>0</v>
      </c>
      <c r="S194" s="476">
        <f>Input!S288</f>
        <v>0</v>
      </c>
      <c r="T194" s="476">
        <f>Input!T288</f>
        <v>0</v>
      </c>
      <c r="U194" s="476">
        <f>Input!U288</f>
        <v>0</v>
      </c>
      <c r="V194" s="476">
        <f>Input!V288</f>
        <v>0</v>
      </c>
      <c r="W194" s="476">
        <f>Input!W288</f>
        <v>0</v>
      </c>
      <c r="X194" s="476">
        <f>Input!X288</f>
        <v>0</v>
      </c>
      <c r="Y194" s="476">
        <f>Input!Y288</f>
        <v>0</v>
      </c>
      <c r="Z194" s="476">
        <f>Input!Z288</f>
        <v>0</v>
      </c>
      <c r="AA194" s="476">
        <f>Input!AA288</f>
        <v>0</v>
      </c>
      <c r="AB194" s="476">
        <f>Input!AB288</f>
        <v>0</v>
      </c>
      <c r="AC194" s="476">
        <f>Input!AC288</f>
        <v>0</v>
      </c>
      <c r="AD194" s="476">
        <f>Input!AD288</f>
        <v>0</v>
      </c>
      <c r="AE194" s="476">
        <f>Input!AE288</f>
        <v>0</v>
      </c>
      <c r="AF194" s="476">
        <f>Input!AF288</f>
        <v>0</v>
      </c>
      <c r="AG194" s="476">
        <f>Input!AG288</f>
        <v>0</v>
      </c>
      <c r="AH194" s="476">
        <f>Input!AH288</f>
        <v>0</v>
      </c>
      <c r="AI194" s="476">
        <f>Input!AI288</f>
        <v>0</v>
      </c>
      <c r="AJ194" s="476">
        <f>Input!AJ288</f>
        <v>0</v>
      </c>
      <c r="AK194" s="476">
        <f>Input!AK288</f>
        <v>0</v>
      </c>
      <c r="AL194" s="476">
        <f>Input!AL288</f>
        <v>0</v>
      </c>
      <c r="AM194" s="476">
        <f>Input!AM288</f>
        <v>0</v>
      </c>
      <c r="AN194" s="476">
        <f>Input!AN288</f>
        <v>0</v>
      </c>
      <c r="AO194" s="476">
        <f>Input!AO288</f>
        <v>0</v>
      </c>
      <c r="AP194" s="476">
        <f>Input!AP288</f>
        <v>0</v>
      </c>
      <c r="AQ194" s="476">
        <f>Input!AQ288</f>
        <v>0</v>
      </c>
      <c r="AR194" s="476">
        <f>Input!AR288</f>
        <v>0</v>
      </c>
      <c r="AS194" s="476">
        <f>Input!AS288</f>
        <v>0</v>
      </c>
      <c r="AT194" s="476">
        <f>Input!AT288</f>
        <v>0</v>
      </c>
      <c r="AU194" s="476">
        <f>Input!AU288</f>
        <v>0</v>
      </c>
      <c r="AV194" s="476">
        <f>Input!AV288</f>
        <v>0</v>
      </c>
      <c r="AW194" s="476">
        <f>Input!AW288</f>
        <v>0</v>
      </c>
      <c r="AX194" s="476">
        <f>Input!AX288</f>
        <v>0</v>
      </c>
      <c r="AY194" s="476">
        <f>Input!AY288</f>
        <v>0</v>
      </c>
      <c r="AZ194" s="476">
        <f>Input!AZ288</f>
        <v>0</v>
      </c>
      <c r="BA194" s="476">
        <f>Input!BA288</f>
        <v>0</v>
      </c>
      <c r="BB194" s="476">
        <f>Input!BB288</f>
        <v>0</v>
      </c>
      <c r="BC194" s="476">
        <f>Input!BC288</f>
        <v>0</v>
      </c>
      <c r="BD194" s="476">
        <f>Input!BD288</f>
        <v>0</v>
      </c>
      <c r="BE194" s="476">
        <f>Input!BE288</f>
        <v>0</v>
      </c>
      <c r="BF194" s="476">
        <f>Input!BF288</f>
        <v>0</v>
      </c>
      <c r="BG194" s="476">
        <f>Input!BG288</f>
        <v>0</v>
      </c>
      <c r="BH194" s="476">
        <f>Input!BH288</f>
        <v>0</v>
      </c>
      <c r="BI194" s="476">
        <f>Input!BI288</f>
        <v>0</v>
      </c>
      <c r="BJ194" s="476">
        <f>Input!BJ288</f>
        <v>0</v>
      </c>
      <c r="BK194" s="476">
        <f>Input!BK288</f>
        <v>0</v>
      </c>
      <c r="BL194" s="476">
        <f>Input!BL288</f>
        <v>0</v>
      </c>
      <c r="BM194" s="476">
        <f>Input!BM288</f>
        <v>0</v>
      </c>
      <c r="BN194" s="476">
        <f>Input!BN288</f>
        <v>0</v>
      </c>
      <c r="BO194" s="476">
        <f>Input!BO288</f>
        <v>0</v>
      </c>
      <c r="BP194" s="476">
        <f>Input!BP288</f>
        <v>0</v>
      </c>
    </row>
    <row r="195" spans="2:68" outlineLevel="1" x14ac:dyDescent="0.2">
      <c r="B195" s="20"/>
      <c r="C195" s="80"/>
      <c r="D195" s="403" t="str">
        <f>Input!$D$289</f>
        <v>Additional capex completed without additional labour cost</v>
      </c>
      <c r="E195" s="80"/>
      <c r="F195" s="80"/>
      <c r="G195" s="80"/>
      <c r="H195" s="80"/>
      <c r="I195" s="80"/>
      <c r="J195" s="80"/>
      <c r="K195" s="401"/>
      <c r="L195" s="436">
        <f t="shared" si="253"/>
        <v>0</v>
      </c>
      <c r="M195" s="469"/>
      <c r="N195" s="470"/>
      <c r="O195" s="470"/>
      <c r="P195" s="470"/>
      <c r="Q195" s="470"/>
      <c r="R195" s="476">
        <f>Input!R289</f>
        <v>0</v>
      </c>
      <c r="S195" s="476">
        <f>Input!S289</f>
        <v>0</v>
      </c>
      <c r="T195" s="476">
        <f>Input!T289</f>
        <v>0</v>
      </c>
      <c r="U195" s="476">
        <f>Input!U289</f>
        <v>0</v>
      </c>
      <c r="V195" s="476">
        <f>Input!V289</f>
        <v>0</v>
      </c>
      <c r="W195" s="476">
        <f>Input!W289</f>
        <v>0</v>
      </c>
      <c r="X195" s="476">
        <f>Input!X289</f>
        <v>0</v>
      </c>
      <c r="Y195" s="476">
        <f>Input!Y289</f>
        <v>0</v>
      </c>
      <c r="Z195" s="476">
        <f>Input!Z289</f>
        <v>0</v>
      </c>
      <c r="AA195" s="476">
        <f>Input!AA289</f>
        <v>0</v>
      </c>
      <c r="AB195" s="476">
        <f>Input!AB289</f>
        <v>0</v>
      </c>
      <c r="AC195" s="476">
        <f>Input!AC289</f>
        <v>0</v>
      </c>
      <c r="AD195" s="476">
        <f>Input!AD289</f>
        <v>0</v>
      </c>
      <c r="AE195" s="476">
        <f>Input!AE289</f>
        <v>0</v>
      </c>
      <c r="AF195" s="476">
        <f>Input!AF289</f>
        <v>0</v>
      </c>
      <c r="AG195" s="476">
        <f>Input!AG289</f>
        <v>0</v>
      </c>
      <c r="AH195" s="476">
        <f>Input!AH289</f>
        <v>0</v>
      </c>
      <c r="AI195" s="476">
        <f>Input!AI289</f>
        <v>0</v>
      </c>
      <c r="AJ195" s="476">
        <f>Input!AJ289</f>
        <v>0</v>
      </c>
      <c r="AK195" s="476">
        <f>Input!AK289</f>
        <v>0</v>
      </c>
      <c r="AL195" s="476">
        <f>Input!AL289</f>
        <v>0</v>
      </c>
      <c r="AM195" s="476">
        <f>Input!AM289</f>
        <v>0</v>
      </c>
      <c r="AN195" s="476">
        <f>Input!AN289</f>
        <v>0</v>
      </c>
      <c r="AO195" s="476">
        <f>Input!AO289</f>
        <v>0</v>
      </c>
      <c r="AP195" s="476">
        <f>Input!AP289</f>
        <v>0</v>
      </c>
      <c r="AQ195" s="476">
        <f>Input!AQ289</f>
        <v>0</v>
      </c>
      <c r="AR195" s="476">
        <f>Input!AR289</f>
        <v>0</v>
      </c>
      <c r="AS195" s="476">
        <f>Input!AS289</f>
        <v>0</v>
      </c>
      <c r="AT195" s="476">
        <f>Input!AT289</f>
        <v>0</v>
      </c>
      <c r="AU195" s="476">
        <f>Input!AU289</f>
        <v>0</v>
      </c>
      <c r="AV195" s="476">
        <f>Input!AV289</f>
        <v>0</v>
      </c>
      <c r="AW195" s="476">
        <f>Input!AW289</f>
        <v>0</v>
      </c>
      <c r="AX195" s="476">
        <f>Input!AX289</f>
        <v>0</v>
      </c>
      <c r="AY195" s="476">
        <f>Input!AY289</f>
        <v>0</v>
      </c>
      <c r="AZ195" s="476">
        <f>Input!AZ289</f>
        <v>0</v>
      </c>
      <c r="BA195" s="476">
        <f>Input!BA289</f>
        <v>0</v>
      </c>
      <c r="BB195" s="476">
        <f>Input!BB289</f>
        <v>0</v>
      </c>
      <c r="BC195" s="476">
        <f>Input!BC289</f>
        <v>0</v>
      </c>
      <c r="BD195" s="476">
        <f>Input!BD289</f>
        <v>0</v>
      </c>
      <c r="BE195" s="476">
        <f>Input!BE289</f>
        <v>0</v>
      </c>
      <c r="BF195" s="476">
        <f>Input!BF289</f>
        <v>0</v>
      </c>
      <c r="BG195" s="476">
        <f>Input!BG289</f>
        <v>0</v>
      </c>
      <c r="BH195" s="476">
        <f>Input!BH289</f>
        <v>0</v>
      </c>
      <c r="BI195" s="476">
        <f>Input!BI289</f>
        <v>0</v>
      </c>
      <c r="BJ195" s="476">
        <f>Input!BJ289</f>
        <v>0</v>
      </c>
      <c r="BK195" s="476">
        <f>Input!BK289</f>
        <v>0</v>
      </c>
      <c r="BL195" s="476">
        <f>Input!BL289</f>
        <v>0</v>
      </c>
      <c r="BM195" s="476">
        <f>Input!BM289</f>
        <v>0</v>
      </c>
      <c r="BN195" s="476">
        <f>Input!BN289</f>
        <v>0</v>
      </c>
      <c r="BO195" s="476">
        <f>Input!BO289</f>
        <v>0</v>
      </c>
      <c r="BP195" s="476">
        <f>Input!BP289</f>
        <v>0</v>
      </c>
    </row>
    <row r="196" spans="2:68" outlineLevel="1" x14ac:dyDescent="0.2">
      <c r="B196" s="20"/>
      <c r="C196" s="80"/>
      <c r="D196" s="403" t="str">
        <f>Input!$D$290</f>
        <v>Decrease in opex costs</v>
      </c>
      <c r="E196" s="80"/>
      <c r="F196" s="80"/>
      <c r="G196" s="80"/>
      <c r="H196" s="80"/>
      <c r="I196" s="80"/>
      <c r="J196" s="80"/>
      <c r="K196" s="401"/>
      <c r="L196" s="436">
        <f t="shared" si="253"/>
        <v>0</v>
      </c>
      <c r="M196" s="469"/>
      <c r="N196" s="470"/>
      <c r="O196" s="470"/>
      <c r="P196" s="470"/>
      <c r="Q196" s="470"/>
      <c r="R196" s="476">
        <f>Input!R290</f>
        <v>0</v>
      </c>
      <c r="S196" s="476">
        <f>Input!S290</f>
        <v>0</v>
      </c>
      <c r="T196" s="476">
        <f>Input!T290</f>
        <v>0</v>
      </c>
      <c r="U196" s="476">
        <f>Input!U290</f>
        <v>0</v>
      </c>
      <c r="V196" s="476">
        <f>Input!V290</f>
        <v>0</v>
      </c>
      <c r="W196" s="476">
        <f>Input!W290</f>
        <v>0</v>
      </c>
      <c r="X196" s="476">
        <f>Input!X290</f>
        <v>0</v>
      </c>
      <c r="Y196" s="476">
        <f>Input!Y290</f>
        <v>0</v>
      </c>
      <c r="Z196" s="476">
        <f>Input!Z290</f>
        <v>0</v>
      </c>
      <c r="AA196" s="476">
        <f>Input!AA290</f>
        <v>0</v>
      </c>
      <c r="AB196" s="476">
        <f>Input!AB290</f>
        <v>0</v>
      </c>
      <c r="AC196" s="476">
        <f>Input!AC290</f>
        <v>0</v>
      </c>
      <c r="AD196" s="476">
        <f>Input!AD290</f>
        <v>0</v>
      </c>
      <c r="AE196" s="476">
        <f>Input!AE290</f>
        <v>0</v>
      </c>
      <c r="AF196" s="476">
        <f>Input!AF290</f>
        <v>0</v>
      </c>
      <c r="AG196" s="476">
        <f>Input!AG290</f>
        <v>0</v>
      </c>
      <c r="AH196" s="476">
        <f>Input!AH290</f>
        <v>0</v>
      </c>
      <c r="AI196" s="476">
        <f>Input!AI290</f>
        <v>0</v>
      </c>
      <c r="AJ196" s="476">
        <f>Input!AJ290</f>
        <v>0</v>
      </c>
      <c r="AK196" s="476">
        <f>Input!AK290</f>
        <v>0</v>
      </c>
      <c r="AL196" s="476">
        <f>Input!AL290</f>
        <v>0</v>
      </c>
      <c r="AM196" s="476">
        <f>Input!AM290</f>
        <v>0</v>
      </c>
      <c r="AN196" s="476">
        <f>Input!AN290</f>
        <v>0</v>
      </c>
      <c r="AO196" s="476">
        <f>Input!AO290</f>
        <v>0</v>
      </c>
      <c r="AP196" s="476">
        <f>Input!AP290</f>
        <v>0</v>
      </c>
      <c r="AQ196" s="476">
        <f>Input!AQ290</f>
        <v>0</v>
      </c>
      <c r="AR196" s="476">
        <f>Input!AR290</f>
        <v>0</v>
      </c>
      <c r="AS196" s="476">
        <f>Input!AS290</f>
        <v>0</v>
      </c>
      <c r="AT196" s="476">
        <f>Input!AT290</f>
        <v>0</v>
      </c>
      <c r="AU196" s="476">
        <f>Input!AU290</f>
        <v>0</v>
      </c>
      <c r="AV196" s="476">
        <f>Input!AV290</f>
        <v>0</v>
      </c>
      <c r="AW196" s="476">
        <f>Input!AW290</f>
        <v>0</v>
      </c>
      <c r="AX196" s="476">
        <f>Input!AX290</f>
        <v>0</v>
      </c>
      <c r="AY196" s="476">
        <f>Input!AY290</f>
        <v>0</v>
      </c>
      <c r="AZ196" s="476">
        <f>Input!AZ290</f>
        <v>0</v>
      </c>
      <c r="BA196" s="476">
        <f>Input!BA290</f>
        <v>0</v>
      </c>
      <c r="BB196" s="476">
        <f>Input!BB290</f>
        <v>0</v>
      </c>
      <c r="BC196" s="476">
        <f>Input!BC290</f>
        <v>0</v>
      </c>
      <c r="BD196" s="476">
        <f>Input!BD290</f>
        <v>0</v>
      </c>
      <c r="BE196" s="476">
        <f>Input!BE290</f>
        <v>0</v>
      </c>
      <c r="BF196" s="476">
        <f>Input!BF290</f>
        <v>0</v>
      </c>
      <c r="BG196" s="476">
        <f>Input!BG290</f>
        <v>0</v>
      </c>
      <c r="BH196" s="476">
        <f>Input!BH290</f>
        <v>0</v>
      </c>
      <c r="BI196" s="476">
        <f>Input!BI290</f>
        <v>0</v>
      </c>
      <c r="BJ196" s="476">
        <f>Input!BJ290</f>
        <v>0</v>
      </c>
      <c r="BK196" s="476">
        <f>Input!BK290</f>
        <v>0</v>
      </c>
      <c r="BL196" s="476">
        <f>Input!BL290</f>
        <v>0</v>
      </c>
      <c r="BM196" s="476">
        <f>Input!BM290</f>
        <v>0</v>
      </c>
      <c r="BN196" s="476">
        <f>Input!BN290</f>
        <v>0</v>
      </c>
      <c r="BO196" s="476">
        <f>Input!BO290</f>
        <v>0</v>
      </c>
      <c r="BP196" s="476">
        <f>Input!BP290</f>
        <v>0</v>
      </c>
    </row>
    <row r="197" spans="2:68" outlineLevel="1" x14ac:dyDescent="0.2">
      <c r="B197" s="20"/>
      <c r="C197" s="80"/>
      <c r="D197" s="483" t="s">
        <v>393</v>
      </c>
      <c r="E197" s="80"/>
      <c r="F197" s="80"/>
      <c r="G197" s="80"/>
      <c r="H197" s="80"/>
      <c r="I197" s="80"/>
      <c r="J197" s="80"/>
      <c r="K197" s="401"/>
      <c r="L197" s="436">
        <f>MIN(R197:BP197)</f>
        <v>0</v>
      </c>
      <c r="M197" s="469"/>
      <c r="N197" s="470"/>
      <c r="O197" s="470"/>
      <c r="P197" s="470"/>
      <c r="Q197" s="470"/>
      <c r="R197" s="401" t="str">
        <f>IF(R196=0,"",R$15)</f>
        <v/>
      </c>
      <c r="S197" s="401" t="str">
        <f t="shared" ref="S197:BP197" si="254">IF(S196=0,"",S$15)</f>
        <v/>
      </c>
      <c r="T197" s="401" t="str">
        <f t="shared" si="254"/>
        <v/>
      </c>
      <c r="U197" s="401" t="str">
        <f t="shared" si="254"/>
        <v/>
      </c>
      <c r="V197" s="401" t="str">
        <f t="shared" si="254"/>
        <v/>
      </c>
      <c r="W197" s="401" t="str">
        <f t="shared" si="254"/>
        <v/>
      </c>
      <c r="X197" s="401" t="str">
        <f t="shared" si="254"/>
        <v/>
      </c>
      <c r="Y197" s="401" t="str">
        <f t="shared" si="254"/>
        <v/>
      </c>
      <c r="Z197" s="401" t="str">
        <f t="shared" si="254"/>
        <v/>
      </c>
      <c r="AA197" s="401" t="str">
        <f t="shared" si="254"/>
        <v/>
      </c>
      <c r="AB197" s="401" t="str">
        <f t="shared" si="254"/>
        <v/>
      </c>
      <c r="AC197" s="401" t="str">
        <f t="shared" si="254"/>
        <v/>
      </c>
      <c r="AD197" s="401" t="str">
        <f t="shared" si="254"/>
        <v/>
      </c>
      <c r="AE197" s="401" t="str">
        <f t="shared" si="254"/>
        <v/>
      </c>
      <c r="AF197" s="401" t="str">
        <f t="shared" si="254"/>
        <v/>
      </c>
      <c r="AG197" s="401" t="str">
        <f t="shared" si="254"/>
        <v/>
      </c>
      <c r="AH197" s="401" t="str">
        <f t="shared" si="254"/>
        <v/>
      </c>
      <c r="AI197" s="401" t="str">
        <f t="shared" si="254"/>
        <v/>
      </c>
      <c r="AJ197" s="401" t="str">
        <f t="shared" si="254"/>
        <v/>
      </c>
      <c r="AK197" s="401" t="str">
        <f t="shared" si="254"/>
        <v/>
      </c>
      <c r="AL197" s="401" t="str">
        <f t="shared" si="254"/>
        <v/>
      </c>
      <c r="AM197" s="401" t="str">
        <f t="shared" si="254"/>
        <v/>
      </c>
      <c r="AN197" s="401" t="str">
        <f t="shared" si="254"/>
        <v/>
      </c>
      <c r="AO197" s="401" t="str">
        <f t="shared" si="254"/>
        <v/>
      </c>
      <c r="AP197" s="401" t="str">
        <f t="shared" si="254"/>
        <v/>
      </c>
      <c r="AQ197" s="401" t="str">
        <f t="shared" si="254"/>
        <v/>
      </c>
      <c r="AR197" s="401" t="str">
        <f t="shared" si="254"/>
        <v/>
      </c>
      <c r="AS197" s="401" t="str">
        <f t="shared" si="254"/>
        <v/>
      </c>
      <c r="AT197" s="401" t="str">
        <f t="shared" si="254"/>
        <v/>
      </c>
      <c r="AU197" s="401" t="str">
        <f t="shared" si="254"/>
        <v/>
      </c>
      <c r="AV197" s="401" t="str">
        <f t="shared" si="254"/>
        <v/>
      </c>
      <c r="AW197" s="401" t="str">
        <f t="shared" si="254"/>
        <v/>
      </c>
      <c r="AX197" s="401" t="str">
        <f t="shared" si="254"/>
        <v/>
      </c>
      <c r="AY197" s="401" t="str">
        <f t="shared" si="254"/>
        <v/>
      </c>
      <c r="AZ197" s="401" t="str">
        <f t="shared" si="254"/>
        <v/>
      </c>
      <c r="BA197" s="401" t="str">
        <f t="shared" si="254"/>
        <v/>
      </c>
      <c r="BB197" s="401" t="str">
        <f t="shared" si="254"/>
        <v/>
      </c>
      <c r="BC197" s="401" t="str">
        <f t="shared" si="254"/>
        <v/>
      </c>
      <c r="BD197" s="401" t="str">
        <f t="shared" si="254"/>
        <v/>
      </c>
      <c r="BE197" s="401" t="str">
        <f t="shared" si="254"/>
        <v/>
      </c>
      <c r="BF197" s="401" t="str">
        <f t="shared" si="254"/>
        <v/>
      </c>
      <c r="BG197" s="401" t="str">
        <f t="shared" si="254"/>
        <v/>
      </c>
      <c r="BH197" s="401" t="str">
        <f t="shared" si="254"/>
        <v/>
      </c>
      <c r="BI197" s="401" t="str">
        <f t="shared" si="254"/>
        <v/>
      </c>
      <c r="BJ197" s="401" t="str">
        <f t="shared" si="254"/>
        <v/>
      </c>
      <c r="BK197" s="401" t="str">
        <f t="shared" si="254"/>
        <v/>
      </c>
      <c r="BL197" s="401" t="str">
        <f t="shared" si="254"/>
        <v/>
      </c>
      <c r="BM197" s="401" t="str">
        <f t="shared" si="254"/>
        <v/>
      </c>
      <c r="BN197" s="401" t="str">
        <f t="shared" si="254"/>
        <v/>
      </c>
      <c r="BO197" s="401" t="str">
        <f t="shared" si="254"/>
        <v/>
      </c>
      <c r="BP197" s="401" t="str">
        <f t="shared" si="254"/>
        <v/>
      </c>
    </row>
    <row r="198" spans="2:68" outlineLevel="1" x14ac:dyDescent="0.2">
      <c r="B198" s="20"/>
      <c r="C198" s="80"/>
      <c r="D198" s="402" t="str">
        <f>Input!$D$291</f>
        <v>Fines and penalties</v>
      </c>
      <c r="E198" s="80"/>
      <c r="F198" s="80"/>
      <c r="G198" s="80"/>
      <c r="H198" s="80"/>
      <c r="I198" s="80"/>
      <c r="J198" s="80"/>
      <c r="K198" s="401"/>
      <c r="L198" s="436">
        <f t="shared" si="253"/>
        <v>0</v>
      </c>
      <c r="M198" s="469"/>
      <c r="N198" s="470"/>
      <c r="O198" s="470"/>
      <c r="P198" s="470"/>
      <c r="Q198" s="470"/>
      <c r="R198" s="476">
        <f>Input!R291</f>
        <v>0</v>
      </c>
      <c r="S198" s="476">
        <f>Input!S291</f>
        <v>0</v>
      </c>
      <c r="T198" s="476">
        <f>Input!T291</f>
        <v>0</v>
      </c>
      <c r="U198" s="476">
        <f>Input!U291</f>
        <v>0</v>
      </c>
      <c r="V198" s="476">
        <f>Input!V291</f>
        <v>0</v>
      </c>
      <c r="W198" s="476">
        <f>Input!W291</f>
        <v>0</v>
      </c>
      <c r="X198" s="476">
        <f>Input!X291</f>
        <v>0</v>
      </c>
      <c r="Y198" s="476">
        <f>Input!Y291</f>
        <v>0</v>
      </c>
      <c r="Z198" s="476">
        <f>Input!Z291</f>
        <v>0</v>
      </c>
      <c r="AA198" s="476">
        <f>Input!AA291</f>
        <v>0</v>
      </c>
      <c r="AB198" s="476">
        <f>Input!AB291</f>
        <v>0</v>
      </c>
      <c r="AC198" s="476">
        <f>Input!AC291</f>
        <v>0</v>
      </c>
      <c r="AD198" s="476">
        <f>Input!AD291</f>
        <v>0</v>
      </c>
      <c r="AE198" s="476">
        <f>Input!AE291</f>
        <v>0</v>
      </c>
      <c r="AF198" s="476">
        <f>Input!AF291</f>
        <v>0</v>
      </c>
      <c r="AG198" s="476">
        <f>Input!AG291</f>
        <v>0</v>
      </c>
      <c r="AH198" s="476">
        <f>Input!AH291</f>
        <v>0</v>
      </c>
      <c r="AI198" s="476">
        <f>Input!AI291</f>
        <v>0</v>
      </c>
      <c r="AJ198" s="476">
        <f>Input!AJ291</f>
        <v>0</v>
      </c>
      <c r="AK198" s="476">
        <f>Input!AK291</f>
        <v>0</v>
      </c>
      <c r="AL198" s="476">
        <f>Input!AL291</f>
        <v>0</v>
      </c>
      <c r="AM198" s="476">
        <f>Input!AM291</f>
        <v>0</v>
      </c>
      <c r="AN198" s="476">
        <f>Input!AN291</f>
        <v>0</v>
      </c>
      <c r="AO198" s="476">
        <f>Input!AO291</f>
        <v>0</v>
      </c>
      <c r="AP198" s="476">
        <f>Input!AP291</f>
        <v>0</v>
      </c>
      <c r="AQ198" s="476">
        <f>Input!AQ291</f>
        <v>0</v>
      </c>
      <c r="AR198" s="476">
        <f>Input!AR291</f>
        <v>0</v>
      </c>
      <c r="AS198" s="476">
        <f>Input!AS291</f>
        <v>0</v>
      </c>
      <c r="AT198" s="476">
        <f>Input!AT291</f>
        <v>0</v>
      </c>
      <c r="AU198" s="476">
        <f>Input!AU291</f>
        <v>0</v>
      </c>
      <c r="AV198" s="476">
        <f>Input!AV291</f>
        <v>0</v>
      </c>
      <c r="AW198" s="476">
        <f>Input!AW291</f>
        <v>0</v>
      </c>
      <c r="AX198" s="476">
        <f>Input!AX291</f>
        <v>0</v>
      </c>
      <c r="AY198" s="476">
        <f>Input!AY291</f>
        <v>0</v>
      </c>
      <c r="AZ198" s="476">
        <f>Input!AZ291</f>
        <v>0</v>
      </c>
      <c r="BA198" s="476">
        <f>Input!BA291</f>
        <v>0</v>
      </c>
      <c r="BB198" s="476">
        <f>Input!BB291</f>
        <v>0</v>
      </c>
      <c r="BC198" s="476">
        <f>Input!BC291</f>
        <v>0</v>
      </c>
      <c r="BD198" s="476">
        <f>Input!BD291</f>
        <v>0</v>
      </c>
      <c r="BE198" s="476">
        <f>Input!BE291</f>
        <v>0</v>
      </c>
      <c r="BF198" s="476">
        <f>Input!BF291</f>
        <v>0</v>
      </c>
      <c r="BG198" s="476">
        <f>Input!BG291</f>
        <v>0</v>
      </c>
      <c r="BH198" s="476">
        <f>Input!BH291</f>
        <v>0</v>
      </c>
      <c r="BI198" s="476">
        <f>Input!BI291</f>
        <v>0</v>
      </c>
      <c r="BJ198" s="476">
        <f>Input!BJ291</f>
        <v>0</v>
      </c>
      <c r="BK198" s="476">
        <f>Input!BK291</f>
        <v>0</v>
      </c>
      <c r="BL198" s="476">
        <f>Input!BL291</f>
        <v>0</v>
      </c>
      <c r="BM198" s="476">
        <f>Input!BM291</f>
        <v>0</v>
      </c>
      <c r="BN198" s="476">
        <f>Input!BN291</f>
        <v>0</v>
      </c>
      <c r="BO198" s="476">
        <f>Input!BO291</f>
        <v>0</v>
      </c>
      <c r="BP198" s="476">
        <f>Input!BP291</f>
        <v>0</v>
      </c>
    </row>
    <row r="199" spans="2:68" outlineLevel="1" x14ac:dyDescent="0.2">
      <c r="B199" s="20"/>
      <c r="C199" s="80"/>
      <c r="D199" s="402" t="str">
        <f>Input!$D$292</f>
        <v>Damage / theft of assets</v>
      </c>
      <c r="E199" s="80"/>
      <c r="F199" s="80"/>
      <c r="G199" s="80"/>
      <c r="H199" s="80"/>
      <c r="I199" s="80"/>
      <c r="J199" s="80"/>
      <c r="K199" s="401"/>
      <c r="L199" s="436">
        <f t="shared" si="253"/>
        <v>0</v>
      </c>
      <c r="M199" s="469"/>
      <c r="N199" s="470"/>
      <c r="O199" s="470"/>
      <c r="P199" s="470"/>
      <c r="Q199" s="470"/>
      <c r="R199" s="476">
        <f>Input!R292</f>
        <v>0</v>
      </c>
      <c r="S199" s="476">
        <f>Input!S292</f>
        <v>0</v>
      </c>
      <c r="T199" s="476">
        <f>Input!T292</f>
        <v>0</v>
      </c>
      <c r="U199" s="476">
        <f>Input!U292</f>
        <v>0</v>
      </c>
      <c r="V199" s="476">
        <f>Input!V292</f>
        <v>0</v>
      </c>
      <c r="W199" s="476">
        <f>Input!W292</f>
        <v>0</v>
      </c>
      <c r="X199" s="476">
        <f>Input!X292</f>
        <v>0</v>
      </c>
      <c r="Y199" s="476">
        <f>Input!Y292</f>
        <v>0</v>
      </c>
      <c r="Z199" s="476">
        <f>Input!Z292</f>
        <v>0</v>
      </c>
      <c r="AA199" s="476">
        <f>Input!AA292</f>
        <v>0</v>
      </c>
      <c r="AB199" s="476">
        <f>Input!AB292</f>
        <v>0</v>
      </c>
      <c r="AC199" s="476">
        <f>Input!AC292</f>
        <v>0</v>
      </c>
      <c r="AD199" s="476">
        <f>Input!AD292</f>
        <v>0</v>
      </c>
      <c r="AE199" s="476">
        <f>Input!AE292</f>
        <v>0</v>
      </c>
      <c r="AF199" s="476">
        <f>Input!AF292</f>
        <v>0</v>
      </c>
      <c r="AG199" s="476">
        <f>Input!AG292</f>
        <v>0</v>
      </c>
      <c r="AH199" s="476">
        <f>Input!AH292</f>
        <v>0</v>
      </c>
      <c r="AI199" s="476">
        <f>Input!AI292</f>
        <v>0</v>
      </c>
      <c r="AJ199" s="476">
        <f>Input!AJ292</f>
        <v>0</v>
      </c>
      <c r="AK199" s="476">
        <f>Input!AK292</f>
        <v>0</v>
      </c>
      <c r="AL199" s="476">
        <f>Input!AL292</f>
        <v>0</v>
      </c>
      <c r="AM199" s="476">
        <f>Input!AM292</f>
        <v>0</v>
      </c>
      <c r="AN199" s="476">
        <f>Input!AN292</f>
        <v>0</v>
      </c>
      <c r="AO199" s="476">
        <f>Input!AO292</f>
        <v>0</v>
      </c>
      <c r="AP199" s="476">
        <f>Input!AP292</f>
        <v>0</v>
      </c>
      <c r="AQ199" s="476">
        <f>Input!AQ292</f>
        <v>0</v>
      </c>
      <c r="AR199" s="476">
        <f>Input!AR292</f>
        <v>0</v>
      </c>
      <c r="AS199" s="476">
        <f>Input!AS292</f>
        <v>0</v>
      </c>
      <c r="AT199" s="476">
        <f>Input!AT292</f>
        <v>0</v>
      </c>
      <c r="AU199" s="476">
        <f>Input!AU292</f>
        <v>0</v>
      </c>
      <c r="AV199" s="476">
        <f>Input!AV292</f>
        <v>0</v>
      </c>
      <c r="AW199" s="476">
        <f>Input!AW292</f>
        <v>0</v>
      </c>
      <c r="AX199" s="476">
        <f>Input!AX292</f>
        <v>0</v>
      </c>
      <c r="AY199" s="476">
        <f>Input!AY292</f>
        <v>0</v>
      </c>
      <c r="AZ199" s="476">
        <f>Input!AZ292</f>
        <v>0</v>
      </c>
      <c r="BA199" s="476">
        <f>Input!BA292</f>
        <v>0</v>
      </c>
      <c r="BB199" s="476">
        <f>Input!BB292</f>
        <v>0</v>
      </c>
      <c r="BC199" s="476">
        <f>Input!BC292</f>
        <v>0</v>
      </c>
      <c r="BD199" s="476">
        <f>Input!BD292</f>
        <v>0</v>
      </c>
      <c r="BE199" s="476">
        <f>Input!BE292</f>
        <v>0</v>
      </c>
      <c r="BF199" s="476">
        <f>Input!BF292</f>
        <v>0</v>
      </c>
      <c r="BG199" s="476">
        <f>Input!BG292</f>
        <v>0</v>
      </c>
      <c r="BH199" s="476">
        <f>Input!BH292</f>
        <v>0</v>
      </c>
      <c r="BI199" s="476">
        <f>Input!BI292</f>
        <v>0</v>
      </c>
      <c r="BJ199" s="476">
        <f>Input!BJ292</f>
        <v>0</v>
      </c>
      <c r="BK199" s="476">
        <f>Input!BK292</f>
        <v>0</v>
      </c>
      <c r="BL199" s="476">
        <f>Input!BL292</f>
        <v>0</v>
      </c>
      <c r="BM199" s="476">
        <f>Input!BM292</f>
        <v>0</v>
      </c>
      <c r="BN199" s="476">
        <f>Input!BN292</f>
        <v>0</v>
      </c>
      <c r="BO199" s="476">
        <f>Input!BO292</f>
        <v>0</v>
      </c>
      <c r="BP199" s="476">
        <f>Input!BP292</f>
        <v>0</v>
      </c>
    </row>
    <row r="200" spans="2:68" outlineLevel="1" x14ac:dyDescent="0.2">
      <c r="B200" s="20"/>
      <c r="C200" s="80"/>
      <c r="D200" s="402" t="str">
        <f>Input!$D$293</f>
        <v>Loss of data</v>
      </c>
      <c r="E200" s="80"/>
      <c r="F200" s="80"/>
      <c r="G200" s="80"/>
      <c r="H200" s="80"/>
      <c r="I200" s="80"/>
      <c r="J200" s="80"/>
      <c r="K200" s="401"/>
      <c r="L200" s="436">
        <f t="shared" si="253"/>
        <v>0</v>
      </c>
      <c r="M200" s="469"/>
      <c r="N200" s="470"/>
      <c r="O200" s="470"/>
      <c r="P200" s="470"/>
      <c r="Q200" s="470"/>
      <c r="R200" s="476">
        <f>Input!R293</f>
        <v>0</v>
      </c>
      <c r="S200" s="476">
        <f>Input!S293</f>
        <v>0</v>
      </c>
      <c r="T200" s="476">
        <f>Input!T293</f>
        <v>0</v>
      </c>
      <c r="U200" s="476">
        <f>Input!U293</f>
        <v>0</v>
      </c>
      <c r="V200" s="476">
        <f>Input!V293</f>
        <v>0</v>
      </c>
      <c r="W200" s="476">
        <f>Input!W293</f>
        <v>0</v>
      </c>
      <c r="X200" s="476">
        <f>Input!X293</f>
        <v>0</v>
      </c>
      <c r="Y200" s="476">
        <f>Input!Y293</f>
        <v>0</v>
      </c>
      <c r="Z200" s="476">
        <f>Input!Z293</f>
        <v>0</v>
      </c>
      <c r="AA200" s="476">
        <f>Input!AA293</f>
        <v>0</v>
      </c>
      <c r="AB200" s="476">
        <f>Input!AB293</f>
        <v>0</v>
      </c>
      <c r="AC200" s="476">
        <f>Input!AC293</f>
        <v>0</v>
      </c>
      <c r="AD200" s="476">
        <f>Input!AD293</f>
        <v>0</v>
      </c>
      <c r="AE200" s="476">
        <f>Input!AE293</f>
        <v>0</v>
      </c>
      <c r="AF200" s="476">
        <f>Input!AF293</f>
        <v>0</v>
      </c>
      <c r="AG200" s="476">
        <f>Input!AG293</f>
        <v>0</v>
      </c>
      <c r="AH200" s="476">
        <f>Input!AH293</f>
        <v>0</v>
      </c>
      <c r="AI200" s="476">
        <f>Input!AI293</f>
        <v>0</v>
      </c>
      <c r="AJ200" s="476">
        <f>Input!AJ293</f>
        <v>0</v>
      </c>
      <c r="AK200" s="476">
        <f>Input!AK293</f>
        <v>0</v>
      </c>
      <c r="AL200" s="476">
        <f>Input!AL293</f>
        <v>0</v>
      </c>
      <c r="AM200" s="476">
        <f>Input!AM293</f>
        <v>0</v>
      </c>
      <c r="AN200" s="476">
        <f>Input!AN293</f>
        <v>0</v>
      </c>
      <c r="AO200" s="476">
        <f>Input!AO293</f>
        <v>0</v>
      </c>
      <c r="AP200" s="476">
        <f>Input!AP293</f>
        <v>0</v>
      </c>
      <c r="AQ200" s="476">
        <f>Input!AQ293</f>
        <v>0</v>
      </c>
      <c r="AR200" s="476">
        <f>Input!AR293</f>
        <v>0</v>
      </c>
      <c r="AS200" s="476">
        <f>Input!AS293</f>
        <v>0</v>
      </c>
      <c r="AT200" s="476">
        <f>Input!AT293</f>
        <v>0</v>
      </c>
      <c r="AU200" s="476">
        <f>Input!AU293</f>
        <v>0</v>
      </c>
      <c r="AV200" s="476">
        <f>Input!AV293</f>
        <v>0</v>
      </c>
      <c r="AW200" s="476">
        <f>Input!AW293</f>
        <v>0</v>
      </c>
      <c r="AX200" s="476">
        <f>Input!AX293</f>
        <v>0</v>
      </c>
      <c r="AY200" s="476">
        <f>Input!AY293</f>
        <v>0</v>
      </c>
      <c r="AZ200" s="476">
        <f>Input!AZ293</f>
        <v>0</v>
      </c>
      <c r="BA200" s="476">
        <f>Input!BA293</f>
        <v>0</v>
      </c>
      <c r="BB200" s="476">
        <f>Input!BB293</f>
        <v>0</v>
      </c>
      <c r="BC200" s="476">
        <f>Input!BC293</f>
        <v>0</v>
      </c>
      <c r="BD200" s="476">
        <f>Input!BD293</f>
        <v>0</v>
      </c>
      <c r="BE200" s="476">
        <f>Input!BE293</f>
        <v>0</v>
      </c>
      <c r="BF200" s="476">
        <f>Input!BF293</f>
        <v>0</v>
      </c>
      <c r="BG200" s="476">
        <f>Input!BG293</f>
        <v>0</v>
      </c>
      <c r="BH200" s="476">
        <f>Input!BH293</f>
        <v>0</v>
      </c>
      <c r="BI200" s="476">
        <f>Input!BI293</f>
        <v>0</v>
      </c>
      <c r="BJ200" s="476">
        <f>Input!BJ293</f>
        <v>0</v>
      </c>
      <c r="BK200" s="476">
        <f>Input!BK293</f>
        <v>0</v>
      </c>
      <c r="BL200" s="476">
        <f>Input!BL293</f>
        <v>0</v>
      </c>
      <c r="BM200" s="476">
        <f>Input!BM293</f>
        <v>0</v>
      </c>
      <c r="BN200" s="476">
        <f>Input!BN293</f>
        <v>0</v>
      </c>
      <c r="BO200" s="476">
        <f>Input!BO293</f>
        <v>0</v>
      </c>
      <c r="BP200" s="476">
        <f>Input!BP293</f>
        <v>0</v>
      </c>
    </row>
    <row r="201" spans="2:68" outlineLevel="1" x14ac:dyDescent="0.2">
      <c r="B201" s="20"/>
      <c r="C201" s="80"/>
      <c r="D201" s="81" t="str">
        <f>Input!$D$294</f>
        <v>ICT/OT hardware or software failure risk</v>
      </c>
      <c r="E201" s="80"/>
      <c r="F201" s="80"/>
      <c r="G201" s="80"/>
      <c r="H201" s="80"/>
      <c r="I201" s="80"/>
      <c r="J201" s="80"/>
      <c r="K201" s="401"/>
      <c r="L201" s="436">
        <f t="shared" si="253"/>
        <v>0</v>
      </c>
      <c r="M201" s="469"/>
      <c r="N201" s="470"/>
      <c r="O201" s="470"/>
      <c r="P201" s="470"/>
      <c r="Q201" s="470"/>
      <c r="R201" s="476">
        <f>Input!R294</f>
        <v>0</v>
      </c>
      <c r="S201" s="476">
        <f>Input!S294</f>
        <v>0</v>
      </c>
      <c r="T201" s="476">
        <f>Input!T294</f>
        <v>0</v>
      </c>
      <c r="U201" s="476">
        <f>Input!U294</f>
        <v>0</v>
      </c>
      <c r="V201" s="476">
        <f>Input!V294</f>
        <v>0</v>
      </c>
      <c r="W201" s="476">
        <f>Input!W294</f>
        <v>0</v>
      </c>
      <c r="X201" s="476">
        <f>Input!X294</f>
        <v>0</v>
      </c>
      <c r="Y201" s="476">
        <f>Input!Y294</f>
        <v>0</v>
      </c>
      <c r="Z201" s="476">
        <f>Input!Z294</f>
        <v>0</v>
      </c>
      <c r="AA201" s="476">
        <f>Input!AA294</f>
        <v>0</v>
      </c>
      <c r="AB201" s="476">
        <f>Input!AB294</f>
        <v>0</v>
      </c>
      <c r="AC201" s="476">
        <f>Input!AC294</f>
        <v>0</v>
      </c>
      <c r="AD201" s="476">
        <f>Input!AD294</f>
        <v>0</v>
      </c>
      <c r="AE201" s="476">
        <f>Input!AE294</f>
        <v>0</v>
      </c>
      <c r="AF201" s="476">
        <f>Input!AF294</f>
        <v>0</v>
      </c>
      <c r="AG201" s="476">
        <f>Input!AG294</f>
        <v>0</v>
      </c>
      <c r="AH201" s="476">
        <f>Input!AH294</f>
        <v>0</v>
      </c>
      <c r="AI201" s="476">
        <f>Input!AI294</f>
        <v>0</v>
      </c>
      <c r="AJ201" s="476">
        <f>Input!AJ294</f>
        <v>0</v>
      </c>
      <c r="AK201" s="476">
        <f>Input!AK294</f>
        <v>0</v>
      </c>
      <c r="AL201" s="476">
        <f>Input!AL294</f>
        <v>0</v>
      </c>
      <c r="AM201" s="476">
        <f>Input!AM294</f>
        <v>0</v>
      </c>
      <c r="AN201" s="476">
        <f>Input!AN294</f>
        <v>0</v>
      </c>
      <c r="AO201" s="476">
        <f>Input!AO294</f>
        <v>0</v>
      </c>
      <c r="AP201" s="476">
        <f>Input!AP294</f>
        <v>0</v>
      </c>
      <c r="AQ201" s="476">
        <f>Input!AQ294</f>
        <v>0</v>
      </c>
      <c r="AR201" s="476">
        <f>Input!AR294</f>
        <v>0</v>
      </c>
      <c r="AS201" s="476">
        <f>Input!AS294</f>
        <v>0</v>
      </c>
      <c r="AT201" s="476">
        <f>Input!AT294</f>
        <v>0</v>
      </c>
      <c r="AU201" s="476">
        <f>Input!AU294</f>
        <v>0</v>
      </c>
      <c r="AV201" s="476">
        <f>Input!AV294</f>
        <v>0</v>
      </c>
      <c r="AW201" s="476">
        <f>Input!AW294</f>
        <v>0</v>
      </c>
      <c r="AX201" s="476">
        <f>Input!AX294</f>
        <v>0</v>
      </c>
      <c r="AY201" s="476">
        <f>Input!AY294</f>
        <v>0</v>
      </c>
      <c r="AZ201" s="476">
        <f>Input!AZ294</f>
        <v>0</v>
      </c>
      <c r="BA201" s="476">
        <f>Input!BA294</f>
        <v>0</v>
      </c>
      <c r="BB201" s="476">
        <f>Input!BB294</f>
        <v>0</v>
      </c>
      <c r="BC201" s="476">
        <f>Input!BC294</f>
        <v>0</v>
      </c>
      <c r="BD201" s="476">
        <f>Input!BD294</f>
        <v>0</v>
      </c>
      <c r="BE201" s="476">
        <f>Input!BE294</f>
        <v>0</v>
      </c>
      <c r="BF201" s="476">
        <f>Input!BF294</f>
        <v>0</v>
      </c>
      <c r="BG201" s="476">
        <f>Input!BG294</f>
        <v>0</v>
      </c>
      <c r="BH201" s="476">
        <f>Input!BH294</f>
        <v>0</v>
      </c>
      <c r="BI201" s="476">
        <f>Input!BI294</f>
        <v>0</v>
      </c>
      <c r="BJ201" s="476">
        <f>Input!BJ294</f>
        <v>0</v>
      </c>
      <c r="BK201" s="476">
        <f>Input!BK294</f>
        <v>0</v>
      </c>
      <c r="BL201" s="476">
        <f>Input!BL294</f>
        <v>0</v>
      </c>
      <c r="BM201" s="476">
        <f>Input!BM294</f>
        <v>0</v>
      </c>
      <c r="BN201" s="476">
        <f>Input!BN294</f>
        <v>0</v>
      </c>
      <c r="BO201" s="476">
        <f>Input!BO294</f>
        <v>0</v>
      </c>
      <c r="BP201" s="476">
        <f>Input!BP294</f>
        <v>0</v>
      </c>
    </row>
    <row r="202" spans="2:68" outlineLevel="1" x14ac:dyDescent="0.2">
      <c r="B202" s="20"/>
      <c r="C202" s="80"/>
      <c r="D202" s="402" t="str">
        <f>Input!$D$295</f>
        <v>Cost of manual intervention</v>
      </c>
      <c r="E202" s="80"/>
      <c r="F202" s="80"/>
      <c r="G202" s="80"/>
      <c r="H202" s="80"/>
      <c r="I202" s="80"/>
      <c r="J202" s="80"/>
      <c r="K202" s="401"/>
      <c r="L202" s="436">
        <f t="shared" si="253"/>
        <v>0</v>
      </c>
      <c r="M202" s="469"/>
      <c r="N202" s="470"/>
      <c r="O202" s="470"/>
      <c r="P202" s="470"/>
      <c r="Q202" s="470"/>
      <c r="R202" s="476">
        <f>Input!R295</f>
        <v>0</v>
      </c>
      <c r="S202" s="476">
        <f>Input!S295</f>
        <v>0</v>
      </c>
      <c r="T202" s="476">
        <f>Input!T295</f>
        <v>0</v>
      </c>
      <c r="U202" s="476">
        <f>Input!U295</f>
        <v>0</v>
      </c>
      <c r="V202" s="476">
        <f>Input!V295</f>
        <v>0</v>
      </c>
      <c r="W202" s="476">
        <f>Input!W295</f>
        <v>0</v>
      </c>
      <c r="X202" s="476">
        <f>Input!X295</f>
        <v>0</v>
      </c>
      <c r="Y202" s="476">
        <f>Input!Y295</f>
        <v>0</v>
      </c>
      <c r="Z202" s="476">
        <f>Input!Z295</f>
        <v>0</v>
      </c>
      <c r="AA202" s="476">
        <f>Input!AA295</f>
        <v>0</v>
      </c>
      <c r="AB202" s="476">
        <f>Input!AB295</f>
        <v>0</v>
      </c>
      <c r="AC202" s="476">
        <f>Input!AC295</f>
        <v>0</v>
      </c>
      <c r="AD202" s="476">
        <f>Input!AD295</f>
        <v>0</v>
      </c>
      <c r="AE202" s="476">
        <f>Input!AE295</f>
        <v>0</v>
      </c>
      <c r="AF202" s="476">
        <f>Input!AF295</f>
        <v>0</v>
      </c>
      <c r="AG202" s="476">
        <f>Input!AG295</f>
        <v>0</v>
      </c>
      <c r="AH202" s="476">
        <f>Input!AH295</f>
        <v>0</v>
      </c>
      <c r="AI202" s="476">
        <f>Input!AI295</f>
        <v>0</v>
      </c>
      <c r="AJ202" s="476">
        <f>Input!AJ295</f>
        <v>0</v>
      </c>
      <c r="AK202" s="476">
        <f>Input!AK295</f>
        <v>0</v>
      </c>
      <c r="AL202" s="476">
        <f>Input!AL295</f>
        <v>0</v>
      </c>
      <c r="AM202" s="476">
        <f>Input!AM295</f>
        <v>0</v>
      </c>
      <c r="AN202" s="476">
        <f>Input!AN295</f>
        <v>0</v>
      </c>
      <c r="AO202" s="476">
        <f>Input!AO295</f>
        <v>0</v>
      </c>
      <c r="AP202" s="476">
        <f>Input!AP295</f>
        <v>0</v>
      </c>
      <c r="AQ202" s="476">
        <f>Input!AQ295</f>
        <v>0</v>
      </c>
      <c r="AR202" s="476">
        <f>Input!AR295</f>
        <v>0</v>
      </c>
      <c r="AS202" s="476">
        <f>Input!AS295</f>
        <v>0</v>
      </c>
      <c r="AT202" s="476">
        <f>Input!AT295</f>
        <v>0</v>
      </c>
      <c r="AU202" s="476">
        <f>Input!AU295</f>
        <v>0</v>
      </c>
      <c r="AV202" s="476">
        <f>Input!AV295</f>
        <v>0</v>
      </c>
      <c r="AW202" s="476">
        <f>Input!AW295</f>
        <v>0</v>
      </c>
      <c r="AX202" s="476">
        <f>Input!AX295</f>
        <v>0</v>
      </c>
      <c r="AY202" s="476">
        <f>Input!AY295</f>
        <v>0</v>
      </c>
      <c r="AZ202" s="476">
        <f>Input!AZ295</f>
        <v>0</v>
      </c>
      <c r="BA202" s="476">
        <f>Input!BA295</f>
        <v>0</v>
      </c>
      <c r="BB202" s="476">
        <f>Input!BB295</f>
        <v>0</v>
      </c>
      <c r="BC202" s="476">
        <f>Input!BC295</f>
        <v>0</v>
      </c>
      <c r="BD202" s="476">
        <f>Input!BD295</f>
        <v>0</v>
      </c>
      <c r="BE202" s="476">
        <f>Input!BE295</f>
        <v>0</v>
      </c>
      <c r="BF202" s="476">
        <f>Input!BF295</f>
        <v>0</v>
      </c>
      <c r="BG202" s="476">
        <f>Input!BG295</f>
        <v>0</v>
      </c>
      <c r="BH202" s="476">
        <f>Input!BH295</f>
        <v>0</v>
      </c>
      <c r="BI202" s="476">
        <f>Input!BI295</f>
        <v>0</v>
      </c>
      <c r="BJ202" s="476">
        <f>Input!BJ295</f>
        <v>0</v>
      </c>
      <c r="BK202" s="476">
        <f>Input!BK295</f>
        <v>0</v>
      </c>
      <c r="BL202" s="476">
        <f>Input!BL295</f>
        <v>0</v>
      </c>
      <c r="BM202" s="476">
        <f>Input!BM295</f>
        <v>0</v>
      </c>
      <c r="BN202" s="476">
        <f>Input!BN295</f>
        <v>0</v>
      </c>
      <c r="BO202" s="476">
        <f>Input!BO295</f>
        <v>0</v>
      </c>
      <c r="BP202" s="476">
        <f>Input!BP295</f>
        <v>0</v>
      </c>
    </row>
    <row r="203" spans="2:68" outlineLevel="1" x14ac:dyDescent="0.2">
      <c r="B203" s="20"/>
      <c r="C203" s="80"/>
      <c r="D203" s="402" t="str">
        <f>Input!$D$296</f>
        <v>Loss productive time</v>
      </c>
      <c r="E203" s="80"/>
      <c r="F203" s="80"/>
      <c r="G203" s="80"/>
      <c r="H203" s="80"/>
      <c r="I203" s="80"/>
      <c r="J203" s="80"/>
      <c r="K203" s="401"/>
      <c r="L203" s="436">
        <f t="shared" si="253"/>
        <v>0</v>
      </c>
      <c r="M203" s="469"/>
      <c r="N203" s="470"/>
      <c r="O203" s="470"/>
      <c r="P203" s="470"/>
      <c r="Q203" s="470"/>
      <c r="R203" s="476">
        <f>Input!R296</f>
        <v>0</v>
      </c>
      <c r="S203" s="476">
        <f>Input!S296</f>
        <v>0</v>
      </c>
      <c r="T203" s="476">
        <f>Input!T296</f>
        <v>0</v>
      </c>
      <c r="U203" s="476">
        <f>Input!U296</f>
        <v>0</v>
      </c>
      <c r="V203" s="476">
        <f>Input!V296</f>
        <v>0</v>
      </c>
      <c r="W203" s="476">
        <f>Input!W296</f>
        <v>0</v>
      </c>
      <c r="X203" s="476">
        <f>Input!X296</f>
        <v>0</v>
      </c>
      <c r="Y203" s="476">
        <f>Input!Y296</f>
        <v>0</v>
      </c>
      <c r="Z203" s="476">
        <f>Input!Z296</f>
        <v>0</v>
      </c>
      <c r="AA203" s="476">
        <f>Input!AA296</f>
        <v>0</v>
      </c>
      <c r="AB203" s="476">
        <f>Input!AB296</f>
        <v>0</v>
      </c>
      <c r="AC203" s="476">
        <f>Input!AC296</f>
        <v>0</v>
      </c>
      <c r="AD203" s="476">
        <f>Input!AD296</f>
        <v>0</v>
      </c>
      <c r="AE203" s="476">
        <f>Input!AE296</f>
        <v>0</v>
      </c>
      <c r="AF203" s="476">
        <f>Input!AF296</f>
        <v>0</v>
      </c>
      <c r="AG203" s="476">
        <f>Input!AG296</f>
        <v>0</v>
      </c>
      <c r="AH203" s="476">
        <f>Input!AH296</f>
        <v>0</v>
      </c>
      <c r="AI203" s="476">
        <f>Input!AI296</f>
        <v>0</v>
      </c>
      <c r="AJ203" s="476">
        <f>Input!AJ296</f>
        <v>0</v>
      </c>
      <c r="AK203" s="476">
        <f>Input!AK296</f>
        <v>0</v>
      </c>
      <c r="AL203" s="476">
        <f>Input!AL296</f>
        <v>0</v>
      </c>
      <c r="AM203" s="476">
        <f>Input!AM296</f>
        <v>0</v>
      </c>
      <c r="AN203" s="476">
        <f>Input!AN296</f>
        <v>0</v>
      </c>
      <c r="AO203" s="476">
        <f>Input!AO296</f>
        <v>0</v>
      </c>
      <c r="AP203" s="476">
        <f>Input!AP296</f>
        <v>0</v>
      </c>
      <c r="AQ203" s="476">
        <f>Input!AQ296</f>
        <v>0</v>
      </c>
      <c r="AR203" s="476">
        <f>Input!AR296</f>
        <v>0</v>
      </c>
      <c r="AS203" s="476">
        <f>Input!AS296</f>
        <v>0</v>
      </c>
      <c r="AT203" s="476">
        <f>Input!AT296</f>
        <v>0</v>
      </c>
      <c r="AU203" s="476">
        <f>Input!AU296</f>
        <v>0</v>
      </c>
      <c r="AV203" s="476">
        <f>Input!AV296</f>
        <v>0</v>
      </c>
      <c r="AW203" s="476">
        <f>Input!AW296</f>
        <v>0</v>
      </c>
      <c r="AX203" s="476">
        <f>Input!AX296</f>
        <v>0</v>
      </c>
      <c r="AY203" s="476">
        <f>Input!AY296</f>
        <v>0</v>
      </c>
      <c r="AZ203" s="476">
        <f>Input!AZ296</f>
        <v>0</v>
      </c>
      <c r="BA203" s="476">
        <f>Input!BA296</f>
        <v>0</v>
      </c>
      <c r="BB203" s="476">
        <f>Input!BB296</f>
        <v>0</v>
      </c>
      <c r="BC203" s="476">
        <f>Input!BC296</f>
        <v>0</v>
      </c>
      <c r="BD203" s="476">
        <f>Input!BD296</f>
        <v>0</v>
      </c>
      <c r="BE203" s="476">
        <f>Input!BE296</f>
        <v>0</v>
      </c>
      <c r="BF203" s="476">
        <f>Input!BF296</f>
        <v>0</v>
      </c>
      <c r="BG203" s="476">
        <f>Input!BG296</f>
        <v>0</v>
      </c>
      <c r="BH203" s="476">
        <f>Input!BH296</f>
        <v>0</v>
      </c>
      <c r="BI203" s="476">
        <f>Input!BI296</f>
        <v>0</v>
      </c>
      <c r="BJ203" s="476">
        <f>Input!BJ296</f>
        <v>0</v>
      </c>
      <c r="BK203" s="476">
        <f>Input!BK296</f>
        <v>0</v>
      </c>
      <c r="BL203" s="476">
        <f>Input!BL296</f>
        <v>0</v>
      </c>
      <c r="BM203" s="476">
        <f>Input!BM296</f>
        <v>0</v>
      </c>
      <c r="BN203" s="476">
        <f>Input!BN296</f>
        <v>0</v>
      </c>
      <c r="BO203" s="476">
        <f>Input!BO296</f>
        <v>0</v>
      </c>
      <c r="BP203" s="476">
        <f>Input!BP296</f>
        <v>0</v>
      </c>
    </row>
    <row r="204" spans="2:68" outlineLevel="1" x14ac:dyDescent="0.2">
      <c r="B204" s="20"/>
      <c r="C204" s="80"/>
      <c r="D204" s="403" t="str">
        <f>Input!$D$297</f>
        <v>Additional capex completed without additional labour cost</v>
      </c>
      <c r="E204" s="80"/>
      <c r="F204" s="80"/>
      <c r="G204" s="80"/>
      <c r="H204" s="80"/>
      <c r="I204" s="80"/>
      <c r="J204" s="80"/>
      <c r="K204" s="401"/>
      <c r="L204" s="436">
        <f t="shared" si="253"/>
        <v>0</v>
      </c>
      <c r="M204" s="469"/>
      <c r="N204" s="470"/>
      <c r="O204" s="470"/>
      <c r="P204" s="470"/>
      <c r="Q204" s="470"/>
      <c r="R204" s="476">
        <f>Input!R297</f>
        <v>0</v>
      </c>
      <c r="S204" s="476">
        <f>Input!S297</f>
        <v>0</v>
      </c>
      <c r="T204" s="476">
        <f>Input!T297</f>
        <v>0</v>
      </c>
      <c r="U204" s="476">
        <f>Input!U297</f>
        <v>0</v>
      </c>
      <c r="V204" s="476">
        <f>Input!V297</f>
        <v>0</v>
      </c>
      <c r="W204" s="476">
        <f>Input!W297</f>
        <v>0</v>
      </c>
      <c r="X204" s="476">
        <f>Input!X297</f>
        <v>0</v>
      </c>
      <c r="Y204" s="476">
        <f>Input!Y297</f>
        <v>0</v>
      </c>
      <c r="Z204" s="476">
        <f>Input!Z297</f>
        <v>0</v>
      </c>
      <c r="AA204" s="476">
        <f>Input!AA297</f>
        <v>0</v>
      </c>
      <c r="AB204" s="476">
        <f>Input!AB297</f>
        <v>0</v>
      </c>
      <c r="AC204" s="476">
        <f>Input!AC297</f>
        <v>0</v>
      </c>
      <c r="AD204" s="476">
        <f>Input!AD297</f>
        <v>0</v>
      </c>
      <c r="AE204" s="476">
        <f>Input!AE297</f>
        <v>0</v>
      </c>
      <c r="AF204" s="476">
        <f>Input!AF297</f>
        <v>0</v>
      </c>
      <c r="AG204" s="476">
        <f>Input!AG297</f>
        <v>0</v>
      </c>
      <c r="AH204" s="476">
        <f>Input!AH297</f>
        <v>0</v>
      </c>
      <c r="AI204" s="476">
        <f>Input!AI297</f>
        <v>0</v>
      </c>
      <c r="AJ204" s="476">
        <f>Input!AJ297</f>
        <v>0</v>
      </c>
      <c r="AK204" s="476">
        <f>Input!AK297</f>
        <v>0</v>
      </c>
      <c r="AL204" s="476">
        <f>Input!AL297</f>
        <v>0</v>
      </c>
      <c r="AM204" s="476">
        <f>Input!AM297</f>
        <v>0</v>
      </c>
      <c r="AN204" s="476">
        <f>Input!AN297</f>
        <v>0</v>
      </c>
      <c r="AO204" s="476">
        <f>Input!AO297</f>
        <v>0</v>
      </c>
      <c r="AP204" s="476">
        <f>Input!AP297</f>
        <v>0</v>
      </c>
      <c r="AQ204" s="476">
        <f>Input!AQ297</f>
        <v>0</v>
      </c>
      <c r="AR204" s="476">
        <f>Input!AR297</f>
        <v>0</v>
      </c>
      <c r="AS204" s="476">
        <f>Input!AS297</f>
        <v>0</v>
      </c>
      <c r="AT204" s="476">
        <f>Input!AT297</f>
        <v>0</v>
      </c>
      <c r="AU204" s="476">
        <f>Input!AU297</f>
        <v>0</v>
      </c>
      <c r="AV204" s="476">
        <f>Input!AV297</f>
        <v>0</v>
      </c>
      <c r="AW204" s="476">
        <f>Input!AW297</f>
        <v>0</v>
      </c>
      <c r="AX204" s="476">
        <f>Input!AX297</f>
        <v>0</v>
      </c>
      <c r="AY204" s="476">
        <f>Input!AY297</f>
        <v>0</v>
      </c>
      <c r="AZ204" s="476">
        <f>Input!AZ297</f>
        <v>0</v>
      </c>
      <c r="BA204" s="476">
        <f>Input!BA297</f>
        <v>0</v>
      </c>
      <c r="BB204" s="476">
        <f>Input!BB297</f>
        <v>0</v>
      </c>
      <c r="BC204" s="476">
        <f>Input!BC297</f>
        <v>0</v>
      </c>
      <c r="BD204" s="476">
        <f>Input!BD297</f>
        <v>0</v>
      </c>
      <c r="BE204" s="476">
        <f>Input!BE297</f>
        <v>0</v>
      </c>
      <c r="BF204" s="476">
        <f>Input!BF297</f>
        <v>0</v>
      </c>
      <c r="BG204" s="476">
        <f>Input!BG297</f>
        <v>0</v>
      </c>
      <c r="BH204" s="476">
        <f>Input!BH297</f>
        <v>0</v>
      </c>
      <c r="BI204" s="476">
        <f>Input!BI297</f>
        <v>0</v>
      </c>
      <c r="BJ204" s="476">
        <f>Input!BJ297</f>
        <v>0</v>
      </c>
      <c r="BK204" s="476">
        <f>Input!BK297</f>
        <v>0</v>
      </c>
      <c r="BL204" s="476">
        <f>Input!BL297</f>
        <v>0</v>
      </c>
      <c r="BM204" s="476">
        <f>Input!BM297</f>
        <v>0</v>
      </c>
      <c r="BN204" s="476">
        <f>Input!BN297</f>
        <v>0</v>
      </c>
      <c r="BO204" s="476">
        <f>Input!BO297</f>
        <v>0</v>
      </c>
      <c r="BP204" s="476">
        <f>Input!BP297</f>
        <v>0</v>
      </c>
    </row>
    <row r="205" spans="2:68" outlineLevel="1" x14ac:dyDescent="0.2">
      <c r="B205" s="20"/>
      <c r="C205" s="80"/>
      <c r="D205" s="403" t="str">
        <f>Input!$D$298</f>
        <v>Decrease in opex costs</v>
      </c>
      <c r="E205" s="80"/>
      <c r="F205" s="80"/>
      <c r="G205" s="80"/>
      <c r="H205" s="80"/>
      <c r="I205" s="80"/>
      <c r="J205" s="80"/>
      <c r="K205" s="401"/>
      <c r="L205" s="436">
        <f t="shared" si="253"/>
        <v>0</v>
      </c>
      <c r="M205" s="469"/>
      <c r="N205" s="470"/>
      <c r="O205" s="470"/>
      <c r="P205" s="470"/>
      <c r="Q205" s="470"/>
      <c r="R205" s="476">
        <f>Input!R298</f>
        <v>0</v>
      </c>
      <c r="S205" s="476">
        <f>Input!S298</f>
        <v>0</v>
      </c>
      <c r="T205" s="476">
        <f>Input!T298</f>
        <v>0</v>
      </c>
      <c r="U205" s="476">
        <f>Input!U298</f>
        <v>0</v>
      </c>
      <c r="V205" s="476">
        <f>Input!V298</f>
        <v>0</v>
      </c>
      <c r="W205" s="476">
        <f>Input!W298</f>
        <v>0</v>
      </c>
      <c r="X205" s="476">
        <f>Input!X298</f>
        <v>0</v>
      </c>
      <c r="Y205" s="476">
        <f>Input!Y298</f>
        <v>0</v>
      </c>
      <c r="Z205" s="476">
        <f>Input!Z298</f>
        <v>0</v>
      </c>
      <c r="AA205" s="476">
        <f>Input!AA298</f>
        <v>0</v>
      </c>
      <c r="AB205" s="476">
        <f>Input!AB298</f>
        <v>0</v>
      </c>
      <c r="AC205" s="476">
        <f>Input!AC298</f>
        <v>0</v>
      </c>
      <c r="AD205" s="476">
        <f>Input!AD298</f>
        <v>0</v>
      </c>
      <c r="AE205" s="476">
        <f>Input!AE298</f>
        <v>0</v>
      </c>
      <c r="AF205" s="476">
        <f>Input!AF298</f>
        <v>0</v>
      </c>
      <c r="AG205" s="476">
        <f>Input!AG298</f>
        <v>0</v>
      </c>
      <c r="AH205" s="476">
        <f>Input!AH298</f>
        <v>0</v>
      </c>
      <c r="AI205" s="476">
        <f>Input!AI298</f>
        <v>0</v>
      </c>
      <c r="AJ205" s="476">
        <f>Input!AJ298</f>
        <v>0</v>
      </c>
      <c r="AK205" s="476">
        <f>Input!AK298</f>
        <v>0</v>
      </c>
      <c r="AL205" s="476">
        <f>Input!AL298</f>
        <v>0</v>
      </c>
      <c r="AM205" s="476">
        <f>Input!AM298</f>
        <v>0</v>
      </c>
      <c r="AN205" s="476">
        <f>Input!AN298</f>
        <v>0</v>
      </c>
      <c r="AO205" s="476">
        <f>Input!AO298</f>
        <v>0</v>
      </c>
      <c r="AP205" s="476">
        <f>Input!AP298</f>
        <v>0</v>
      </c>
      <c r="AQ205" s="476">
        <f>Input!AQ298</f>
        <v>0</v>
      </c>
      <c r="AR205" s="476">
        <f>Input!AR298</f>
        <v>0</v>
      </c>
      <c r="AS205" s="476">
        <f>Input!AS298</f>
        <v>0</v>
      </c>
      <c r="AT205" s="476">
        <f>Input!AT298</f>
        <v>0</v>
      </c>
      <c r="AU205" s="476">
        <f>Input!AU298</f>
        <v>0</v>
      </c>
      <c r="AV205" s="476">
        <f>Input!AV298</f>
        <v>0</v>
      </c>
      <c r="AW205" s="476">
        <f>Input!AW298</f>
        <v>0</v>
      </c>
      <c r="AX205" s="476">
        <f>Input!AX298</f>
        <v>0</v>
      </c>
      <c r="AY205" s="476">
        <f>Input!AY298</f>
        <v>0</v>
      </c>
      <c r="AZ205" s="476">
        <f>Input!AZ298</f>
        <v>0</v>
      </c>
      <c r="BA205" s="476">
        <f>Input!BA298</f>
        <v>0</v>
      </c>
      <c r="BB205" s="476">
        <f>Input!BB298</f>
        <v>0</v>
      </c>
      <c r="BC205" s="476">
        <f>Input!BC298</f>
        <v>0</v>
      </c>
      <c r="BD205" s="476">
        <f>Input!BD298</f>
        <v>0</v>
      </c>
      <c r="BE205" s="476">
        <f>Input!BE298</f>
        <v>0</v>
      </c>
      <c r="BF205" s="476">
        <f>Input!BF298</f>
        <v>0</v>
      </c>
      <c r="BG205" s="476">
        <f>Input!BG298</f>
        <v>0</v>
      </c>
      <c r="BH205" s="476">
        <f>Input!BH298</f>
        <v>0</v>
      </c>
      <c r="BI205" s="476">
        <f>Input!BI298</f>
        <v>0</v>
      </c>
      <c r="BJ205" s="476">
        <f>Input!BJ298</f>
        <v>0</v>
      </c>
      <c r="BK205" s="476">
        <f>Input!BK298</f>
        <v>0</v>
      </c>
      <c r="BL205" s="476">
        <f>Input!BL298</f>
        <v>0</v>
      </c>
      <c r="BM205" s="476">
        <f>Input!BM298</f>
        <v>0</v>
      </c>
      <c r="BN205" s="476">
        <f>Input!BN298</f>
        <v>0</v>
      </c>
      <c r="BO205" s="476">
        <f>Input!BO298</f>
        <v>0</v>
      </c>
      <c r="BP205" s="476">
        <f>Input!BP298</f>
        <v>0</v>
      </c>
    </row>
    <row r="206" spans="2:68" outlineLevel="1" x14ac:dyDescent="0.2">
      <c r="B206" s="20"/>
      <c r="C206" s="80"/>
      <c r="D206" s="483" t="s">
        <v>393</v>
      </c>
      <c r="E206" s="80"/>
      <c r="F206" s="80"/>
      <c r="G206" s="80"/>
      <c r="H206" s="80"/>
      <c r="I206" s="80"/>
      <c r="J206" s="80"/>
      <c r="K206" s="401"/>
      <c r="L206" s="436">
        <f>MIN(R206:BP206)</f>
        <v>0</v>
      </c>
      <c r="M206" s="469"/>
      <c r="N206" s="470"/>
      <c r="O206" s="470"/>
      <c r="P206" s="470"/>
      <c r="Q206" s="470"/>
      <c r="R206" s="401" t="str">
        <f>IF(R205=0,"",R$15)</f>
        <v/>
      </c>
      <c r="S206" s="401" t="str">
        <f t="shared" ref="S206" si="255">IF(S205=0,"",S$15)</f>
        <v/>
      </c>
      <c r="T206" s="401" t="str">
        <f t="shared" ref="T206" si="256">IF(T205=0,"",T$15)</f>
        <v/>
      </c>
      <c r="U206" s="401" t="str">
        <f t="shared" ref="U206" si="257">IF(U205=0,"",U$15)</f>
        <v/>
      </c>
      <c r="V206" s="401" t="str">
        <f t="shared" ref="V206" si="258">IF(V205=0,"",V$15)</f>
        <v/>
      </c>
      <c r="W206" s="401" t="str">
        <f t="shared" ref="W206" si="259">IF(W205=0,"",W$15)</f>
        <v/>
      </c>
      <c r="X206" s="401" t="str">
        <f t="shared" ref="X206" si="260">IF(X205=0,"",X$15)</f>
        <v/>
      </c>
      <c r="Y206" s="401" t="str">
        <f t="shared" ref="Y206" si="261">IF(Y205=0,"",Y$15)</f>
        <v/>
      </c>
      <c r="Z206" s="401" t="str">
        <f t="shared" ref="Z206" si="262">IF(Z205=0,"",Z$15)</f>
        <v/>
      </c>
      <c r="AA206" s="401" t="str">
        <f t="shared" ref="AA206" si="263">IF(AA205=0,"",AA$15)</f>
        <v/>
      </c>
      <c r="AB206" s="401" t="str">
        <f t="shared" ref="AB206" si="264">IF(AB205=0,"",AB$15)</f>
        <v/>
      </c>
      <c r="AC206" s="401" t="str">
        <f t="shared" ref="AC206" si="265">IF(AC205=0,"",AC$15)</f>
        <v/>
      </c>
      <c r="AD206" s="401" t="str">
        <f t="shared" ref="AD206" si="266">IF(AD205=0,"",AD$15)</f>
        <v/>
      </c>
      <c r="AE206" s="401" t="str">
        <f t="shared" ref="AE206" si="267">IF(AE205=0,"",AE$15)</f>
        <v/>
      </c>
      <c r="AF206" s="401" t="str">
        <f t="shared" ref="AF206" si="268">IF(AF205=0,"",AF$15)</f>
        <v/>
      </c>
      <c r="AG206" s="401" t="str">
        <f t="shared" ref="AG206" si="269">IF(AG205=0,"",AG$15)</f>
        <v/>
      </c>
      <c r="AH206" s="401" t="str">
        <f t="shared" ref="AH206" si="270">IF(AH205=0,"",AH$15)</f>
        <v/>
      </c>
      <c r="AI206" s="401" t="str">
        <f t="shared" ref="AI206" si="271">IF(AI205=0,"",AI$15)</f>
        <v/>
      </c>
      <c r="AJ206" s="401" t="str">
        <f t="shared" ref="AJ206" si="272">IF(AJ205=0,"",AJ$15)</f>
        <v/>
      </c>
      <c r="AK206" s="401" t="str">
        <f t="shared" ref="AK206" si="273">IF(AK205=0,"",AK$15)</f>
        <v/>
      </c>
      <c r="AL206" s="401" t="str">
        <f t="shared" ref="AL206" si="274">IF(AL205=0,"",AL$15)</f>
        <v/>
      </c>
      <c r="AM206" s="401" t="str">
        <f t="shared" ref="AM206" si="275">IF(AM205=0,"",AM$15)</f>
        <v/>
      </c>
      <c r="AN206" s="401" t="str">
        <f t="shared" ref="AN206" si="276">IF(AN205=0,"",AN$15)</f>
        <v/>
      </c>
      <c r="AO206" s="401" t="str">
        <f t="shared" ref="AO206" si="277">IF(AO205=0,"",AO$15)</f>
        <v/>
      </c>
      <c r="AP206" s="401" t="str">
        <f t="shared" ref="AP206" si="278">IF(AP205=0,"",AP$15)</f>
        <v/>
      </c>
      <c r="AQ206" s="401" t="str">
        <f t="shared" ref="AQ206" si="279">IF(AQ205=0,"",AQ$15)</f>
        <v/>
      </c>
      <c r="AR206" s="401" t="str">
        <f t="shared" ref="AR206" si="280">IF(AR205=0,"",AR$15)</f>
        <v/>
      </c>
      <c r="AS206" s="401" t="str">
        <f t="shared" ref="AS206" si="281">IF(AS205=0,"",AS$15)</f>
        <v/>
      </c>
      <c r="AT206" s="401" t="str">
        <f t="shared" ref="AT206" si="282">IF(AT205=0,"",AT$15)</f>
        <v/>
      </c>
      <c r="AU206" s="401" t="str">
        <f t="shared" ref="AU206" si="283">IF(AU205=0,"",AU$15)</f>
        <v/>
      </c>
      <c r="AV206" s="401" t="str">
        <f t="shared" ref="AV206" si="284">IF(AV205=0,"",AV$15)</f>
        <v/>
      </c>
      <c r="AW206" s="401" t="str">
        <f t="shared" ref="AW206" si="285">IF(AW205=0,"",AW$15)</f>
        <v/>
      </c>
      <c r="AX206" s="401" t="str">
        <f t="shared" ref="AX206" si="286">IF(AX205=0,"",AX$15)</f>
        <v/>
      </c>
      <c r="AY206" s="401" t="str">
        <f t="shared" ref="AY206" si="287">IF(AY205=0,"",AY$15)</f>
        <v/>
      </c>
      <c r="AZ206" s="401" t="str">
        <f t="shared" ref="AZ206" si="288">IF(AZ205=0,"",AZ$15)</f>
        <v/>
      </c>
      <c r="BA206" s="401" t="str">
        <f t="shared" ref="BA206" si="289">IF(BA205=0,"",BA$15)</f>
        <v/>
      </c>
      <c r="BB206" s="401" t="str">
        <f t="shared" ref="BB206" si="290">IF(BB205=0,"",BB$15)</f>
        <v/>
      </c>
      <c r="BC206" s="401" t="str">
        <f t="shared" ref="BC206" si="291">IF(BC205=0,"",BC$15)</f>
        <v/>
      </c>
      <c r="BD206" s="401" t="str">
        <f t="shared" ref="BD206" si="292">IF(BD205=0,"",BD$15)</f>
        <v/>
      </c>
      <c r="BE206" s="401" t="str">
        <f t="shared" ref="BE206" si="293">IF(BE205=0,"",BE$15)</f>
        <v/>
      </c>
      <c r="BF206" s="401" t="str">
        <f t="shared" ref="BF206" si="294">IF(BF205=0,"",BF$15)</f>
        <v/>
      </c>
      <c r="BG206" s="401" t="str">
        <f t="shared" ref="BG206" si="295">IF(BG205=0,"",BG$15)</f>
        <v/>
      </c>
      <c r="BH206" s="401" t="str">
        <f t="shared" ref="BH206" si="296">IF(BH205=0,"",BH$15)</f>
        <v/>
      </c>
      <c r="BI206" s="401" t="str">
        <f t="shared" ref="BI206" si="297">IF(BI205=0,"",BI$15)</f>
        <v/>
      </c>
      <c r="BJ206" s="401" t="str">
        <f t="shared" ref="BJ206" si="298">IF(BJ205=0,"",BJ$15)</f>
        <v/>
      </c>
      <c r="BK206" s="401" t="str">
        <f t="shared" ref="BK206" si="299">IF(BK205=0,"",BK$15)</f>
        <v/>
      </c>
      <c r="BL206" s="401" t="str">
        <f t="shared" ref="BL206" si="300">IF(BL205=0,"",BL$15)</f>
        <v/>
      </c>
      <c r="BM206" s="401" t="str">
        <f t="shared" ref="BM206" si="301">IF(BM205=0,"",BM$15)</f>
        <v/>
      </c>
      <c r="BN206" s="401" t="str">
        <f t="shared" ref="BN206" si="302">IF(BN205=0,"",BN$15)</f>
        <v/>
      </c>
      <c r="BO206" s="401" t="str">
        <f t="shared" ref="BO206" si="303">IF(BO205=0,"",BO$15)</f>
        <v/>
      </c>
      <c r="BP206" s="401" t="str">
        <f t="shared" ref="BP206" si="304">IF(BP205=0,"",BP$15)</f>
        <v/>
      </c>
    </row>
    <row r="207" spans="2:68" outlineLevel="1" x14ac:dyDescent="0.2">
      <c r="B207" s="20"/>
      <c r="C207" s="80"/>
      <c r="D207" s="402" t="str">
        <f>Input!$D$299</f>
        <v>Safety risk</v>
      </c>
      <c r="E207" s="80"/>
      <c r="F207" s="80"/>
      <c r="G207" s="80"/>
      <c r="H207" s="80"/>
      <c r="I207" s="80"/>
      <c r="J207" s="80"/>
      <c r="K207" s="401"/>
      <c r="L207" s="436">
        <f t="shared" si="253"/>
        <v>0</v>
      </c>
      <c r="M207" s="469"/>
      <c r="N207" s="470"/>
      <c r="O207" s="470"/>
      <c r="P207" s="470"/>
      <c r="Q207" s="470"/>
      <c r="R207" s="476">
        <f>Input!R299</f>
        <v>0</v>
      </c>
      <c r="S207" s="476">
        <f>Input!S299</f>
        <v>0</v>
      </c>
      <c r="T207" s="476">
        <f>Input!T299</f>
        <v>0</v>
      </c>
      <c r="U207" s="476">
        <f>Input!U299</f>
        <v>0</v>
      </c>
      <c r="V207" s="476">
        <f>Input!V299</f>
        <v>0</v>
      </c>
      <c r="W207" s="476">
        <f>Input!W299</f>
        <v>0</v>
      </c>
      <c r="X207" s="476">
        <f>Input!X299</f>
        <v>0</v>
      </c>
      <c r="Y207" s="476">
        <f>Input!Y299</f>
        <v>0</v>
      </c>
      <c r="Z207" s="476">
        <f>Input!Z299</f>
        <v>0</v>
      </c>
      <c r="AA207" s="476">
        <f>Input!AA299</f>
        <v>0</v>
      </c>
      <c r="AB207" s="476">
        <f>Input!AB299</f>
        <v>0</v>
      </c>
      <c r="AC207" s="476">
        <f>Input!AC299</f>
        <v>0</v>
      </c>
      <c r="AD207" s="476">
        <f>Input!AD299</f>
        <v>0</v>
      </c>
      <c r="AE207" s="476">
        <f>Input!AE299</f>
        <v>0</v>
      </c>
      <c r="AF207" s="476">
        <f>Input!AF299</f>
        <v>0</v>
      </c>
      <c r="AG207" s="476">
        <f>Input!AG299</f>
        <v>0</v>
      </c>
      <c r="AH207" s="476">
        <f>Input!AH299</f>
        <v>0</v>
      </c>
      <c r="AI207" s="476">
        <f>Input!AI299</f>
        <v>0</v>
      </c>
      <c r="AJ207" s="476">
        <f>Input!AJ299</f>
        <v>0</v>
      </c>
      <c r="AK207" s="476">
        <f>Input!AK299</f>
        <v>0</v>
      </c>
      <c r="AL207" s="476">
        <f>Input!AL299</f>
        <v>0</v>
      </c>
      <c r="AM207" s="476">
        <f>Input!AM299</f>
        <v>0</v>
      </c>
      <c r="AN207" s="476">
        <f>Input!AN299</f>
        <v>0</v>
      </c>
      <c r="AO207" s="476">
        <f>Input!AO299</f>
        <v>0</v>
      </c>
      <c r="AP207" s="476">
        <f>Input!AP299</f>
        <v>0</v>
      </c>
      <c r="AQ207" s="476">
        <f>Input!AQ299</f>
        <v>0</v>
      </c>
      <c r="AR207" s="476">
        <f>Input!AR299</f>
        <v>0</v>
      </c>
      <c r="AS207" s="476">
        <f>Input!AS299</f>
        <v>0</v>
      </c>
      <c r="AT207" s="476">
        <f>Input!AT299</f>
        <v>0</v>
      </c>
      <c r="AU207" s="476">
        <f>Input!AU299</f>
        <v>0</v>
      </c>
      <c r="AV207" s="476">
        <f>Input!AV299</f>
        <v>0</v>
      </c>
      <c r="AW207" s="476">
        <f>Input!AW299</f>
        <v>0</v>
      </c>
      <c r="AX207" s="476">
        <f>Input!AX299</f>
        <v>0</v>
      </c>
      <c r="AY207" s="476">
        <f>Input!AY299</f>
        <v>0</v>
      </c>
      <c r="AZ207" s="476">
        <f>Input!AZ299</f>
        <v>0</v>
      </c>
      <c r="BA207" s="476">
        <f>Input!BA299</f>
        <v>0</v>
      </c>
      <c r="BB207" s="476">
        <f>Input!BB299</f>
        <v>0</v>
      </c>
      <c r="BC207" s="476">
        <f>Input!BC299</f>
        <v>0</v>
      </c>
      <c r="BD207" s="476">
        <f>Input!BD299</f>
        <v>0</v>
      </c>
      <c r="BE207" s="476">
        <f>Input!BE299</f>
        <v>0</v>
      </c>
      <c r="BF207" s="476">
        <f>Input!BF299</f>
        <v>0</v>
      </c>
      <c r="BG207" s="476">
        <f>Input!BG299</f>
        <v>0</v>
      </c>
      <c r="BH207" s="476">
        <f>Input!BH299</f>
        <v>0</v>
      </c>
      <c r="BI207" s="476">
        <f>Input!BI299</f>
        <v>0</v>
      </c>
      <c r="BJ207" s="476">
        <f>Input!BJ299</f>
        <v>0</v>
      </c>
      <c r="BK207" s="476">
        <f>Input!BK299</f>
        <v>0</v>
      </c>
      <c r="BL207" s="476">
        <f>Input!BL299</f>
        <v>0</v>
      </c>
      <c r="BM207" s="476">
        <f>Input!BM299</f>
        <v>0</v>
      </c>
      <c r="BN207" s="476">
        <f>Input!BN299</f>
        <v>0</v>
      </c>
      <c r="BO207" s="476">
        <f>Input!BO299</f>
        <v>0</v>
      </c>
      <c r="BP207" s="476">
        <f>Input!BP299</f>
        <v>0</v>
      </c>
    </row>
    <row r="208" spans="2:68" outlineLevel="1" x14ac:dyDescent="0.2">
      <c r="B208" s="20"/>
      <c r="C208" s="80"/>
      <c r="D208" s="81" t="str">
        <f>Input!$D$300</f>
        <v>Employee engagement</v>
      </c>
      <c r="E208" s="80"/>
      <c r="F208" s="80"/>
      <c r="G208" s="80"/>
      <c r="H208" s="80"/>
      <c r="I208" s="80"/>
      <c r="J208" s="80"/>
      <c r="K208" s="401"/>
      <c r="L208" s="436">
        <f t="shared" si="253"/>
        <v>0</v>
      </c>
      <c r="M208" s="469"/>
      <c r="N208" s="470"/>
      <c r="O208" s="470"/>
      <c r="P208" s="470"/>
      <c r="Q208" s="470"/>
      <c r="R208" s="476">
        <f>Input!R300</f>
        <v>0</v>
      </c>
      <c r="S208" s="476">
        <f>Input!S300</f>
        <v>0</v>
      </c>
      <c r="T208" s="476">
        <f>Input!T300</f>
        <v>0</v>
      </c>
      <c r="U208" s="476">
        <f>Input!U300</f>
        <v>0</v>
      </c>
      <c r="V208" s="476">
        <f>Input!V300</f>
        <v>0</v>
      </c>
      <c r="W208" s="476">
        <f>Input!W300</f>
        <v>0</v>
      </c>
      <c r="X208" s="476">
        <f>Input!X300</f>
        <v>0</v>
      </c>
      <c r="Y208" s="476">
        <f>Input!Y300</f>
        <v>0</v>
      </c>
      <c r="Z208" s="476">
        <f>Input!Z300</f>
        <v>0</v>
      </c>
      <c r="AA208" s="476">
        <f>Input!AA300</f>
        <v>0</v>
      </c>
      <c r="AB208" s="476">
        <f>Input!AB300</f>
        <v>0</v>
      </c>
      <c r="AC208" s="476">
        <f>Input!AC300</f>
        <v>0</v>
      </c>
      <c r="AD208" s="476">
        <f>Input!AD300</f>
        <v>0</v>
      </c>
      <c r="AE208" s="476">
        <f>Input!AE300</f>
        <v>0</v>
      </c>
      <c r="AF208" s="476">
        <f>Input!AF300</f>
        <v>0</v>
      </c>
      <c r="AG208" s="476">
        <f>Input!AG300</f>
        <v>0</v>
      </c>
      <c r="AH208" s="476">
        <f>Input!AH300</f>
        <v>0</v>
      </c>
      <c r="AI208" s="476">
        <f>Input!AI300</f>
        <v>0</v>
      </c>
      <c r="AJ208" s="476">
        <f>Input!AJ300</f>
        <v>0</v>
      </c>
      <c r="AK208" s="476">
        <f>Input!AK300</f>
        <v>0</v>
      </c>
      <c r="AL208" s="476">
        <f>Input!AL300</f>
        <v>0</v>
      </c>
      <c r="AM208" s="476">
        <f>Input!AM300</f>
        <v>0</v>
      </c>
      <c r="AN208" s="476">
        <f>Input!AN300</f>
        <v>0</v>
      </c>
      <c r="AO208" s="476">
        <f>Input!AO300</f>
        <v>0</v>
      </c>
      <c r="AP208" s="476">
        <f>Input!AP300</f>
        <v>0</v>
      </c>
      <c r="AQ208" s="476">
        <f>Input!AQ300</f>
        <v>0</v>
      </c>
      <c r="AR208" s="476">
        <f>Input!AR300</f>
        <v>0</v>
      </c>
      <c r="AS208" s="476">
        <f>Input!AS300</f>
        <v>0</v>
      </c>
      <c r="AT208" s="476">
        <f>Input!AT300</f>
        <v>0</v>
      </c>
      <c r="AU208" s="476">
        <f>Input!AU300</f>
        <v>0</v>
      </c>
      <c r="AV208" s="476">
        <f>Input!AV300</f>
        <v>0</v>
      </c>
      <c r="AW208" s="476">
        <f>Input!AW300</f>
        <v>0</v>
      </c>
      <c r="AX208" s="476">
        <f>Input!AX300</f>
        <v>0</v>
      </c>
      <c r="AY208" s="476">
        <f>Input!AY300</f>
        <v>0</v>
      </c>
      <c r="AZ208" s="476">
        <f>Input!AZ300</f>
        <v>0</v>
      </c>
      <c r="BA208" s="476">
        <f>Input!BA300</f>
        <v>0</v>
      </c>
      <c r="BB208" s="476">
        <f>Input!BB300</f>
        <v>0</v>
      </c>
      <c r="BC208" s="476">
        <f>Input!BC300</f>
        <v>0</v>
      </c>
      <c r="BD208" s="476">
        <f>Input!BD300</f>
        <v>0</v>
      </c>
      <c r="BE208" s="476">
        <f>Input!BE300</f>
        <v>0</v>
      </c>
      <c r="BF208" s="476">
        <f>Input!BF300</f>
        <v>0</v>
      </c>
      <c r="BG208" s="476">
        <f>Input!BG300</f>
        <v>0</v>
      </c>
      <c r="BH208" s="476">
        <f>Input!BH300</f>
        <v>0</v>
      </c>
      <c r="BI208" s="476">
        <f>Input!BI300</f>
        <v>0</v>
      </c>
      <c r="BJ208" s="476">
        <f>Input!BJ300</f>
        <v>0</v>
      </c>
      <c r="BK208" s="476">
        <f>Input!BK300</f>
        <v>0</v>
      </c>
      <c r="BL208" s="476">
        <f>Input!BL300</f>
        <v>0</v>
      </c>
      <c r="BM208" s="476">
        <f>Input!BM300</f>
        <v>0</v>
      </c>
      <c r="BN208" s="476">
        <f>Input!BN300</f>
        <v>0</v>
      </c>
      <c r="BO208" s="476">
        <f>Input!BO300</f>
        <v>0</v>
      </c>
      <c r="BP208" s="476">
        <f>Input!BP300</f>
        <v>0</v>
      </c>
    </row>
    <row r="209" spans="2:68" outlineLevel="1" x14ac:dyDescent="0.2">
      <c r="B209" s="20"/>
      <c r="C209" s="80"/>
      <c r="D209" s="403" t="str">
        <f>Input!$D$301</f>
        <v>Additional capex completed without additional labour cost</v>
      </c>
      <c r="E209" s="80"/>
      <c r="F209" s="80"/>
      <c r="G209" s="80"/>
      <c r="H209" s="80"/>
      <c r="I209" s="80"/>
      <c r="J209" s="80"/>
      <c r="K209" s="401"/>
      <c r="L209" s="436">
        <f t="shared" si="253"/>
        <v>0</v>
      </c>
      <c r="M209" s="469"/>
      <c r="N209" s="470"/>
      <c r="O209" s="470"/>
      <c r="P209" s="470"/>
      <c r="Q209" s="470"/>
      <c r="R209" s="476">
        <f>Input!R301</f>
        <v>0</v>
      </c>
      <c r="S209" s="476">
        <f>Input!S301</f>
        <v>0</v>
      </c>
      <c r="T209" s="476">
        <f>Input!T301</f>
        <v>0</v>
      </c>
      <c r="U209" s="476">
        <f>Input!U301</f>
        <v>0</v>
      </c>
      <c r="V209" s="476">
        <f>Input!V301</f>
        <v>0</v>
      </c>
      <c r="W209" s="476">
        <f>Input!W301</f>
        <v>0</v>
      </c>
      <c r="X209" s="476">
        <f>Input!X301</f>
        <v>0</v>
      </c>
      <c r="Y209" s="476">
        <f>Input!Y301</f>
        <v>0</v>
      </c>
      <c r="Z209" s="476">
        <f>Input!Z301</f>
        <v>0</v>
      </c>
      <c r="AA209" s="476">
        <f>Input!AA301</f>
        <v>0</v>
      </c>
      <c r="AB209" s="476">
        <f>Input!AB301</f>
        <v>0</v>
      </c>
      <c r="AC209" s="476">
        <f>Input!AC301</f>
        <v>0</v>
      </c>
      <c r="AD209" s="476">
        <f>Input!AD301</f>
        <v>0</v>
      </c>
      <c r="AE209" s="476">
        <f>Input!AE301</f>
        <v>0</v>
      </c>
      <c r="AF209" s="476">
        <f>Input!AF301</f>
        <v>0</v>
      </c>
      <c r="AG209" s="476">
        <f>Input!AG301</f>
        <v>0</v>
      </c>
      <c r="AH209" s="476">
        <f>Input!AH301</f>
        <v>0</v>
      </c>
      <c r="AI209" s="476">
        <f>Input!AI301</f>
        <v>0</v>
      </c>
      <c r="AJ209" s="476">
        <f>Input!AJ301</f>
        <v>0</v>
      </c>
      <c r="AK209" s="476">
        <f>Input!AK301</f>
        <v>0</v>
      </c>
      <c r="AL209" s="476">
        <f>Input!AL301</f>
        <v>0</v>
      </c>
      <c r="AM209" s="476">
        <f>Input!AM301</f>
        <v>0</v>
      </c>
      <c r="AN209" s="476">
        <f>Input!AN301</f>
        <v>0</v>
      </c>
      <c r="AO209" s="476">
        <f>Input!AO301</f>
        <v>0</v>
      </c>
      <c r="AP209" s="476">
        <f>Input!AP301</f>
        <v>0</v>
      </c>
      <c r="AQ209" s="476">
        <f>Input!AQ301</f>
        <v>0</v>
      </c>
      <c r="AR209" s="476">
        <f>Input!AR301</f>
        <v>0</v>
      </c>
      <c r="AS209" s="476">
        <f>Input!AS301</f>
        <v>0</v>
      </c>
      <c r="AT209" s="476">
        <f>Input!AT301</f>
        <v>0</v>
      </c>
      <c r="AU209" s="476">
        <f>Input!AU301</f>
        <v>0</v>
      </c>
      <c r="AV209" s="476">
        <f>Input!AV301</f>
        <v>0</v>
      </c>
      <c r="AW209" s="476">
        <f>Input!AW301</f>
        <v>0</v>
      </c>
      <c r="AX209" s="476">
        <f>Input!AX301</f>
        <v>0</v>
      </c>
      <c r="AY209" s="476">
        <f>Input!AY301</f>
        <v>0</v>
      </c>
      <c r="AZ209" s="476">
        <f>Input!AZ301</f>
        <v>0</v>
      </c>
      <c r="BA209" s="476">
        <f>Input!BA301</f>
        <v>0</v>
      </c>
      <c r="BB209" s="476">
        <f>Input!BB301</f>
        <v>0</v>
      </c>
      <c r="BC209" s="476">
        <f>Input!BC301</f>
        <v>0</v>
      </c>
      <c r="BD209" s="476">
        <f>Input!BD301</f>
        <v>0</v>
      </c>
      <c r="BE209" s="476">
        <f>Input!BE301</f>
        <v>0</v>
      </c>
      <c r="BF209" s="476">
        <f>Input!BF301</f>
        <v>0</v>
      </c>
      <c r="BG209" s="476">
        <f>Input!BG301</f>
        <v>0</v>
      </c>
      <c r="BH209" s="476">
        <f>Input!BH301</f>
        <v>0</v>
      </c>
      <c r="BI209" s="476">
        <f>Input!BI301</f>
        <v>0</v>
      </c>
      <c r="BJ209" s="476">
        <f>Input!BJ301</f>
        <v>0</v>
      </c>
      <c r="BK209" s="476">
        <f>Input!BK301</f>
        <v>0</v>
      </c>
      <c r="BL209" s="476">
        <f>Input!BL301</f>
        <v>0</v>
      </c>
      <c r="BM209" s="476">
        <f>Input!BM301</f>
        <v>0</v>
      </c>
      <c r="BN209" s="476">
        <f>Input!BN301</f>
        <v>0</v>
      </c>
      <c r="BO209" s="476">
        <f>Input!BO301</f>
        <v>0</v>
      </c>
      <c r="BP209" s="476">
        <f>Input!BP301</f>
        <v>0</v>
      </c>
    </row>
    <row r="210" spans="2:68" outlineLevel="1" x14ac:dyDescent="0.2">
      <c r="B210" s="20"/>
      <c r="C210" s="80"/>
      <c r="D210" s="403" t="str">
        <f>Input!$D$302</f>
        <v>Decrease in opex costs</v>
      </c>
      <c r="E210" s="80"/>
      <c r="F210" s="80"/>
      <c r="G210" s="80"/>
      <c r="H210" s="80"/>
      <c r="I210" s="80"/>
      <c r="J210" s="80"/>
      <c r="K210" s="401"/>
      <c r="L210" s="436">
        <f t="shared" si="253"/>
        <v>0</v>
      </c>
      <c r="M210" s="469"/>
      <c r="N210" s="470"/>
      <c r="O210" s="470"/>
      <c r="P210" s="470"/>
      <c r="Q210" s="470"/>
      <c r="R210" s="476">
        <f>Input!R302</f>
        <v>0</v>
      </c>
      <c r="S210" s="476">
        <f>Input!S302</f>
        <v>0</v>
      </c>
      <c r="T210" s="476">
        <f>Input!T302</f>
        <v>0</v>
      </c>
      <c r="U210" s="476">
        <f>Input!U302</f>
        <v>0</v>
      </c>
      <c r="V210" s="476">
        <f>Input!V302</f>
        <v>0</v>
      </c>
      <c r="W210" s="476">
        <f>Input!W302</f>
        <v>0</v>
      </c>
      <c r="X210" s="476">
        <f>Input!X302</f>
        <v>0</v>
      </c>
      <c r="Y210" s="476">
        <f>Input!Y302</f>
        <v>0</v>
      </c>
      <c r="Z210" s="476">
        <f>Input!Z302</f>
        <v>0</v>
      </c>
      <c r="AA210" s="476">
        <f>Input!AA302</f>
        <v>0</v>
      </c>
      <c r="AB210" s="476">
        <f>Input!AB302</f>
        <v>0</v>
      </c>
      <c r="AC210" s="476">
        <f>Input!AC302</f>
        <v>0</v>
      </c>
      <c r="AD210" s="476">
        <f>Input!AD302</f>
        <v>0</v>
      </c>
      <c r="AE210" s="476">
        <f>Input!AE302</f>
        <v>0</v>
      </c>
      <c r="AF210" s="476">
        <f>Input!AF302</f>
        <v>0</v>
      </c>
      <c r="AG210" s="476">
        <f>Input!AG302</f>
        <v>0</v>
      </c>
      <c r="AH210" s="476">
        <f>Input!AH302</f>
        <v>0</v>
      </c>
      <c r="AI210" s="476">
        <f>Input!AI302</f>
        <v>0</v>
      </c>
      <c r="AJ210" s="476">
        <f>Input!AJ302</f>
        <v>0</v>
      </c>
      <c r="AK210" s="476">
        <f>Input!AK302</f>
        <v>0</v>
      </c>
      <c r="AL210" s="476">
        <f>Input!AL302</f>
        <v>0</v>
      </c>
      <c r="AM210" s="476">
        <f>Input!AM302</f>
        <v>0</v>
      </c>
      <c r="AN210" s="476">
        <f>Input!AN302</f>
        <v>0</v>
      </c>
      <c r="AO210" s="476">
        <f>Input!AO302</f>
        <v>0</v>
      </c>
      <c r="AP210" s="476">
        <f>Input!AP302</f>
        <v>0</v>
      </c>
      <c r="AQ210" s="476">
        <f>Input!AQ302</f>
        <v>0</v>
      </c>
      <c r="AR210" s="476">
        <f>Input!AR302</f>
        <v>0</v>
      </c>
      <c r="AS210" s="476">
        <f>Input!AS302</f>
        <v>0</v>
      </c>
      <c r="AT210" s="476">
        <f>Input!AT302</f>
        <v>0</v>
      </c>
      <c r="AU210" s="476">
        <f>Input!AU302</f>
        <v>0</v>
      </c>
      <c r="AV210" s="476">
        <f>Input!AV302</f>
        <v>0</v>
      </c>
      <c r="AW210" s="476">
        <f>Input!AW302</f>
        <v>0</v>
      </c>
      <c r="AX210" s="476">
        <f>Input!AX302</f>
        <v>0</v>
      </c>
      <c r="AY210" s="476">
        <f>Input!AY302</f>
        <v>0</v>
      </c>
      <c r="AZ210" s="476">
        <f>Input!AZ302</f>
        <v>0</v>
      </c>
      <c r="BA210" s="476">
        <f>Input!BA302</f>
        <v>0</v>
      </c>
      <c r="BB210" s="476">
        <f>Input!BB302</f>
        <v>0</v>
      </c>
      <c r="BC210" s="476">
        <f>Input!BC302</f>
        <v>0</v>
      </c>
      <c r="BD210" s="476">
        <f>Input!BD302</f>
        <v>0</v>
      </c>
      <c r="BE210" s="476">
        <f>Input!BE302</f>
        <v>0</v>
      </c>
      <c r="BF210" s="476">
        <f>Input!BF302</f>
        <v>0</v>
      </c>
      <c r="BG210" s="476">
        <f>Input!BG302</f>
        <v>0</v>
      </c>
      <c r="BH210" s="476">
        <f>Input!BH302</f>
        <v>0</v>
      </c>
      <c r="BI210" s="476">
        <f>Input!BI302</f>
        <v>0</v>
      </c>
      <c r="BJ210" s="476">
        <f>Input!BJ302</f>
        <v>0</v>
      </c>
      <c r="BK210" s="476">
        <f>Input!BK302</f>
        <v>0</v>
      </c>
      <c r="BL210" s="476">
        <f>Input!BL302</f>
        <v>0</v>
      </c>
      <c r="BM210" s="476">
        <f>Input!BM302</f>
        <v>0</v>
      </c>
      <c r="BN210" s="476">
        <f>Input!BN302</f>
        <v>0</v>
      </c>
      <c r="BO210" s="476">
        <f>Input!BO302</f>
        <v>0</v>
      </c>
      <c r="BP210" s="476">
        <f>Input!BP302</f>
        <v>0</v>
      </c>
    </row>
    <row r="211" spans="2:68" outlineLevel="1" x14ac:dyDescent="0.2">
      <c r="B211" s="20"/>
      <c r="C211" s="80"/>
      <c r="D211" s="483" t="s">
        <v>393</v>
      </c>
      <c r="E211" s="80"/>
      <c r="F211" s="80"/>
      <c r="G211" s="80"/>
      <c r="H211" s="80"/>
      <c r="I211" s="80"/>
      <c r="J211" s="80"/>
      <c r="K211" s="401"/>
      <c r="L211" s="436">
        <f>MIN(R211:BP211)</f>
        <v>0</v>
      </c>
      <c r="M211" s="469"/>
      <c r="N211" s="470"/>
      <c r="O211" s="470"/>
      <c r="P211" s="470"/>
      <c r="Q211" s="470"/>
      <c r="R211" s="401" t="str">
        <f>IF(R210=0,"",R$15)</f>
        <v/>
      </c>
      <c r="S211" s="401" t="str">
        <f t="shared" ref="S211" si="305">IF(S210=0,"",S$15)</f>
        <v/>
      </c>
      <c r="T211" s="401" t="str">
        <f t="shared" ref="T211" si="306">IF(T210=0,"",T$15)</f>
        <v/>
      </c>
      <c r="U211" s="401" t="str">
        <f t="shared" ref="U211" si="307">IF(U210=0,"",U$15)</f>
        <v/>
      </c>
      <c r="V211" s="401" t="str">
        <f t="shared" ref="V211" si="308">IF(V210=0,"",V$15)</f>
        <v/>
      </c>
      <c r="W211" s="401" t="str">
        <f t="shared" ref="W211" si="309">IF(W210=0,"",W$15)</f>
        <v/>
      </c>
      <c r="X211" s="401" t="str">
        <f t="shared" ref="X211" si="310">IF(X210=0,"",X$15)</f>
        <v/>
      </c>
      <c r="Y211" s="401" t="str">
        <f t="shared" ref="Y211" si="311">IF(Y210=0,"",Y$15)</f>
        <v/>
      </c>
      <c r="Z211" s="401" t="str">
        <f t="shared" ref="Z211" si="312">IF(Z210=0,"",Z$15)</f>
        <v/>
      </c>
      <c r="AA211" s="401" t="str">
        <f t="shared" ref="AA211" si="313">IF(AA210=0,"",AA$15)</f>
        <v/>
      </c>
      <c r="AB211" s="401" t="str">
        <f t="shared" ref="AB211" si="314">IF(AB210=0,"",AB$15)</f>
        <v/>
      </c>
      <c r="AC211" s="401" t="str">
        <f t="shared" ref="AC211" si="315">IF(AC210=0,"",AC$15)</f>
        <v/>
      </c>
      <c r="AD211" s="401" t="str">
        <f t="shared" ref="AD211" si="316">IF(AD210=0,"",AD$15)</f>
        <v/>
      </c>
      <c r="AE211" s="401" t="str">
        <f t="shared" ref="AE211" si="317">IF(AE210=0,"",AE$15)</f>
        <v/>
      </c>
      <c r="AF211" s="401" t="str">
        <f t="shared" ref="AF211" si="318">IF(AF210=0,"",AF$15)</f>
        <v/>
      </c>
      <c r="AG211" s="401" t="str">
        <f t="shared" ref="AG211" si="319">IF(AG210=0,"",AG$15)</f>
        <v/>
      </c>
      <c r="AH211" s="401" t="str">
        <f t="shared" ref="AH211" si="320">IF(AH210=0,"",AH$15)</f>
        <v/>
      </c>
      <c r="AI211" s="401" t="str">
        <f t="shared" ref="AI211" si="321">IF(AI210=0,"",AI$15)</f>
        <v/>
      </c>
      <c r="AJ211" s="401" t="str">
        <f t="shared" ref="AJ211" si="322">IF(AJ210=0,"",AJ$15)</f>
        <v/>
      </c>
      <c r="AK211" s="401" t="str">
        <f t="shared" ref="AK211" si="323">IF(AK210=0,"",AK$15)</f>
        <v/>
      </c>
      <c r="AL211" s="401" t="str">
        <f t="shared" ref="AL211" si="324">IF(AL210=0,"",AL$15)</f>
        <v/>
      </c>
      <c r="AM211" s="401" t="str">
        <f t="shared" ref="AM211" si="325">IF(AM210=0,"",AM$15)</f>
        <v/>
      </c>
      <c r="AN211" s="401" t="str">
        <f t="shared" ref="AN211" si="326">IF(AN210=0,"",AN$15)</f>
        <v/>
      </c>
      <c r="AO211" s="401" t="str">
        <f t="shared" ref="AO211" si="327">IF(AO210=0,"",AO$15)</f>
        <v/>
      </c>
      <c r="AP211" s="401" t="str">
        <f t="shared" ref="AP211" si="328">IF(AP210=0,"",AP$15)</f>
        <v/>
      </c>
      <c r="AQ211" s="401" t="str">
        <f t="shared" ref="AQ211" si="329">IF(AQ210=0,"",AQ$15)</f>
        <v/>
      </c>
      <c r="AR211" s="401" t="str">
        <f t="shared" ref="AR211" si="330">IF(AR210=0,"",AR$15)</f>
        <v/>
      </c>
      <c r="AS211" s="401" t="str">
        <f t="shared" ref="AS211" si="331">IF(AS210=0,"",AS$15)</f>
        <v/>
      </c>
      <c r="AT211" s="401" t="str">
        <f t="shared" ref="AT211" si="332">IF(AT210=0,"",AT$15)</f>
        <v/>
      </c>
      <c r="AU211" s="401" t="str">
        <f t="shared" ref="AU211" si="333">IF(AU210=0,"",AU$15)</f>
        <v/>
      </c>
      <c r="AV211" s="401" t="str">
        <f t="shared" ref="AV211" si="334">IF(AV210=0,"",AV$15)</f>
        <v/>
      </c>
      <c r="AW211" s="401" t="str">
        <f t="shared" ref="AW211" si="335">IF(AW210=0,"",AW$15)</f>
        <v/>
      </c>
      <c r="AX211" s="401" t="str">
        <f t="shared" ref="AX211" si="336">IF(AX210=0,"",AX$15)</f>
        <v/>
      </c>
      <c r="AY211" s="401" t="str">
        <f t="shared" ref="AY211" si="337">IF(AY210=0,"",AY$15)</f>
        <v/>
      </c>
      <c r="AZ211" s="401" t="str">
        <f t="shared" ref="AZ211" si="338">IF(AZ210=0,"",AZ$15)</f>
        <v/>
      </c>
      <c r="BA211" s="401" t="str">
        <f t="shared" ref="BA211" si="339">IF(BA210=0,"",BA$15)</f>
        <v/>
      </c>
      <c r="BB211" s="401" t="str">
        <f t="shared" ref="BB211" si="340">IF(BB210=0,"",BB$15)</f>
        <v/>
      </c>
      <c r="BC211" s="401" t="str">
        <f t="shared" ref="BC211" si="341">IF(BC210=0,"",BC$15)</f>
        <v/>
      </c>
      <c r="BD211" s="401" t="str">
        <f t="shared" ref="BD211" si="342">IF(BD210=0,"",BD$15)</f>
        <v/>
      </c>
      <c r="BE211" s="401" t="str">
        <f t="shared" ref="BE211" si="343">IF(BE210=0,"",BE$15)</f>
        <v/>
      </c>
      <c r="BF211" s="401" t="str">
        <f t="shared" ref="BF211" si="344">IF(BF210=0,"",BF$15)</f>
        <v/>
      </c>
      <c r="BG211" s="401" t="str">
        <f t="shared" ref="BG211" si="345">IF(BG210=0,"",BG$15)</f>
        <v/>
      </c>
      <c r="BH211" s="401" t="str">
        <f t="shared" ref="BH211" si="346">IF(BH210=0,"",BH$15)</f>
        <v/>
      </c>
      <c r="BI211" s="401" t="str">
        <f t="shared" ref="BI211" si="347">IF(BI210=0,"",BI$15)</f>
        <v/>
      </c>
      <c r="BJ211" s="401" t="str">
        <f t="shared" ref="BJ211" si="348">IF(BJ210=0,"",BJ$15)</f>
        <v/>
      </c>
      <c r="BK211" s="401" t="str">
        <f t="shared" ref="BK211" si="349">IF(BK210=0,"",BK$15)</f>
        <v/>
      </c>
      <c r="BL211" s="401" t="str">
        <f t="shared" ref="BL211" si="350">IF(BL210=0,"",BL$15)</f>
        <v/>
      </c>
      <c r="BM211" s="401" t="str">
        <f t="shared" ref="BM211" si="351">IF(BM210=0,"",BM$15)</f>
        <v/>
      </c>
      <c r="BN211" s="401" t="str">
        <f t="shared" ref="BN211" si="352">IF(BN210=0,"",BN$15)</f>
        <v/>
      </c>
      <c r="BO211" s="401" t="str">
        <f t="shared" ref="BO211" si="353">IF(BO210=0,"",BO$15)</f>
        <v/>
      </c>
      <c r="BP211" s="401" t="str">
        <f t="shared" ref="BP211" si="354">IF(BP210=0,"",BP$15)</f>
        <v/>
      </c>
    </row>
    <row r="212" spans="2:68" outlineLevel="1" x14ac:dyDescent="0.2">
      <c r="B212" s="20"/>
      <c r="C212" s="80"/>
      <c r="D212" s="81" t="str">
        <f>Input!$D$303</f>
        <v>Customer value</v>
      </c>
      <c r="E212" s="80"/>
      <c r="F212" s="80"/>
      <c r="G212" s="80"/>
      <c r="H212" s="80"/>
      <c r="I212" s="80"/>
      <c r="J212" s="80"/>
      <c r="K212" s="464"/>
      <c r="L212" s="436">
        <f t="shared" si="253"/>
        <v>4792464.8588140327</v>
      </c>
      <c r="M212" s="469"/>
      <c r="N212" s="470"/>
      <c r="O212" s="470"/>
      <c r="P212" s="470"/>
      <c r="Q212" s="470"/>
      <c r="R212" s="476">
        <f>Input!R303</f>
        <v>0</v>
      </c>
      <c r="S212" s="476">
        <f>Input!S303</f>
        <v>0</v>
      </c>
      <c r="T212" s="476">
        <f>Input!T303</f>
        <v>0</v>
      </c>
      <c r="U212" s="476">
        <f>Input!U303</f>
        <v>760493.3714148876</v>
      </c>
      <c r="V212" s="476">
        <f>Input!V303</f>
        <v>771622.35841197695</v>
      </c>
      <c r="W212" s="476">
        <f>Input!W303</f>
        <v>776831.45331736619</v>
      </c>
      <c r="X212" s="476">
        <f>Input!X303</f>
        <v>777369.37650212168</v>
      </c>
      <c r="Y212" s="476">
        <f>Input!Y303</f>
        <v>789093.58836505224</v>
      </c>
      <c r="Z212" s="476">
        <f>Input!Z303</f>
        <v>789093.58836505224</v>
      </c>
      <c r="AA212" s="476">
        <f>Input!AA303</f>
        <v>63980.561218788018</v>
      </c>
      <c r="AB212" s="476">
        <f>Input!AB303</f>
        <v>63980.561218788018</v>
      </c>
      <c r="AC212" s="476">
        <f>Input!AC303</f>
        <v>0</v>
      </c>
      <c r="AD212" s="476">
        <f>Input!AD303</f>
        <v>0</v>
      </c>
      <c r="AE212" s="476">
        <f>Input!AE303</f>
        <v>0</v>
      </c>
      <c r="AF212" s="476">
        <f>Input!AF303</f>
        <v>0</v>
      </c>
      <c r="AG212" s="476">
        <f>Input!AG303</f>
        <v>0</v>
      </c>
      <c r="AH212" s="476">
        <f>Input!AH303</f>
        <v>0</v>
      </c>
      <c r="AI212" s="476">
        <f>Input!AI303</f>
        <v>0</v>
      </c>
      <c r="AJ212" s="476">
        <f>Input!AJ303</f>
        <v>0</v>
      </c>
      <c r="AK212" s="476">
        <f>Input!AK303</f>
        <v>0</v>
      </c>
      <c r="AL212" s="476">
        <f>Input!AL303</f>
        <v>0</v>
      </c>
      <c r="AM212" s="476">
        <f>Input!AM303</f>
        <v>0</v>
      </c>
      <c r="AN212" s="476">
        <f>Input!AN303</f>
        <v>0</v>
      </c>
      <c r="AO212" s="476">
        <f>Input!AO303</f>
        <v>0</v>
      </c>
      <c r="AP212" s="476">
        <f>Input!AP303</f>
        <v>0</v>
      </c>
      <c r="AQ212" s="476">
        <f>Input!AQ303</f>
        <v>0</v>
      </c>
      <c r="AR212" s="476">
        <f>Input!AR303</f>
        <v>0</v>
      </c>
      <c r="AS212" s="476">
        <f>Input!AS303</f>
        <v>0</v>
      </c>
      <c r="AT212" s="476">
        <f>Input!AT303</f>
        <v>0</v>
      </c>
      <c r="AU212" s="476">
        <f>Input!AU303</f>
        <v>0</v>
      </c>
      <c r="AV212" s="476">
        <f>Input!AV303</f>
        <v>0</v>
      </c>
      <c r="AW212" s="476">
        <f>Input!AW303</f>
        <v>0</v>
      </c>
      <c r="AX212" s="476">
        <f>Input!AX303</f>
        <v>0</v>
      </c>
      <c r="AY212" s="476">
        <f>Input!AY303</f>
        <v>0</v>
      </c>
      <c r="AZ212" s="476">
        <f>Input!AZ303</f>
        <v>0</v>
      </c>
      <c r="BA212" s="476">
        <f>Input!BA303</f>
        <v>0</v>
      </c>
      <c r="BB212" s="476">
        <f>Input!BB303</f>
        <v>0</v>
      </c>
      <c r="BC212" s="476">
        <f>Input!BC303</f>
        <v>0</v>
      </c>
      <c r="BD212" s="476">
        <f>Input!BD303</f>
        <v>0</v>
      </c>
      <c r="BE212" s="476">
        <f>Input!BE303</f>
        <v>0</v>
      </c>
      <c r="BF212" s="476">
        <f>Input!BF303</f>
        <v>0</v>
      </c>
      <c r="BG212" s="476">
        <f>Input!BG303</f>
        <v>0</v>
      </c>
      <c r="BH212" s="476">
        <f>Input!BH303</f>
        <v>0</v>
      </c>
      <c r="BI212" s="476">
        <f>Input!BI303</f>
        <v>0</v>
      </c>
      <c r="BJ212" s="476">
        <f>Input!BJ303</f>
        <v>0</v>
      </c>
      <c r="BK212" s="476">
        <f>Input!BK303</f>
        <v>0</v>
      </c>
      <c r="BL212" s="476">
        <f>Input!BL303</f>
        <v>0</v>
      </c>
      <c r="BM212" s="476">
        <f>Input!BM303</f>
        <v>0</v>
      </c>
      <c r="BN212" s="476">
        <f>Input!BN303</f>
        <v>0</v>
      </c>
      <c r="BO212" s="476">
        <f>Input!BO303</f>
        <v>0</v>
      </c>
      <c r="BP212" s="476">
        <f>Input!BP303</f>
        <v>0</v>
      </c>
    </row>
    <row r="213" spans="2:68" outlineLevel="1" x14ac:dyDescent="0.2">
      <c r="B213" s="20"/>
      <c r="C213" s="80"/>
      <c r="D213" s="88" t="s">
        <v>394</v>
      </c>
      <c r="E213" s="458"/>
      <c r="F213" s="458"/>
      <c r="G213" s="458"/>
      <c r="H213" s="458"/>
      <c r="I213" s="458"/>
      <c r="J213" s="458"/>
      <c r="K213" s="401"/>
      <c r="L213" s="461">
        <f t="shared" si="253"/>
        <v>39996191.154339001</v>
      </c>
      <c r="M213" s="480"/>
      <c r="N213" s="481"/>
      <c r="O213" s="481"/>
      <c r="P213" s="481"/>
      <c r="Q213" s="481"/>
      <c r="R213" s="460">
        <f>SUM(R184:R191,R193,R195:R196,R198:R200,R202,R204:R205,R207,R209:R210,R212)</f>
        <v>0</v>
      </c>
      <c r="S213" s="460">
        <f t="shared" ref="S213:BP213" si="355">SUM(S184:S191,S193,S195:S196,S198:S200,S202,S204:S205,S207,S209:S210,S212)</f>
        <v>0</v>
      </c>
      <c r="T213" s="460">
        <f t="shared" si="355"/>
        <v>0</v>
      </c>
      <c r="U213" s="460">
        <f t="shared" si="355"/>
        <v>6719267.2445740784</v>
      </c>
      <c r="V213" s="460">
        <f t="shared" si="355"/>
        <v>6817596.3564448478</v>
      </c>
      <c r="W213" s="460">
        <f t="shared" si="355"/>
        <v>6863620.8217291944</v>
      </c>
      <c r="X213" s="460">
        <f t="shared" si="355"/>
        <v>6868373.5911434758</v>
      </c>
      <c r="Y213" s="460">
        <f t="shared" si="355"/>
        <v>6971961.7560113305</v>
      </c>
      <c r="Z213" s="460">
        <f t="shared" si="355"/>
        <v>3965835.0871465756</v>
      </c>
      <c r="AA213" s="460">
        <f t="shared" si="355"/>
        <v>894768.14864475047</v>
      </c>
      <c r="AB213" s="460">
        <f t="shared" si="355"/>
        <v>894768.14864475047</v>
      </c>
      <c r="AC213" s="460">
        <f t="shared" si="355"/>
        <v>0</v>
      </c>
      <c r="AD213" s="460">
        <f t="shared" si="355"/>
        <v>0</v>
      </c>
      <c r="AE213" s="460">
        <f t="shared" si="355"/>
        <v>0</v>
      </c>
      <c r="AF213" s="460">
        <f t="shared" si="355"/>
        <v>0</v>
      </c>
      <c r="AG213" s="460">
        <f t="shared" si="355"/>
        <v>0</v>
      </c>
      <c r="AH213" s="460">
        <f t="shared" si="355"/>
        <v>0</v>
      </c>
      <c r="AI213" s="460">
        <f t="shared" si="355"/>
        <v>0</v>
      </c>
      <c r="AJ213" s="460">
        <f t="shared" si="355"/>
        <v>0</v>
      </c>
      <c r="AK213" s="460">
        <f t="shared" si="355"/>
        <v>0</v>
      </c>
      <c r="AL213" s="460">
        <f t="shared" si="355"/>
        <v>0</v>
      </c>
      <c r="AM213" s="460">
        <f t="shared" si="355"/>
        <v>0</v>
      </c>
      <c r="AN213" s="460">
        <f t="shared" si="355"/>
        <v>0</v>
      </c>
      <c r="AO213" s="460">
        <f t="shared" si="355"/>
        <v>0</v>
      </c>
      <c r="AP213" s="460">
        <f t="shared" si="355"/>
        <v>0</v>
      </c>
      <c r="AQ213" s="460">
        <f t="shared" si="355"/>
        <v>0</v>
      </c>
      <c r="AR213" s="460">
        <f t="shared" si="355"/>
        <v>0</v>
      </c>
      <c r="AS213" s="460">
        <f t="shared" si="355"/>
        <v>0</v>
      </c>
      <c r="AT213" s="460">
        <f t="shared" si="355"/>
        <v>0</v>
      </c>
      <c r="AU213" s="460">
        <f t="shared" si="355"/>
        <v>0</v>
      </c>
      <c r="AV213" s="460">
        <f t="shared" si="355"/>
        <v>0</v>
      </c>
      <c r="AW213" s="460">
        <f t="shared" si="355"/>
        <v>0</v>
      </c>
      <c r="AX213" s="460">
        <f t="shared" si="355"/>
        <v>0</v>
      </c>
      <c r="AY213" s="460">
        <f t="shared" si="355"/>
        <v>0</v>
      </c>
      <c r="AZ213" s="460">
        <f t="shared" si="355"/>
        <v>0</v>
      </c>
      <c r="BA213" s="460">
        <f t="shared" si="355"/>
        <v>0</v>
      </c>
      <c r="BB213" s="460">
        <f t="shared" si="355"/>
        <v>0</v>
      </c>
      <c r="BC213" s="460">
        <f t="shared" si="355"/>
        <v>0</v>
      </c>
      <c r="BD213" s="460">
        <f t="shared" si="355"/>
        <v>0</v>
      </c>
      <c r="BE213" s="460">
        <f t="shared" si="355"/>
        <v>0</v>
      </c>
      <c r="BF213" s="460">
        <f t="shared" si="355"/>
        <v>0</v>
      </c>
      <c r="BG213" s="460">
        <f t="shared" si="355"/>
        <v>0</v>
      </c>
      <c r="BH213" s="460">
        <f t="shared" si="355"/>
        <v>0</v>
      </c>
      <c r="BI213" s="460">
        <f t="shared" si="355"/>
        <v>0</v>
      </c>
      <c r="BJ213" s="460">
        <f t="shared" si="355"/>
        <v>0</v>
      </c>
      <c r="BK213" s="460">
        <f t="shared" si="355"/>
        <v>0</v>
      </c>
      <c r="BL213" s="460">
        <f t="shared" si="355"/>
        <v>0</v>
      </c>
      <c r="BM213" s="460">
        <f t="shared" si="355"/>
        <v>0</v>
      </c>
      <c r="BN213" s="460">
        <f t="shared" si="355"/>
        <v>0</v>
      </c>
      <c r="BO213" s="460">
        <f t="shared" si="355"/>
        <v>0</v>
      </c>
      <c r="BP213" s="460">
        <f t="shared" si="355"/>
        <v>0</v>
      </c>
    </row>
    <row r="214" spans="2:68" outlineLevel="1" x14ac:dyDescent="0.2">
      <c r="B214" s="20"/>
      <c r="C214" s="80"/>
      <c r="D214" s="85"/>
      <c r="E214" s="80"/>
      <c r="F214" s="80"/>
      <c r="G214" s="80"/>
      <c r="H214" s="80"/>
      <c r="I214" s="80"/>
      <c r="J214" s="80"/>
      <c r="K214" s="79"/>
      <c r="L214" s="424"/>
      <c r="M214" s="425"/>
      <c r="N214" s="83"/>
      <c r="O214" s="83"/>
      <c r="P214" s="83"/>
      <c r="Q214" s="83"/>
      <c r="R214" s="35"/>
      <c r="S214" s="35"/>
      <c r="T214" s="35"/>
      <c r="U214" s="35"/>
      <c r="V214" s="35"/>
      <c r="W214" s="35"/>
      <c r="X214" s="35"/>
      <c r="Y214" s="35"/>
      <c r="Z214" s="35"/>
      <c r="AA214" s="35"/>
      <c r="AB214" s="35"/>
      <c r="AC214" s="35"/>
      <c r="AD214" s="35"/>
      <c r="AE214" s="35"/>
      <c r="AF214" s="35"/>
      <c r="AG214" s="35"/>
      <c r="AH214" s="35"/>
      <c r="AI214" s="35"/>
      <c r="AJ214" s="35"/>
      <c r="AK214" s="35"/>
      <c r="AL214" s="35"/>
      <c r="AM214" s="35"/>
      <c r="AN214" s="35"/>
      <c r="AO214" s="35"/>
      <c r="AP214" s="35"/>
      <c r="AQ214" s="35"/>
      <c r="AR214" s="35"/>
      <c r="AS214" s="35"/>
      <c r="AT214" s="35"/>
      <c r="AU214" s="35"/>
      <c r="AV214" s="35"/>
      <c r="AW214" s="35"/>
      <c r="AX214" s="35"/>
      <c r="AY214" s="35"/>
      <c r="AZ214" s="35"/>
      <c r="BA214" s="35"/>
      <c r="BB214" s="35"/>
      <c r="BC214" s="35"/>
      <c r="BD214" s="35"/>
      <c r="BE214" s="35"/>
      <c r="BF214" s="35"/>
      <c r="BG214" s="35"/>
      <c r="BH214" s="35"/>
      <c r="BI214" s="35"/>
      <c r="BJ214" s="35"/>
      <c r="BK214" s="35"/>
      <c r="BL214" s="35"/>
      <c r="BM214" s="35"/>
      <c r="BN214" s="35"/>
      <c r="BO214" s="35"/>
      <c r="BP214" s="35"/>
    </row>
    <row r="215" spans="2:68" s="14" customFormat="1" x14ac:dyDescent="0.2">
      <c r="B215" s="16" t="s">
        <v>395</v>
      </c>
      <c r="C215" s="398"/>
      <c r="D215" s="398"/>
      <c r="E215" s="398"/>
      <c r="F215" s="398"/>
      <c r="G215" s="398"/>
      <c r="H215" s="398"/>
      <c r="I215" s="398"/>
      <c r="J215" s="398"/>
      <c r="K215" s="398"/>
      <c r="L215" s="421"/>
      <c r="M215" s="422"/>
      <c r="N215" s="398"/>
      <c r="O215" s="398"/>
      <c r="P215" s="398"/>
      <c r="Q215" s="398"/>
      <c r="R215" s="398"/>
      <c r="S215" s="398"/>
      <c r="T215" s="399"/>
      <c r="U215" s="398"/>
      <c r="V215" s="398"/>
      <c r="W215" s="398"/>
      <c r="X215" s="398"/>
      <c r="Y215" s="398"/>
      <c r="Z215" s="398"/>
      <c r="AA215" s="398"/>
      <c r="AB215" s="398"/>
      <c r="AC215" s="398"/>
      <c r="AD215" s="398"/>
      <c r="AE215" s="398"/>
      <c r="AF215" s="398"/>
      <c r="AG215" s="398"/>
      <c r="AH215" s="398"/>
      <c r="AI215" s="398"/>
      <c r="AJ215" s="398"/>
      <c r="AK215" s="398"/>
      <c r="AL215" s="398"/>
      <c r="AM215" s="398"/>
      <c r="AN215" s="398"/>
      <c r="AO215" s="398"/>
      <c r="AP215" s="398"/>
      <c r="AQ215" s="398"/>
      <c r="AR215" s="398"/>
      <c r="AS215" s="398"/>
      <c r="AT215" s="398"/>
      <c r="AU215" s="398"/>
      <c r="AV215" s="398"/>
      <c r="AW215" s="398"/>
      <c r="AX215" s="398"/>
      <c r="AY215" s="398"/>
      <c r="AZ215" s="398"/>
      <c r="BA215" s="398"/>
      <c r="BB215" s="398"/>
      <c r="BC215" s="398"/>
      <c r="BD215" s="398"/>
      <c r="BE215" s="398"/>
      <c r="BF215" s="398"/>
      <c r="BG215" s="398"/>
      <c r="BH215" s="398"/>
      <c r="BI215" s="398"/>
      <c r="BJ215" s="398"/>
      <c r="BK215" s="398"/>
      <c r="BL215" s="398"/>
      <c r="BM215" s="398"/>
      <c r="BN215" s="398"/>
      <c r="BO215" s="398"/>
      <c r="BP215" s="398"/>
    </row>
    <row r="216" spans="2:68" outlineLevel="1" x14ac:dyDescent="0.2">
      <c r="B216" s="80"/>
      <c r="C216" s="80"/>
      <c r="D216" s="80"/>
      <c r="E216" s="80"/>
      <c r="F216" s="80"/>
      <c r="G216" s="80"/>
      <c r="H216" s="80"/>
      <c r="I216" s="80"/>
      <c r="J216" s="80"/>
      <c r="K216" s="80"/>
      <c r="L216" s="412"/>
      <c r="M216" s="413"/>
      <c r="N216" s="80"/>
      <c r="O216" s="80"/>
      <c r="P216" s="80"/>
      <c r="Q216" s="80"/>
      <c r="R216" s="80"/>
      <c r="S216" s="80"/>
      <c r="T216" s="83"/>
      <c r="U216" s="80"/>
      <c r="V216" s="80"/>
      <c r="W216" s="80"/>
      <c r="X216" s="80"/>
      <c r="Y216" s="80"/>
      <c r="Z216" s="80"/>
      <c r="AA216" s="80"/>
      <c r="AB216" s="80"/>
      <c r="AC216" s="80"/>
      <c r="AD216" s="80"/>
      <c r="AE216" s="80"/>
      <c r="AF216" s="80"/>
      <c r="AG216" s="80"/>
      <c r="AH216" s="80"/>
      <c r="AI216" s="80"/>
      <c r="AJ216" s="80"/>
      <c r="AK216" s="80"/>
      <c r="AL216" s="80"/>
      <c r="AM216" s="80"/>
      <c r="AN216" s="80"/>
      <c r="AO216" s="80"/>
      <c r="AP216" s="80"/>
      <c r="AQ216" s="80"/>
      <c r="AR216" s="80"/>
      <c r="AS216" s="80"/>
      <c r="AT216" s="80"/>
      <c r="AU216" s="80"/>
      <c r="AV216" s="80"/>
      <c r="AW216" s="80"/>
      <c r="AX216" s="80"/>
      <c r="AY216" s="80"/>
      <c r="AZ216" s="80"/>
      <c r="BA216" s="80"/>
      <c r="BB216" s="80"/>
      <c r="BC216" s="80"/>
      <c r="BD216" s="80"/>
      <c r="BE216" s="80"/>
      <c r="BF216" s="80"/>
      <c r="BG216" s="80"/>
      <c r="BH216" s="80"/>
      <c r="BI216" s="80"/>
      <c r="BJ216" s="80"/>
      <c r="BK216" s="80"/>
      <c r="BL216" s="80"/>
      <c r="BM216" s="80"/>
      <c r="BN216" s="80"/>
      <c r="BO216" s="80"/>
      <c r="BP216" s="80"/>
    </row>
    <row r="217" spans="2:68" outlineLevel="1" x14ac:dyDescent="0.2">
      <c r="B217" s="80"/>
      <c r="C217" s="80"/>
      <c r="D217" s="27" t="s">
        <v>396</v>
      </c>
      <c r="E217" s="80"/>
      <c r="F217" s="80"/>
      <c r="G217" s="80"/>
      <c r="H217" s="80"/>
      <c r="I217" s="80"/>
      <c r="J217" s="80"/>
      <c r="K217" s="484" t="s">
        <v>147</v>
      </c>
      <c r="L217" s="485" t="str">
        <f>Output_charts!$P$14</f>
        <v>Off</v>
      </c>
      <c r="M217" s="413"/>
      <c r="N217" s="80"/>
      <c r="O217" s="80"/>
      <c r="P217" s="80"/>
      <c r="Q217" s="80"/>
      <c r="R217" s="401">
        <f>IF(R$14&gt;Input!$L$55,0,1)</f>
        <v>0</v>
      </c>
      <c r="S217" s="401">
        <f>IF(S$14&gt;Input!$L$55,0,1)</f>
        <v>0</v>
      </c>
      <c r="T217" s="401">
        <f>IF(T$14&gt;Input!$L$55,0,1)</f>
        <v>0</v>
      </c>
      <c r="U217" s="401">
        <f>IF(U$14&gt;Input!$L$55,0,1)</f>
        <v>0</v>
      </c>
      <c r="V217" s="401">
        <f>IF(V$14&gt;Input!$L$55,0,1)</f>
        <v>0</v>
      </c>
      <c r="W217" s="401">
        <f>IF(W$14&gt;Input!$L$55,0,1)</f>
        <v>0</v>
      </c>
      <c r="X217" s="401">
        <f>IF(X$14&gt;Input!$L$55,0,1)</f>
        <v>0</v>
      </c>
      <c r="Y217" s="401">
        <f>IF(Y$14&gt;Input!$L$55,0,1)</f>
        <v>0</v>
      </c>
      <c r="Z217" s="401">
        <f>IF(Z$14&gt;Input!$L$55,0,1)</f>
        <v>0</v>
      </c>
      <c r="AA217" s="401">
        <f>IF(AA$14&gt;Input!$L$55,0,1)</f>
        <v>0</v>
      </c>
      <c r="AB217" s="401">
        <f>IF(AB$14&gt;Input!$L$55,0,1)</f>
        <v>0</v>
      </c>
      <c r="AC217" s="401">
        <f>IF(AC$14&gt;Input!$L$55,0,1)</f>
        <v>0</v>
      </c>
      <c r="AD217" s="401">
        <f>IF(AD$14&gt;Input!$L$55,0,1)</f>
        <v>0</v>
      </c>
      <c r="AE217" s="401">
        <f>IF(AE$14&gt;Input!$L$55,0,1)</f>
        <v>0</v>
      </c>
      <c r="AF217" s="401">
        <f>IF(AF$14&gt;Input!$L$55,0,1)</f>
        <v>0</v>
      </c>
      <c r="AG217" s="401">
        <f>IF(AG$14&gt;Input!$L$55,0,1)</f>
        <v>0</v>
      </c>
      <c r="AH217" s="401">
        <f>IF(AH$14&gt;Input!$L$55,0,1)</f>
        <v>0</v>
      </c>
      <c r="AI217" s="401">
        <f>IF(AI$14&gt;Input!$L$55,0,1)</f>
        <v>0</v>
      </c>
      <c r="AJ217" s="401">
        <f>IF(AJ$14&gt;Input!$L$55,0,1)</f>
        <v>0</v>
      </c>
      <c r="AK217" s="401">
        <f>IF(AK$14&gt;Input!$L$55,0,1)</f>
        <v>0</v>
      </c>
      <c r="AL217" s="401">
        <f>IF(AL$14&gt;Input!$L$55,0,1)</f>
        <v>0</v>
      </c>
      <c r="AM217" s="401">
        <f>IF(AM$14&gt;Input!$L$55,0,1)</f>
        <v>0</v>
      </c>
      <c r="AN217" s="401">
        <f>IF(AN$14&gt;Input!$L$55,0,1)</f>
        <v>0</v>
      </c>
      <c r="AO217" s="401">
        <f>IF(AO$14&gt;Input!$L$55,0,1)</f>
        <v>0</v>
      </c>
      <c r="AP217" s="401">
        <f>IF(AP$14&gt;Input!$L$55,0,1)</f>
        <v>0</v>
      </c>
      <c r="AQ217" s="401">
        <f>IF(AQ$14&gt;Input!$L$55,0,1)</f>
        <v>0</v>
      </c>
      <c r="AR217" s="401">
        <f>IF(AR$14&gt;Input!$L$55,0,1)</f>
        <v>0</v>
      </c>
      <c r="AS217" s="401">
        <f>IF(AS$14&gt;Input!$L$55,0,1)</f>
        <v>0</v>
      </c>
      <c r="AT217" s="401">
        <f>IF(AT$14&gt;Input!$L$55,0,1)</f>
        <v>0</v>
      </c>
      <c r="AU217" s="401">
        <f>IF(AU$14&gt;Input!$L$55,0,1)</f>
        <v>0</v>
      </c>
      <c r="AV217" s="401">
        <f>IF(AV$14&gt;Input!$L$55,0,1)</f>
        <v>0</v>
      </c>
      <c r="AW217" s="401">
        <f>IF(AW$14&gt;Input!$L$55,0,1)</f>
        <v>0</v>
      </c>
      <c r="AX217" s="401">
        <f>IF(AX$14&gt;Input!$L$55,0,1)</f>
        <v>0</v>
      </c>
      <c r="AY217" s="401">
        <f>IF(AY$14&gt;Input!$L$55,0,1)</f>
        <v>0</v>
      </c>
      <c r="AZ217" s="401">
        <f>IF(AZ$14&gt;Input!$L$55,0,1)</f>
        <v>0</v>
      </c>
      <c r="BA217" s="401">
        <f>IF(BA$14&gt;Input!$L$55,0,1)</f>
        <v>0</v>
      </c>
      <c r="BB217" s="401">
        <f>IF(BB$14&gt;Input!$L$55,0,1)</f>
        <v>0</v>
      </c>
      <c r="BC217" s="401">
        <f>IF(BC$14&gt;Input!$L$55,0,1)</f>
        <v>0</v>
      </c>
      <c r="BD217" s="401">
        <f>IF(BD$14&gt;Input!$L$55,0,1)</f>
        <v>0</v>
      </c>
      <c r="BE217" s="401">
        <f>IF(BE$14&gt;Input!$L$55,0,1)</f>
        <v>0</v>
      </c>
      <c r="BF217" s="401">
        <f>IF(BF$14&gt;Input!$L$55,0,1)</f>
        <v>0</v>
      </c>
      <c r="BG217" s="401">
        <f>IF(BG$14&gt;Input!$L$55,0,1)</f>
        <v>0</v>
      </c>
      <c r="BH217" s="401">
        <f>IF(BH$14&gt;Input!$L$55,0,1)</f>
        <v>0</v>
      </c>
      <c r="BI217" s="401">
        <f>IF(BI$14&gt;Input!$L$55,0,1)</f>
        <v>0</v>
      </c>
      <c r="BJ217" s="401">
        <f>IF(BJ$14&gt;Input!$L$55,0,1)</f>
        <v>0</v>
      </c>
      <c r="BK217" s="401">
        <f>IF(BK$14&gt;Input!$L$55,0,1)</f>
        <v>0</v>
      </c>
      <c r="BL217" s="401">
        <f>IF(BL$14&gt;Input!$L$55,0,1)</f>
        <v>0</v>
      </c>
      <c r="BM217" s="401">
        <f>IF(BM$14&gt;Input!$L$55,0,1)</f>
        <v>0</v>
      </c>
      <c r="BN217" s="401">
        <f>IF(BN$14&gt;Input!$L$55,0,1)</f>
        <v>0</v>
      </c>
      <c r="BO217" s="401">
        <f>IF(BO$14&gt;Input!$L$55,0,1)</f>
        <v>0</v>
      </c>
      <c r="BP217" s="401">
        <f>IF(BP$14&gt;Input!$L$55,0,1)</f>
        <v>0</v>
      </c>
    </row>
    <row r="218" spans="2:68" outlineLevel="1" x14ac:dyDescent="0.2">
      <c r="B218" s="80"/>
      <c r="C218" s="80"/>
      <c r="D218" s="80"/>
      <c r="E218" s="80"/>
      <c r="F218" s="80"/>
      <c r="G218" s="80"/>
      <c r="H218" s="80"/>
      <c r="I218" s="80"/>
      <c r="J218" s="80"/>
      <c r="K218" s="80"/>
      <c r="L218" s="412"/>
      <c r="M218" s="413"/>
      <c r="N218" s="80"/>
      <c r="O218" s="80"/>
      <c r="P218" s="80"/>
      <c r="Q218" s="80"/>
      <c r="R218" s="80"/>
      <c r="S218" s="80"/>
      <c r="T218" s="83"/>
      <c r="U218" s="80"/>
      <c r="V218" s="80"/>
      <c r="W218" s="80"/>
      <c r="X218" s="80"/>
      <c r="Y218" s="80"/>
      <c r="Z218" s="80"/>
      <c r="AA218" s="80"/>
      <c r="AB218" s="80"/>
      <c r="AC218" s="80"/>
      <c r="AD218" s="80"/>
      <c r="AE218" s="80"/>
      <c r="AF218" s="80"/>
      <c r="AG218" s="80"/>
      <c r="AH218" s="80"/>
      <c r="AI218" s="80"/>
      <c r="AJ218" s="80"/>
      <c r="AK218" s="80"/>
      <c r="AL218" s="80"/>
      <c r="AM218" s="80"/>
      <c r="AN218" s="80"/>
      <c r="AO218" s="80"/>
      <c r="AP218" s="80"/>
      <c r="AQ218" s="80"/>
      <c r="AR218" s="80"/>
      <c r="AS218" s="80"/>
      <c r="AT218" s="80"/>
      <c r="AU218" s="80"/>
      <c r="AV218" s="80"/>
      <c r="AW218" s="80"/>
      <c r="AX218" s="80"/>
      <c r="AY218" s="80"/>
      <c r="AZ218" s="80"/>
      <c r="BA218" s="80"/>
      <c r="BB218" s="80"/>
      <c r="BC218" s="80"/>
      <c r="BD218" s="80"/>
      <c r="BE218" s="80"/>
      <c r="BF218" s="80"/>
      <c r="BG218" s="80"/>
      <c r="BH218" s="80"/>
      <c r="BI218" s="80"/>
      <c r="BJ218" s="80"/>
      <c r="BK218" s="80"/>
      <c r="BL218" s="80"/>
      <c r="BM218" s="80"/>
      <c r="BN218" s="80"/>
      <c r="BO218" s="80"/>
      <c r="BP218" s="80"/>
    </row>
    <row r="219" spans="2:68" outlineLevel="1" x14ac:dyDescent="0.2">
      <c r="B219" s="80"/>
      <c r="C219" s="80"/>
      <c r="D219" s="10" t="s">
        <v>397</v>
      </c>
      <c r="E219" s="80"/>
      <c r="F219" s="80"/>
      <c r="G219" s="17" t="s">
        <v>64</v>
      </c>
      <c r="H219" s="17" t="s">
        <v>63</v>
      </c>
      <c r="I219" s="17"/>
      <c r="J219" s="10" t="s">
        <v>398</v>
      </c>
      <c r="K219" s="80"/>
      <c r="L219" s="412"/>
      <c r="M219" s="413"/>
      <c r="N219" s="80"/>
      <c r="O219" s="80"/>
      <c r="P219" s="80"/>
      <c r="Q219" s="80"/>
      <c r="R219" s="80"/>
      <c r="S219" s="80"/>
      <c r="T219" s="83"/>
      <c r="U219" s="80"/>
      <c r="V219" s="80"/>
      <c r="W219" s="80"/>
      <c r="X219" s="80"/>
      <c r="Y219" s="80"/>
      <c r="Z219" s="80"/>
      <c r="AA219" s="80"/>
      <c r="AB219" s="80"/>
      <c r="AC219" s="80"/>
      <c r="AD219" s="80"/>
      <c r="AE219" s="80"/>
      <c r="AF219" s="80"/>
      <c r="AG219" s="80"/>
      <c r="AH219" s="80"/>
      <c r="AI219" s="80"/>
      <c r="AJ219" s="80"/>
      <c r="AK219" s="80"/>
      <c r="AL219" s="80"/>
      <c r="AM219" s="80"/>
      <c r="AN219" s="80"/>
      <c r="AO219" s="80"/>
      <c r="AP219" s="80"/>
      <c r="AQ219" s="80"/>
      <c r="AR219" s="80"/>
      <c r="AS219" s="80"/>
      <c r="AT219" s="80"/>
      <c r="AU219" s="80"/>
      <c r="AV219" s="80"/>
      <c r="AW219" s="80"/>
      <c r="AX219" s="80"/>
      <c r="AY219" s="80"/>
      <c r="AZ219" s="80"/>
      <c r="BA219" s="80"/>
      <c r="BB219" s="80"/>
      <c r="BC219" s="80"/>
      <c r="BD219" s="80"/>
      <c r="BE219" s="80"/>
      <c r="BF219" s="80"/>
      <c r="BG219" s="80"/>
      <c r="BH219" s="80"/>
      <c r="BI219" s="80"/>
      <c r="BJ219" s="80"/>
      <c r="BK219" s="80"/>
      <c r="BL219" s="80"/>
      <c r="BM219" s="80"/>
      <c r="BN219" s="80"/>
      <c r="BO219" s="80"/>
      <c r="BP219" s="80"/>
    </row>
    <row r="220" spans="2:68" outlineLevel="1" x14ac:dyDescent="0.2">
      <c r="B220" s="80"/>
      <c r="C220" s="80"/>
      <c r="D220" s="80"/>
      <c r="E220" s="80"/>
      <c r="F220" s="80"/>
      <c r="G220" s="52"/>
      <c r="H220" s="52"/>
      <c r="I220" s="52"/>
      <c r="J220" s="80"/>
      <c r="K220" s="80"/>
      <c r="L220" s="412"/>
      <c r="M220" s="413"/>
      <c r="N220" s="80"/>
      <c r="O220" s="80"/>
      <c r="P220" s="80"/>
      <c r="Q220" s="80"/>
      <c r="R220" s="80"/>
      <c r="S220" s="80"/>
      <c r="T220" s="83"/>
      <c r="U220" s="80"/>
      <c r="V220" s="80"/>
      <c r="W220" s="80"/>
      <c r="X220" s="80"/>
      <c r="Y220" s="80"/>
      <c r="Z220" s="80"/>
      <c r="AA220" s="80"/>
      <c r="AB220" s="80"/>
      <c r="AC220" s="80"/>
      <c r="AD220" s="80"/>
      <c r="AE220" s="80"/>
      <c r="AF220" s="80"/>
      <c r="AG220" s="80"/>
      <c r="AH220" s="80"/>
      <c r="AI220" s="80"/>
      <c r="AJ220" s="80"/>
      <c r="AK220" s="80"/>
      <c r="AL220" s="80"/>
      <c r="AM220" s="80"/>
      <c r="AN220" s="80"/>
      <c r="AO220" s="80"/>
      <c r="AP220" s="80"/>
      <c r="AQ220" s="80"/>
      <c r="AR220" s="80"/>
      <c r="AS220" s="80"/>
      <c r="AT220" s="80"/>
      <c r="AU220" s="80"/>
      <c r="AV220" s="80"/>
      <c r="AW220" s="80"/>
      <c r="AX220" s="80"/>
      <c r="AY220" s="80"/>
      <c r="AZ220" s="80"/>
      <c r="BA220" s="80"/>
      <c r="BB220" s="80"/>
      <c r="BC220" s="80"/>
      <c r="BD220" s="80"/>
      <c r="BE220" s="80"/>
      <c r="BF220" s="80"/>
      <c r="BG220" s="80"/>
      <c r="BH220" s="80"/>
      <c r="BI220" s="80"/>
      <c r="BJ220" s="80"/>
      <c r="BK220" s="80"/>
      <c r="BL220" s="80"/>
      <c r="BM220" s="80"/>
      <c r="BN220" s="80"/>
      <c r="BO220" s="80"/>
      <c r="BP220" s="80"/>
    </row>
    <row r="221" spans="2:68" ht="10.35" customHeight="1" outlineLevel="1" x14ac:dyDescent="0.2">
      <c r="B221" s="80"/>
      <c r="C221" s="80"/>
      <c r="D221" s="10" t="str">
        <f>$D$32</f>
        <v>Capex cost</v>
      </c>
      <c r="E221" s="80"/>
      <c r="F221" s="80"/>
      <c r="G221" s="83"/>
      <c r="H221" s="83"/>
      <c r="I221" s="83"/>
      <c r="J221" s="80"/>
      <c r="K221" s="34"/>
      <c r="L221" s="126"/>
      <c r="M221" s="127"/>
      <c r="N221" s="34"/>
      <c r="O221" s="34"/>
      <c r="P221" s="34"/>
      <c r="Q221" s="34"/>
      <c r="R221" s="33"/>
      <c r="S221" s="33"/>
      <c r="T221" s="33"/>
      <c r="U221" s="33"/>
      <c r="V221" s="33"/>
      <c r="W221" s="33"/>
      <c r="X221" s="33"/>
      <c r="Y221" s="33"/>
      <c r="Z221" s="33"/>
      <c r="AA221" s="33"/>
      <c r="AB221" s="33"/>
      <c r="AC221" s="33"/>
      <c r="AD221" s="33"/>
      <c r="AE221" s="33"/>
      <c r="AF221" s="33"/>
      <c r="AG221" s="33"/>
      <c r="AH221" s="33"/>
      <c r="AI221" s="33"/>
      <c r="AJ221" s="33"/>
      <c r="AK221" s="33"/>
      <c r="AL221" s="33"/>
      <c r="AM221" s="33"/>
      <c r="AN221" s="33"/>
      <c r="AO221" s="33"/>
      <c r="AP221" s="33"/>
      <c r="AQ221" s="33"/>
      <c r="AR221" s="33"/>
      <c r="AS221" s="33"/>
      <c r="AT221" s="33"/>
      <c r="AU221" s="33"/>
      <c r="AV221" s="33"/>
      <c r="AW221" s="33"/>
      <c r="AX221" s="33"/>
      <c r="AY221" s="33"/>
      <c r="AZ221" s="33"/>
      <c r="BA221" s="33"/>
      <c r="BB221" s="33"/>
      <c r="BC221" s="33"/>
      <c r="BD221" s="33"/>
      <c r="BE221" s="33"/>
      <c r="BF221" s="33"/>
      <c r="BG221" s="33"/>
      <c r="BH221" s="33"/>
      <c r="BI221" s="33"/>
      <c r="BJ221" s="33"/>
      <c r="BK221" s="33"/>
      <c r="BL221" s="33"/>
      <c r="BM221" s="33"/>
      <c r="BN221" s="33"/>
      <c r="BO221" s="33"/>
      <c r="BP221" s="33"/>
    </row>
    <row r="222" spans="2:68" ht="10.35" customHeight="1" outlineLevel="1" x14ac:dyDescent="0.2">
      <c r="B222" s="80"/>
      <c r="C222" s="80"/>
      <c r="D222" s="402" t="str">
        <f>$D$39</f>
        <v>Total excl Land</v>
      </c>
      <c r="E222" s="80"/>
      <c r="F222" s="80"/>
      <c r="G222" s="477">
        <f>$G$224</f>
        <v>1</v>
      </c>
      <c r="H222" s="477">
        <f>$H$224</f>
        <v>0</v>
      </c>
      <c r="I222" s="83"/>
      <c r="J222" s="80" t="s">
        <v>399</v>
      </c>
      <c r="K222" s="34"/>
      <c r="L222" s="436">
        <f>SUM(R222:BP222)</f>
        <v>-15330439</v>
      </c>
      <c r="M222" s="457"/>
      <c r="N222" s="455"/>
      <c r="O222" s="455"/>
      <c r="P222" s="455"/>
      <c r="Q222" s="455"/>
      <c r="R222" s="401">
        <f t="shared" ref="R222:AW222" si="356">IF($L$217="On",R39*R$217,R39)</f>
        <v>0</v>
      </c>
      <c r="S222" s="401">
        <f t="shared" si="356"/>
        <v>0</v>
      </c>
      <c r="T222" s="401">
        <f t="shared" si="356"/>
        <v>0</v>
      </c>
      <c r="U222" s="401">
        <f t="shared" si="356"/>
        <v>-2714370</v>
      </c>
      <c r="V222" s="401">
        <f t="shared" si="356"/>
        <v>-3261225</v>
      </c>
      <c r="W222" s="401">
        <f t="shared" si="356"/>
        <v>-3274476</v>
      </c>
      <c r="X222" s="401">
        <f t="shared" si="356"/>
        <v>-2730746</v>
      </c>
      <c r="Y222" s="401">
        <f t="shared" si="356"/>
        <v>-3349622</v>
      </c>
      <c r="Z222" s="401">
        <f t="shared" si="356"/>
        <v>0</v>
      </c>
      <c r="AA222" s="401">
        <f t="shared" si="356"/>
        <v>0</v>
      </c>
      <c r="AB222" s="401">
        <f t="shared" si="356"/>
        <v>0</v>
      </c>
      <c r="AC222" s="401">
        <f t="shared" si="356"/>
        <v>0</v>
      </c>
      <c r="AD222" s="401">
        <f t="shared" si="356"/>
        <v>0</v>
      </c>
      <c r="AE222" s="401">
        <f t="shared" si="356"/>
        <v>0</v>
      </c>
      <c r="AF222" s="401">
        <f t="shared" si="356"/>
        <v>0</v>
      </c>
      <c r="AG222" s="401">
        <f t="shared" si="356"/>
        <v>0</v>
      </c>
      <c r="AH222" s="401">
        <f t="shared" si="356"/>
        <v>0</v>
      </c>
      <c r="AI222" s="401">
        <f t="shared" si="356"/>
        <v>0</v>
      </c>
      <c r="AJ222" s="401">
        <f t="shared" si="356"/>
        <v>0</v>
      </c>
      <c r="AK222" s="401">
        <f t="shared" si="356"/>
        <v>0</v>
      </c>
      <c r="AL222" s="401">
        <f t="shared" si="356"/>
        <v>0</v>
      </c>
      <c r="AM222" s="401">
        <f t="shared" si="356"/>
        <v>0</v>
      </c>
      <c r="AN222" s="401">
        <f t="shared" si="356"/>
        <v>0</v>
      </c>
      <c r="AO222" s="401">
        <f t="shared" si="356"/>
        <v>0</v>
      </c>
      <c r="AP222" s="401">
        <f t="shared" si="356"/>
        <v>0</v>
      </c>
      <c r="AQ222" s="401">
        <f t="shared" si="356"/>
        <v>0</v>
      </c>
      <c r="AR222" s="401">
        <f t="shared" si="356"/>
        <v>0</v>
      </c>
      <c r="AS222" s="401">
        <f t="shared" si="356"/>
        <v>0</v>
      </c>
      <c r="AT222" s="401">
        <f t="shared" si="356"/>
        <v>0</v>
      </c>
      <c r="AU222" s="401">
        <f t="shared" si="356"/>
        <v>0</v>
      </c>
      <c r="AV222" s="401">
        <f t="shared" si="356"/>
        <v>0</v>
      </c>
      <c r="AW222" s="401">
        <f t="shared" si="356"/>
        <v>0</v>
      </c>
      <c r="AX222" s="401">
        <f t="shared" ref="AX222:BP222" si="357">IF($L$217="On",AX39*AX$217,AX39)</f>
        <v>0</v>
      </c>
      <c r="AY222" s="401">
        <f t="shared" si="357"/>
        <v>0</v>
      </c>
      <c r="AZ222" s="401">
        <f t="shared" si="357"/>
        <v>0</v>
      </c>
      <c r="BA222" s="401">
        <f t="shared" si="357"/>
        <v>0</v>
      </c>
      <c r="BB222" s="401">
        <f t="shared" si="357"/>
        <v>0</v>
      </c>
      <c r="BC222" s="401">
        <f t="shared" si="357"/>
        <v>0</v>
      </c>
      <c r="BD222" s="401">
        <f t="shared" si="357"/>
        <v>0</v>
      </c>
      <c r="BE222" s="401">
        <f t="shared" si="357"/>
        <v>0</v>
      </c>
      <c r="BF222" s="401">
        <f t="shared" si="357"/>
        <v>0</v>
      </c>
      <c r="BG222" s="401">
        <f t="shared" si="357"/>
        <v>0</v>
      </c>
      <c r="BH222" s="401">
        <f t="shared" si="357"/>
        <v>0</v>
      </c>
      <c r="BI222" s="401">
        <f t="shared" si="357"/>
        <v>0</v>
      </c>
      <c r="BJ222" s="401">
        <f t="shared" si="357"/>
        <v>0</v>
      </c>
      <c r="BK222" s="401">
        <f t="shared" si="357"/>
        <v>0</v>
      </c>
      <c r="BL222" s="401">
        <f t="shared" si="357"/>
        <v>0</v>
      </c>
      <c r="BM222" s="401">
        <f t="shared" si="357"/>
        <v>0</v>
      </c>
      <c r="BN222" s="401">
        <f t="shared" si="357"/>
        <v>0</v>
      </c>
      <c r="BO222" s="401">
        <f t="shared" si="357"/>
        <v>0</v>
      </c>
      <c r="BP222" s="401">
        <f t="shared" si="357"/>
        <v>0</v>
      </c>
    </row>
    <row r="223" spans="2:68" ht="10.35" customHeight="1" outlineLevel="1" x14ac:dyDescent="0.2">
      <c r="B223" s="80"/>
      <c r="C223" s="80"/>
      <c r="D223" s="402" t="str">
        <f>$D$40</f>
        <v>Land</v>
      </c>
      <c r="E223" s="80"/>
      <c r="F223" s="80"/>
      <c r="G223" s="477">
        <f>$G$224</f>
        <v>1</v>
      </c>
      <c r="H223" s="477">
        <f>$H$224</f>
        <v>0</v>
      </c>
      <c r="I223" s="83"/>
      <c r="J223" s="80" t="s">
        <v>399</v>
      </c>
      <c r="K223" s="34"/>
      <c r="L223" s="436">
        <f>SUM(R223:BP223)</f>
        <v>0</v>
      </c>
      <c r="M223" s="457"/>
      <c r="N223" s="455"/>
      <c r="O223" s="455"/>
      <c r="P223" s="455"/>
      <c r="Q223" s="455"/>
      <c r="R223" s="401">
        <f t="shared" ref="R223:AW223" si="358">IF($L$217="On",R40*R$217,R40)</f>
        <v>0</v>
      </c>
      <c r="S223" s="401">
        <f t="shared" si="358"/>
        <v>0</v>
      </c>
      <c r="T223" s="401">
        <f t="shared" si="358"/>
        <v>0</v>
      </c>
      <c r="U223" s="401">
        <f t="shared" si="358"/>
        <v>0</v>
      </c>
      <c r="V223" s="401">
        <f t="shared" si="358"/>
        <v>0</v>
      </c>
      <c r="W223" s="401">
        <f t="shared" si="358"/>
        <v>0</v>
      </c>
      <c r="X223" s="401">
        <f t="shared" si="358"/>
        <v>0</v>
      </c>
      <c r="Y223" s="401">
        <f t="shared" si="358"/>
        <v>0</v>
      </c>
      <c r="Z223" s="401">
        <f t="shared" si="358"/>
        <v>0</v>
      </c>
      <c r="AA223" s="401">
        <f t="shared" si="358"/>
        <v>0</v>
      </c>
      <c r="AB223" s="401">
        <f t="shared" si="358"/>
        <v>0</v>
      </c>
      <c r="AC223" s="401">
        <f t="shared" si="358"/>
        <v>0</v>
      </c>
      <c r="AD223" s="401">
        <f t="shared" si="358"/>
        <v>0</v>
      </c>
      <c r="AE223" s="401">
        <f t="shared" si="358"/>
        <v>0</v>
      </c>
      <c r="AF223" s="401">
        <f t="shared" si="358"/>
        <v>0</v>
      </c>
      <c r="AG223" s="401">
        <f t="shared" si="358"/>
        <v>0</v>
      </c>
      <c r="AH223" s="401">
        <f t="shared" si="358"/>
        <v>0</v>
      </c>
      <c r="AI223" s="401">
        <f t="shared" si="358"/>
        <v>0</v>
      </c>
      <c r="AJ223" s="401">
        <f t="shared" si="358"/>
        <v>0</v>
      </c>
      <c r="AK223" s="401">
        <f t="shared" si="358"/>
        <v>0</v>
      </c>
      <c r="AL223" s="401">
        <f t="shared" si="358"/>
        <v>0</v>
      </c>
      <c r="AM223" s="401">
        <f t="shared" si="358"/>
        <v>0</v>
      </c>
      <c r="AN223" s="401">
        <f t="shared" si="358"/>
        <v>0</v>
      </c>
      <c r="AO223" s="401">
        <f t="shared" si="358"/>
        <v>0</v>
      </c>
      <c r="AP223" s="401">
        <f t="shared" si="358"/>
        <v>0</v>
      </c>
      <c r="AQ223" s="401">
        <f t="shared" si="358"/>
        <v>0</v>
      </c>
      <c r="AR223" s="401">
        <f t="shared" si="358"/>
        <v>0</v>
      </c>
      <c r="AS223" s="401">
        <f t="shared" si="358"/>
        <v>0</v>
      </c>
      <c r="AT223" s="401">
        <f t="shared" si="358"/>
        <v>0</v>
      </c>
      <c r="AU223" s="401">
        <f t="shared" si="358"/>
        <v>0</v>
      </c>
      <c r="AV223" s="401">
        <f t="shared" si="358"/>
        <v>0</v>
      </c>
      <c r="AW223" s="401">
        <f t="shared" si="358"/>
        <v>0</v>
      </c>
      <c r="AX223" s="401">
        <f t="shared" ref="AX223:BP223" si="359">IF($L$217="On",AX40*AX$217,AX40)</f>
        <v>0</v>
      </c>
      <c r="AY223" s="401">
        <f t="shared" si="359"/>
        <v>0</v>
      </c>
      <c r="AZ223" s="401">
        <f t="shared" si="359"/>
        <v>0</v>
      </c>
      <c r="BA223" s="401">
        <f t="shared" si="359"/>
        <v>0</v>
      </c>
      <c r="BB223" s="401">
        <f t="shared" si="359"/>
        <v>0</v>
      </c>
      <c r="BC223" s="401">
        <f t="shared" si="359"/>
        <v>0</v>
      </c>
      <c r="BD223" s="401">
        <f t="shared" si="359"/>
        <v>0</v>
      </c>
      <c r="BE223" s="401">
        <f t="shared" si="359"/>
        <v>0</v>
      </c>
      <c r="BF223" s="401">
        <f t="shared" si="359"/>
        <v>0</v>
      </c>
      <c r="BG223" s="401">
        <f t="shared" si="359"/>
        <v>0</v>
      </c>
      <c r="BH223" s="401">
        <f t="shared" si="359"/>
        <v>0</v>
      </c>
      <c r="BI223" s="401">
        <f t="shared" si="359"/>
        <v>0</v>
      </c>
      <c r="BJ223" s="401">
        <f t="shared" si="359"/>
        <v>0</v>
      </c>
      <c r="BK223" s="401">
        <f t="shared" si="359"/>
        <v>0</v>
      </c>
      <c r="BL223" s="401">
        <f t="shared" si="359"/>
        <v>0</v>
      </c>
      <c r="BM223" s="401">
        <f t="shared" si="359"/>
        <v>0</v>
      </c>
      <c r="BN223" s="401">
        <f t="shared" si="359"/>
        <v>0</v>
      </c>
      <c r="BO223" s="401">
        <f t="shared" si="359"/>
        <v>0</v>
      </c>
      <c r="BP223" s="401">
        <f t="shared" si="359"/>
        <v>0</v>
      </c>
    </row>
    <row r="224" spans="2:68" ht="10.35" customHeight="1" outlineLevel="1" x14ac:dyDescent="0.2">
      <c r="B224" s="80"/>
      <c r="C224" s="80"/>
      <c r="D224" s="81" t="str">
        <f>$D$41</f>
        <v>Total capex cost</v>
      </c>
      <c r="E224" s="80"/>
      <c r="F224" s="80"/>
      <c r="G224" s="477">
        <f>Assumptions!$H$163</f>
        <v>1</v>
      </c>
      <c r="H224" s="477">
        <f>Assumptions!$I$163</f>
        <v>0</v>
      </c>
      <c r="I224" s="83"/>
      <c r="J224" s="85" t="str">
        <f>Assumptions!$K$163</f>
        <v>Capex</v>
      </c>
      <c r="K224" s="401"/>
      <c r="L224" s="436">
        <f>SUM(R224:BP224)</f>
        <v>-15330439</v>
      </c>
      <c r="M224" s="457"/>
      <c r="N224" s="455"/>
      <c r="O224" s="455"/>
      <c r="P224" s="455"/>
      <c r="Q224" s="455"/>
      <c r="R224" s="401">
        <f>IF($L$217="On",R41*R$217,R41)</f>
        <v>0</v>
      </c>
      <c r="S224" s="401">
        <f t="shared" ref="S224:AX224" si="360">IF($L$217="On",S41*S217,S41)</f>
        <v>0</v>
      </c>
      <c r="T224" s="401">
        <f t="shared" si="360"/>
        <v>0</v>
      </c>
      <c r="U224" s="401">
        <f t="shared" si="360"/>
        <v>-2714370</v>
      </c>
      <c r="V224" s="401">
        <f t="shared" si="360"/>
        <v>-3261225</v>
      </c>
      <c r="W224" s="401">
        <f t="shared" si="360"/>
        <v>-3274476</v>
      </c>
      <c r="X224" s="401">
        <f t="shared" si="360"/>
        <v>-2730746</v>
      </c>
      <c r="Y224" s="401">
        <f t="shared" si="360"/>
        <v>-3349622</v>
      </c>
      <c r="Z224" s="401">
        <f t="shared" si="360"/>
        <v>0</v>
      </c>
      <c r="AA224" s="401">
        <f t="shared" si="360"/>
        <v>0</v>
      </c>
      <c r="AB224" s="401">
        <f t="shared" si="360"/>
        <v>0</v>
      </c>
      <c r="AC224" s="401">
        <f t="shared" si="360"/>
        <v>0</v>
      </c>
      <c r="AD224" s="401">
        <f t="shared" si="360"/>
        <v>0</v>
      </c>
      <c r="AE224" s="401">
        <f t="shared" si="360"/>
        <v>0</v>
      </c>
      <c r="AF224" s="401">
        <f t="shared" si="360"/>
        <v>0</v>
      </c>
      <c r="AG224" s="401">
        <f t="shared" si="360"/>
        <v>0</v>
      </c>
      <c r="AH224" s="401">
        <f t="shared" si="360"/>
        <v>0</v>
      </c>
      <c r="AI224" s="401">
        <f t="shared" si="360"/>
        <v>0</v>
      </c>
      <c r="AJ224" s="401">
        <f t="shared" si="360"/>
        <v>0</v>
      </c>
      <c r="AK224" s="401">
        <f t="shared" si="360"/>
        <v>0</v>
      </c>
      <c r="AL224" s="401">
        <f t="shared" si="360"/>
        <v>0</v>
      </c>
      <c r="AM224" s="401">
        <f t="shared" si="360"/>
        <v>0</v>
      </c>
      <c r="AN224" s="401">
        <f t="shared" si="360"/>
        <v>0</v>
      </c>
      <c r="AO224" s="401">
        <f t="shared" si="360"/>
        <v>0</v>
      </c>
      <c r="AP224" s="401">
        <f t="shared" si="360"/>
        <v>0</v>
      </c>
      <c r="AQ224" s="401">
        <f t="shared" si="360"/>
        <v>0</v>
      </c>
      <c r="AR224" s="401">
        <f t="shared" si="360"/>
        <v>0</v>
      </c>
      <c r="AS224" s="401">
        <f t="shared" si="360"/>
        <v>0</v>
      </c>
      <c r="AT224" s="401">
        <f t="shared" si="360"/>
        <v>0</v>
      </c>
      <c r="AU224" s="401">
        <f t="shared" si="360"/>
        <v>0</v>
      </c>
      <c r="AV224" s="401">
        <f t="shared" si="360"/>
        <v>0</v>
      </c>
      <c r="AW224" s="401">
        <f t="shared" si="360"/>
        <v>0</v>
      </c>
      <c r="AX224" s="401">
        <f t="shared" si="360"/>
        <v>0</v>
      </c>
      <c r="AY224" s="401">
        <f t="shared" ref="AY224:BP224" si="361">IF($L$217="On",AY41*AY217,AY41)</f>
        <v>0</v>
      </c>
      <c r="AZ224" s="401">
        <f t="shared" si="361"/>
        <v>0</v>
      </c>
      <c r="BA224" s="401">
        <f t="shared" si="361"/>
        <v>0</v>
      </c>
      <c r="BB224" s="401">
        <f t="shared" si="361"/>
        <v>0</v>
      </c>
      <c r="BC224" s="401">
        <f t="shared" si="361"/>
        <v>0</v>
      </c>
      <c r="BD224" s="401">
        <f t="shared" si="361"/>
        <v>0</v>
      </c>
      <c r="BE224" s="401">
        <f t="shared" si="361"/>
        <v>0</v>
      </c>
      <c r="BF224" s="401">
        <f t="shared" si="361"/>
        <v>0</v>
      </c>
      <c r="BG224" s="401">
        <f t="shared" si="361"/>
        <v>0</v>
      </c>
      <c r="BH224" s="401">
        <f t="shared" si="361"/>
        <v>0</v>
      </c>
      <c r="BI224" s="401">
        <f t="shared" si="361"/>
        <v>0</v>
      </c>
      <c r="BJ224" s="401">
        <f t="shared" si="361"/>
        <v>0</v>
      </c>
      <c r="BK224" s="401">
        <f t="shared" si="361"/>
        <v>0</v>
      </c>
      <c r="BL224" s="401">
        <f t="shared" si="361"/>
        <v>0</v>
      </c>
      <c r="BM224" s="401">
        <f t="shared" si="361"/>
        <v>0</v>
      </c>
      <c r="BN224" s="401">
        <f t="shared" si="361"/>
        <v>0</v>
      </c>
      <c r="BO224" s="401">
        <f t="shared" si="361"/>
        <v>0</v>
      </c>
      <c r="BP224" s="401">
        <f t="shared" si="361"/>
        <v>0</v>
      </c>
    </row>
    <row r="225" spans="2:68" customFormat="1" ht="10.35" customHeight="1" outlineLevel="1" x14ac:dyDescent="0.2">
      <c r="G225" s="52"/>
      <c r="H225" s="52"/>
      <c r="I225" s="52"/>
      <c r="J225" s="123"/>
      <c r="L225" s="112"/>
      <c r="M225" s="113"/>
    </row>
    <row r="226" spans="2:68" ht="10.35" customHeight="1" outlineLevel="1" x14ac:dyDescent="0.2">
      <c r="B226" s="80"/>
      <c r="C226" s="80"/>
      <c r="D226" s="10" t="str">
        <f>$D$52</f>
        <v>Future capex cost</v>
      </c>
      <c r="E226" s="80"/>
      <c r="F226" s="80"/>
      <c r="G226" s="83"/>
      <c r="H226" s="83"/>
      <c r="I226" s="83"/>
      <c r="J226" s="85"/>
      <c r="K226" s="401"/>
      <c r="L226" s="436"/>
      <c r="M226" s="127"/>
      <c r="N226" s="34"/>
      <c r="O226" s="34"/>
      <c r="P226" s="34"/>
      <c r="Q226" s="34"/>
      <c r="R226" s="33"/>
      <c r="S226" s="33"/>
      <c r="T226" s="33"/>
      <c r="U226" s="33"/>
      <c r="V226" s="33"/>
      <c r="W226" s="33"/>
      <c r="X226" s="33"/>
      <c r="Y226" s="33"/>
      <c r="Z226" s="33"/>
      <c r="AA226" s="33"/>
      <c r="AB226" s="33"/>
      <c r="AC226" s="33"/>
      <c r="AD226" s="33"/>
      <c r="AE226" s="33"/>
      <c r="AF226" s="33"/>
      <c r="AG226" s="33"/>
      <c r="AH226" s="33"/>
      <c r="AI226" s="33"/>
      <c r="AJ226" s="33"/>
      <c r="AK226" s="33"/>
      <c r="AL226" s="33"/>
      <c r="AM226" s="33"/>
      <c r="AN226" s="33"/>
      <c r="AO226" s="33"/>
      <c r="AP226" s="33"/>
      <c r="AQ226" s="33"/>
      <c r="AR226" s="33"/>
      <c r="AS226" s="33"/>
      <c r="AT226" s="33"/>
      <c r="AU226" s="33"/>
      <c r="AV226" s="33"/>
      <c r="AW226" s="33"/>
      <c r="AX226" s="33"/>
      <c r="AY226" s="33"/>
      <c r="AZ226" s="33"/>
      <c r="BA226" s="33"/>
      <c r="BB226" s="33"/>
      <c r="BC226" s="33"/>
      <c r="BD226" s="33"/>
      <c r="BE226" s="33"/>
      <c r="BF226" s="33"/>
      <c r="BG226" s="33"/>
      <c r="BH226" s="33"/>
      <c r="BI226" s="33"/>
      <c r="BJ226" s="33"/>
      <c r="BK226" s="33"/>
      <c r="BL226" s="33"/>
      <c r="BM226" s="33"/>
      <c r="BN226" s="33"/>
      <c r="BO226" s="33"/>
      <c r="BP226" s="33"/>
    </row>
    <row r="227" spans="2:68" ht="10.35" customHeight="1" outlineLevel="1" x14ac:dyDescent="0.2">
      <c r="B227" s="80"/>
      <c r="C227" s="80"/>
      <c r="D227" s="402" t="str">
        <f>$D$58</f>
        <v>Total excl Land</v>
      </c>
      <c r="E227" s="80"/>
      <c r="F227" s="80"/>
      <c r="G227" s="477">
        <f>$G$229</f>
        <v>1</v>
      </c>
      <c r="H227" s="477">
        <f>$H$229</f>
        <v>0</v>
      </c>
      <c r="I227" s="83"/>
      <c r="J227" s="85" t="s">
        <v>399</v>
      </c>
      <c r="K227" s="401"/>
      <c r="L227" s="436">
        <f>SUM(R227:BP227)</f>
        <v>0</v>
      </c>
      <c r="M227" s="457"/>
      <c r="N227" s="455"/>
      <c r="O227" s="455"/>
      <c r="P227" s="455"/>
      <c r="Q227" s="455"/>
      <c r="R227" s="401">
        <f t="shared" ref="R227:AW227" si="362">IF($L$217="On",R$217*R58,R58)</f>
        <v>0</v>
      </c>
      <c r="S227" s="401">
        <f t="shared" si="362"/>
        <v>0</v>
      </c>
      <c r="T227" s="401">
        <f t="shared" si="362"/>
        <v>0</v>
      </c>
      <c r="U227" s="401">
        <f t="shared" si="362"/>
        <v>0</v>
      </c>
      <c r="V227" s="401">
        <f t="shared" si="362"/>
        <v>0</v>
      </c>
      <c r="W227" s="401">
        <f t="shared" si="362"/>
        <v>0</v>
      </c>
      <c r="X227" s="401">
        <f t="shared" si="362"/>
        <v>0</v>
      </c>
      <c r="Y227" s="401">
        <f t="shared" si="362"/>
        <v>0</v>
      </c>
      <c r="Z227" s="401">
        <f t="shared" si="362"/>
        <v>0</v>
      </c>
      <c r="AA227" s="401">
        <f t="shared" si="362"/>
        <v>0</v>
      </c>
      <c r="AB227" s="401">
        <f t="shared" si="362"/>
        <v>0</v>
      </c>
      <c r="AC227" s="401">
        <f t="shared" si="362"/>
        <v>0</v>
      </c>
      <c r="AD227" s="401">
        <f t="shared" si="362"/>
        <v>0</v>
      </c>
      <c r="AE227" s="401">
        <f t="shared" si="362"/>
        <v>0</v>
      </c>
      <c r="AF227" s="401">
        <f t="shared" si="362"/>
        <v>0</v>
      </c>
      <c r="AG227" s="401">
        <f t="shared" si="362"/>
        <v>0</v>
      </c>
      <c r="AH227" s="401">
        <f t="shared" si="362"/>
        <v>0</v>
      </c>
      <c r="AI227" s="401">
        <f t="shared" si="362"/>
        <v>0</v>
      </c>
      <c r="AJ227" s="401">
        <f t="shared" si="362"/>
        <v>0</v>
      </c>
      <c r="AK227" s="401">
        <f t="shared" si="362"/>
        <v>0</v>
      </c>
      <c r="AL227" s="401">
        <f t="shared" si="362"/>
        <v>0</v>
      </c>
      <c r="AM227" s="401">
        <f t="shared" si="362"/>
        <v>0</v>
      </c>
      <c r="AN227" s="401">
        <f t="shared" si="362"/>
        <v>0</v>
      </c>
      <c r="AO227" s="401">
        <f t="shared" si="362"/>
        <v>0</v>
      </c>
      <c r="AP227" s="401">
        <f t="shared" si="362"/>
        <v>0</v>
      </c>
      <c r="AQ227" s="401">
        <f t="shared" si="362"/>
        <v>0</v>
      </c>
      <c r="AR227" s="401">
        <f t="shared" si="362"/>
        <v>0</v>
      </c>
      <c r="AS227" s="401">
        <f t="shared" si="362"/>
        <v>0</v>
      </c>
      <c r="AT227" s="401">
        <f t="shared" si="362"/>
        <v>0</v>
      </c>
      <c r="AU227" s="401">
        <f t="shared" si="362"/>
        <v>0</v>
      </c>
      <c r="AV227" s="401">
        <f t="shared" si="362"/>
        <v>0</v>
      </c>
      <c r="AW227" s="401">
        <f t="shared" si="362"/>
        <v>0</v>
      </c>
      <c r="AX227" s="401">
        <f t="shared" ref="AX227:BP227" si="363">IF($L$217="On",AX$217*AX58,AX58)</f>
        <v>0</v>
      </c>
      <c r="AY227" s="401">
        <f t="shared" si="363"/>
        <v>0</v>
      </c>
      <c r="AZ227" s="401">
        <f t="shared" si="363"/>
        <v>0</v>
      </c>
      <c r="BA227" s="401">
        <f t="shared" si="363"/>
        <v>0</v>
      </c>
      <c r="BB227" s="401">
        <f t="shared" si="363"/>
        <v>0</v>
      </c>
      <c r="BC227" s="401">
        <f t="shared" si="363"/>
        <v>0</v>
      </c>
      <c r="BD227" s="401">
        <f t="shared" si="363"/>
        <v>0</v>
      </c>
      <c r="BE227" s="401">
        <f t="shared" si="363"/>
        <v>0</v>
      </c>
      <c r="BF227" s="401">
        <f t="shared" si="363"/>
        <v>0</v>
      </c>
      <c r="BG227" s="401">
        <f t="shared" si="363"/>
        <v>0</v>
      </c>
      <c r="BH227" s="401">
        <f t="shared" si="363"/>
        <v>0</v>
      </c>
      <c r="BI227" s="401">
        <f t="shared" si="363"/>
        <v>0</v>
      </c>
      <c r="BJ227" s="401">
        <f t="shared" si="363"/>
        <v>0</v>
      </c>
      <c r="BK227" s="401">
        <f t="shared" si="363"/>
        <v>0</v>
      </c>
      <c r="BL227" s="401">
        <f t="shared" si="363"/>
        <v>0</v>
      </c>
      <c r="BM227" s="401">
        <f t="shared" si="363"/>
        <v>0</v>
      </c>
      <c r="BN227" s="401">
        <f t="shared" si="363"/>
        <v>0</v>
      </c>
      <c r="BO227" s="401">
        <f t="shared" si="363"/>
        <v>0</v>
      </c>
      <c r="BP227" s="401">
        <f t="shared" si="363"/>
        <v>0</v>
      </c>
    </row>
    <row r="228" spans="2:68" ht="10.35" customHeight="1" outlineLevel="1" x14ac:dyDescent="0.2">
      <c r="B228" s="80"/>
      <c r="C228" s="80"/>
      <c r="D228" s="402" t="str">
        <f>$D$59</f>
        <v>Land</v>
      </c>
      <c r="E228" s="80"/>
      <c r="F228" s="80"/>
      <c r="G228" s="477">
        <f>$G$229</f>
        <v>1</v>
      </c>
      <c r="H228" s="477">
        <f>$H$229</f>
        <v>0</v>
      </c>
      <c r="I228" s="83"/>
      <c r="J228" s="85" t="s">
        <v>399</v>
      </c>
      <c r="K228" s="401"/>
      <c r="L228" s="436">
        <f>SUM(R228:BP228)</f>
        <v>0</v>
      </c>
      <c r="M228" s="457"/>
      <c r="N228" s="455"/>
      <c r="O228" s="455"/>
      <c r="P228" s="455"/>
      <c r="Q228" s="455"/>
      <c r="R228" s="401">
        <f t="shared" ref="R228:AW228" si="364">IF($L$217="On",R$217*R59,R59)</f>
        <v>0</v>
      </c>
      <c r="S228" s="401">
        <f t="shared" si="364"/>
        <v>0</v>
      </c>
      <c r="T228" s="401">
        <f t="shared" si="364"/>
        <v>0</v>
      </c>
      <c r="U228" s="401">
        <f t="shared" si="364"/>
        <v>0</v>
      </c>
      <c r="V228" s="401">
        <f t="shared" si="364"/>
        <v>0</v>
      </c>
      <c r="W228" s="401">
        <f t="shared" si="364"/>
        <v>0</v>
      </c>
      <c r="X228" s="401">
        <f t="shared" si="364"/>
        <v>0</v>
      </c>
      <c r="Y228" s="401">
        <f t="shared" si="364"/>
        <v>0</v>
      </c>
      <c r="Z228" s="401">
        <f t="shared" si="364"/>
        <v>0</v>
      </c>
      <c r="AA228" s="401">
        <f t="shared" si="364"/>
        <v>0</v>
      </c>
      <c r="AB228" s="401">
        <f t="shared" si="364"/>
        <v>0</v>
      </c>
      <c r="AC228" s="401">
        <f t="shared" si="364"/>
        <v>0</v>
      </c>
      <c r="AD228" s="401">
        <f t="shared" si="364"/>
        <v>0</v>
      </c>
      <c r="AE228" s="401">
        <f t="shared" si="364"/>
        <v>0</v>
      </c>
      <c r="AF228" s="401">
        <f t="shared" si="364"/>
        <v>0</v>
      </c>
      <c r="AG228" s="401">
        <f t="shared" si="364"/>
        <v>0</v>
      </c>
      <c r="AH228" s="401">
        <f t="shared" si="364"/>
        <v>0</v>
      </c>
      <c r="AI228" s="401">
        <f t="shared" si="364"/>
        <v>0</v>
      </c>
      <c r="AJ228" s="401">
        <f t="shared" si="364"/>
        <v>0</v>
      </c>
      <c r="AK228" s="401">
        <f t="shared" si="364"/>
        <v>0</v>
      </c>
      <c r="AL228" s="401">
        <f t="shared" si="364"/>
        <v>0</v>
      </c>
      <c r="AM228" s="401">
        <f t="shared" si="364"/>
        <v>0</v>
      </c>
      <c r="AN228" s="401">
        <f t="shared" si="364"/>
        <v>0</v>
      </c>
      <c r="AO228" s="401">
        <f t="shared" si="364"/>
        <v>0</v>
      </c>
      <c r="AP228" s="401">
        <f t="shared" si="364"/>
        <v>0</v>
      </c>
      <c r="AQ228" s="401">
        <f t="shared" si="364"/>
        <v>0</v>
      </c>
      <c r="AR228" s="401">
        <f t="shared" si="364"/>
        <v>0</v>
      </c>
      <c r="AS228" s="401">
        <f t="shared" si="364"/>
        <v>0</v>
      </c>
      <c r="AT228" s="401">
        <f t="shared" si="364"/>
        <v>0</v>
      </c>
      <c r="AU228" s="401">
        <f t="shared" si="364"/>
        <v>0</v>
      </c>
      <c r="AV228" s="401">
        <f t="shared" si="364"/>
        <v>0</v>
      </c>
      <c r="AW228" s="401">
        <f t="shared" si="364"/>
        <v>0</v>
      </c>
      <c r="AX228" s="401">
        <f t="shared" ref="AX228:BP228" si="365">IF($L$217="On",AX$217*AX59,AX59)</f>
        <v>0</v>
      </c>
      <c r="AY228" s="401">
        <f t="shared" si="365"/>
        <v>0</v>
      </c>
      <c r="AZ228" s="401">
        <f t="shared" si="365"/>
        <v>0</v>
      </c>
      <c r="BA228" s="401">
        <f t="shared" si="365"/>
        <v>0</v>
      </c>
      <c r="BB228" s="401">
        <f t="shared" si="365"/>
        <v>0</v>
      </c>
      <c r="BC228" s="401">
        <f t="shared" si="365"/>
        <v>0</v>
      </c>
      <c r="BD228" s="401">
        <f t="shared" si="365"/>
        <v>0</v>
      </c>
      <c r="BE228" s="401">
        <f t="shared" si="365"/>
        <v>0</v>
      </c>
      <c r="BF228" s="401">
        <f t="shared" si="365"/>
        <v>0</v>
      </c>
      <c r="BG228" s="401">
        <f t="shared" si="365"/>
        <v>0</v>
      </c>
      <c r="BH228" s="401">
        <f t="shared" si="365"/>
        <v>0</v>
      </c>
      <c r="BI228" s="401">
        <f t="shared" si="365"/>
        <v>0</v>
      </c>
      <c r="BJ228" s="401">
        <f t="shared" si="365"/>
        <v>0</v>
      </c>
      <c r="BK228" s="401">
        <f t="shared" si="365"/>
        <v>0</v>
      </c>
      <c r="BL228" s="401">
        <f t="shared" si="365"/>
        <v>0</v>
      </c>
      <c r="BM228" s="401">
        <f t="shared" si="365"/>
        <v>0</v>
      </c>
      <c r="BN228" s="401">
        <f t="shared" si="365"/>
        <v>0</v>
      </c>
      <c r="BO228" s="401">
        <f t="shared" si="365"/>
        <v>0</v>
      </c>
      <c r="BP228" s="401">
        <f t="shared" si="365"/>
        <v>0</v>
      </c>
    </row>
    <row r="229" spans="2:68" outlineLevel="1" x14ac:dyDescent="0.2">
      <c r="B229" s="20"/>
      <c r="C229" s="80"/>
      <c r="D229" s="81" t="str">
        <f>$D$60</f>
        <v>Total future capex cost</v>
      </c>
      <c r="E229" s="80"/>
      <c r="F229" s="80"/>
      <c r="G229" s="477">
        <f>Assumptions!$H$166</f>
        <v>1</v>
      </c>
      <c r="H229" s="477">
        <f>Assumptions!$I$166</f>
        <v>0</v>
      </c>
      <c r="I229" s="83"/>
      <c r="J229" s="85" t="str">
        <f>Assumptions!$K$166</f>
        <v>Future capex</v>
      </c>
      <c r="K229" s="401"/>
      <c r="L229" s="436">
        <f>SUM(R229:BP229)</f>
        <v>0</v>
      </c>
      <c r="M229" s="457"/>
      <c r="N229" s="455"/>
      <c r="O229" s="455"/>
      <c r="P229" s="455"/>
      <c r="Q229" s="455"/>
      <c r="R229" s="401">
        <f t="shared" ref="R229:AW229" si="366">IF($L$217="On",R$217*R60,R60)</f>
        <v>0</v>
      </c>
      <c r="S229" s="401">
        <f t="shared" si="366"/>
        <v>0</v>
      </c>
      <c r="T229" s="401">
        <f t="shared" si="366"/>
        <v>0</v>
      </c>
      <c r="U229" s="401">
        <f t="shared" si="366"/>
        <v>0</v>
      </c>
      <c r="V229" s="401">
        <f t="shared" si="366"/>
        <v>0</v>
      </c>
      <c r="W229" s="401">
        <f t="shared" si="366"/>
        <v>0</v>
      </c>
      <c r="X229" s="401">
        <f t="shared" si="366"/>
        <v>0</v>
      </c>
      <c r="Y229" s="401">
        <f t="shared" si="366"/>
        <v>0</v>
      </c>
      <c r="Z229" s="401">
        <f t="shared" si="366"/>
        <v>0</v>
      </c>
      <c r="AA229" s="401">
        <f t="shared" si="366"/>
        <v>0</v>
      </c>
      <c r="AB229" s="401">
        <f t="shared" si="366"/>
        <v>0</v>
      </c>
      <c r="AC229" s="401">
        <f t="shared" si="366"/>
        <v>0</v>
      </c>
      <c r="AD229" s="401">
        <f t="shared" si="366"/>
        <v>0</v>
      </c>
      <c r="AE229" s="401">
        <f t="shared" si="366"/>
        <v>0</v>
      </c>
      <c r="AF229" s="401">
        <f t="shared" si="366"/>
        <v>0</v>
      </c>
      <c r="AG229" s="401">
        <f t="shared" si="366"/>
        <v>0</v>
      </c>
      <c r="AH229" s="401">
        <f t="shared" si="366"/>
        <v>0</v>
      </c>
      <c r="AI229" s="401">
        <f t="shared" si="366"/>
        <v>0</v>
      </c>
      <c r="AJ229" s="401">
        <f t="shared" si="366"/>
        <v>0</v>
      </c>
      <c r="AK229" s="401">
        <f t="shared" si="366"/>
        <v>0</v>
      </c>
      <c r="AL229" s="401">
        <f t="shared" si="366"/>
        <v>0</v>
      </c>
      <c r="AM229" s="401">
        <f t="shared" si="366"/>
        <v>0</v>
      </c>
      <c r="AN229" s="401">
        <f t="shared" si="366"/>
        <v>0</v>
      </c>
      <c r="AO229" s="401">
        <f t="shared" si="366"/>
        <v>0</v>
      </c>
      <c r="AP229" s="401">
        <f t="shared" si="366"/>
        <v>0</v>
      </c>
      <c r="AQ229" s="401">
        <f t="shared" si="366"/>
        <v>0</v>
      </c>
      <c r="AR229" s="401">
        <f t="shared" si="366"/>
        <v>0</v>
      </c>
      <c r="AS229" s="401">
        <f t="shared" si="366"/>
        <v>0</v>
      </c>
      <c r="AT229" s="401">
        <f t="shared" si="366"/>
        <v>0</v>
      </c>
      <c r="AU229" s="401">
        <f t="shared" si="366"/>
        <v>0</v>
      </c>
      <c r="AV229" s="401">
        <f t="shared" si="366"/>
        <v>0</v>
      </c>
      <c r="AW229" s="401">
        <f t="shared" si="366"/>
        <v>0</v>
      </c>
      <c r="AX229" s="401">
        <f t="shared" ref="AX229:BP229" si="367">IF($L$217="On",AX$217*AX60,AX60)</f>
        <v>0</v>
      </c>
      <c r="AY229" s="401">
        <f t="shared" si="367"/>
        <v>0</v>
      </c>
      <c r="AZ229" s="401">
        <f t="shared" si="367"/>
        <v>0</v>
      </c>
      <c r="BA229" s="401">
        <f t="shared" si="367"/>
        <v>0</v>
      </c>
      <c r="BB229" s="401">
        <f t="shared" si="367"/>
        <v>0</v>
      </c>
      <c r="BC229" s="401">
        <f t="shared" si="367"/>
        <v>0</v>
      </c>
      <c r="BD229" s="401">
        <f t="shared" si="367"/>
        <v>0</v>
      </c>
      <c r="BE229" s="401">
        <f t="shared" si="367"/>
        <v>0</v>
      </c>
      <c r="BF229" s="401">
        <f t="shared" si="367"/>
        <v>0</v>
      </c>
      <c r="BG229" s="401">
        <f t="shared" si="367"/>
        <v>0</v>
      </c>
      <c r="BH229" s="401">
        <f t="shared" si="367"/>
        <v>0</v>
      </c>
      <c r="BI229" s="401">
        <f t="shared" si="367"/>
        <v>0</v>
      </c>
      <c r="BJ229" s="401">
        <f t="shared" si="367"/>
        <v>0</v>
      </c>
      <c r="BK229" s="401">
        <f t="shared" si="367"/>
        <v>0</v>
      </c>
      <c r="BL229" s="401">
        <f t="shared" si="367"/>
        <v>0</v>
      </c>
      <c r="BM229" s="401">
        <f t="shared" si="367"/>
        <v>0</v>
      </c>
      <c r="BN229" s="401">
        <f t="shared" si="367"/>
        <v>0</v>
      </c>
      <c r="BO229" s="401">
        <f t="shared" si="367"/>
        <v>0</v>
      </c>
      <c r="BP229" s="401">
        <f t="shared" si="367"/>
        <v>0</v>
      </c>
    </row>
    <row r="230" spans="2:68" outlineLevel="1" x14ac:dyDescent="0.2">
      <c r="B230" s="20"/>
      <c r="C230" s="80"/>
      <c r="D230" s="85"/>
      <c r="E230" s="80"/>
      <c r="F230" s="80"/>
      <c r="G230" s="83"/>
      <c r="H230" s="83"/>
      <c r="I230" s="83"/>
      <c r="J230" s="85"/>
      <c r="K230" s="401"/>
      <c r="L230" s="436"/>
      <c r="M230" s="437"/>
      <c r="N230" s="401"/>
      <c r="O230" s="401"/>
      <c r="P230" s="401"/>
      <c r="Q230" s="401"/>
      <c r="R230" s="401"/>
      <c r="S230" s="401"/>
      <c r="T230" s="401"/>
      <c r="U230" s="401"/>
      <c r="V230" s="401"/>
      <c r="W230" s="401"/>
      <c r="X230" s="401"/>
      <c r="Y230" s="401"/>
      <c r="Z230" s="401"/>
      <c r="AA230" s="401"/>
      <c r="AB230" s="401"/>
      <c r="AC230" s="401"/>
      <c r="AD230" s="401"/>
      <c r="AE230" s="401"/>
      <c r="AF230" s="401"/>
      <c r="AG230" s="401"/>
      <c r="AH230" s="401"/>
      <c r="AI230" s="401"/>
      <c r="AJ230" s="401"/>
      <c r="AK230" s="401"/>
      <c r="AL230" s="401"/>
      <c r="AM230" s="401"/>
      <c r="AN230" s="401"/>
      <c r="AO230" s="401"/>
      <c r="AP230" s="401"/>
      <c r="AQ230" s="401"/>
      <c r="AR230" s="401"/>
      <c r="AS230" s="401"/>
      <c r="AT230" s="401"/>
      <c r="AU230" s="401"/>
      <c r="AV230" s="401"/>
      <c r="AW230" s="401"/>
      <c r="AX230" s="401"/>
      <c r="AY230" s="401"/>
      <c r="AZ230" s="401"/>
      <c r="BA230" s="401"/>
      <c r="BB230" s="401"/>
      <c r="BC230" s="401"/>
      <c r="BD230" s="401"/>
      <c r="BE230" s="401"/>
      <c r="BF230" s="401"/>
      <c r="BG230" s="401"/>
      <c r="BH230" s="401"/>
      <c r="BI230" s="401"/>
      <c r="BJ230" s="401"/>
      <c r="BK230" s="401"/>
      <c r="BL230" s="401"/>
      <c r="BM230" s="401"/>
      <c r="BN230" s="401"/>
      <c r="BO230" s="401"/>
      <c r="BP230" s="401"/>
    </row>
    <row r="231" spans="2:68" outlineLevel="1" x14ac:dyDescent="0.2">
      <c r="B231" s="20"/>
      <c r="C231" s="80"/>
      <c r="D231" s="10" t="str">
        <f>$D$70</f>
        <v>Capex benefits</v>
      </c>
      <c r="E231" s="80"/>
      <c r="F231" s="80"/>
      <c r="G231" s="83"/>
      <c r="H231" s="83"/>
      <c r="I231" s="83"/>
      <c r="J231" s="85"/>
      <c r="K231" s="401"/>
      <c r="L231" s="436"/>
      <c r="M231" s="437"/>
      <c r="N231" s="401"/>
      <c r="O231" s="401"/>
      <c r="P231" s="401"/>
      <c r="Q231" s="401"/>
      <c r="R231" s="401"/>
      <c r="S231" s="401"/>
      <c r="T231" s="401"/>
      <c r="U231" s="401"/>
      <c r="V231" s="401"/>
      <c r="W231" s="401"/>
      <c r="X231" s="401"/>
      <c r="Y231" s="401"/>
      <c r="Z231" s="401"/>
      <c r="AA231" s="401"/>
      <c r="AB231" s="401"/>
      <c r="AC231" s="401"/>
      <c r="AD231" s="401"/>
      <c r="AE231" s="401"/>
      <c r="AF231" s="401"/>
      <c r="AG231" s="401"/>
      <c r="AH231" s="401"/>
      <c r="AI231" s="401"/>
      <c r="AJ231" s="401"/>
      <c r="AK231" s="401"/>
      <c r="AL231" s="401"/>
      <c r="AM231" s="401"/>
      <c r="AN231" s="401"/>
      <c r="AO231" s="401"/>
      <c r="AP231" s="401"/>
      <c r="AQ231" s="401"/>
      <c r="AR231" s="401"/>
      <c r="AS231" s="401"/>
      <c r="AT231" s="401"/>
      <c r="AU231" s="401"/>
      <c r="AV231" s="401"/>
      <c r="AW231" s="401"/>
      <c r="AX231" s="401"/>
      <c r="AY231" s="401"/>
      <c r="AZ231" s="401"/>
      <c r="BA231" s="401"/>
      <c r="BB231" s="401"/>
      <c r="BC231" s="401"/>
      <c r="BD231" s="401"/>
      <c r="BE231" s="401"/>
      <c r="BF231" s="401"/>
      <c r="BG231" s="401"/>
      <c r="BH231" s="401"/>
      <c r="BI231" s="401"/>
      <c r="BJ231" s="401"/>
      <c r="BK231" s="401"/>
      <c r="BL231" s="401"/>
      <c r="BM231" s="401"/>
      <c r="BN231" s="401"/>
      <c r="BO231" s="401"/>
      <c r="BP231" s="401"/>
    </row>
    <row r="232" spans="2:68" outlineLevel="1" x14ac:dyDescent="0.2">
      <c r="B232" s="20"/>
      <c r="C232" s="80"/>
      <c r="D232" s="81" t="s">
        <v>400</v>
      </c>
      <c r="E232" s="80"/>
      <c r="F232" s="80"/>
      <c r="G232" s="477">
        <f>Assumptions!$H$169</f>
        <v>0.3</v>
      </c>
      <c r="H232" s="477">
        <f>Assumptions!$I$169</f>
        <v>0.7</v>
      </c>
      <c r="I232" s="83"/>
      <c r="J232" s="85" t="str">
        <f>Assumptions!$K$169</f>
        <v>Capex benefits</v>
      </c>
      <c r="K232" s="401"/>
      <c r="L232" s="436">
        <f>SUM(R232:BP232)</f>
        <v>0</v>
      </c>
      <c r="M232" s="457"/>
      <c r="N232" s="455"/>
      <c r="O232" s="455"/>
      <c r="P232" s="455"/>
      <c r="Q232" s="455"/>
      <c r="R232" s="401">
        <v>0</v>
      </c>
      <c r="S232" s="401">
        <v>0</v>
      </c>
      <c r="T232" s="401">
        <v>0</v>
      </c>
      <c r="U232" s="401">
        <v>0</v>
      </c>
      <c r="V232" s="401">
        <v>0</v>
      </c>
      <c r="W232" s="401">
        <v>0</v>
      </c>
      <c r="X232" s="401">
        <v>0</v>
      </c>
      <c r="Y232" s="401">
        <v>0</v>
      </c>
      <c r="Z232" s="401">
        <v>0</v>
      </c>
      <c r="AA232" s="401">
        <v>0</v>
      </c>
      <c r="AB232" s="401">
        <v>0</v>
      </c>
      <c r="AC232" s="401">
        <v>0</v>
      </c>
      <c r="AD232" s="401">
        <v>0</v>
      </c>
      <c r="AE232" s="401">
        <v>0</v>
      </c>
      <c r="AF232" s="401">
        <v>0</v>
      </c>
      <c r="AG232" s="401">
        <v>0</v>
      </c>
      <c r="AH232" s="401">
        <v>0</v>
      </c>
      <c r="AI232" s="401">
        <v>0</v>
      </c>
      <c r="AJ232" s="401">
        <v>0</v>
      </c>
      <c r="AK232" s="401">
        <v>0</v>
      </c>
      <c r="AL232" s="401">
        <v>0</v>
      </c>
      <c r="AM232" s="401">
        <v>0</v>
      </c>
      <c r="AN232" s="401">
        <v>0</v>
      </c>
      <c r="AO232" s="401">
        <v>0</v>
      </c>
      <c r="AP232" s="401">
        <v>0</v>
      </c>
      <c r="AQ232" s="401">
        <v>0</v>
      </c>
      <c r="AR232" s="401">
        <v>0</v>
      </c>
      <c r="AS232" s="401">
        <v>0</v>
      </c>
      <c r="AT232" s="401">
        <v>0</v>
      </c>
      <c r="AU232" s="401">
        <v>0</v>
      </c>
      <c r="AV232" s="401">
        <v>0</v>
      </c>
      <c r="AW232" s="401">
        <v>0</v>
      </c>
      <c r="AX232" s="401">
        <v>0</v>
      </c>
      <c r="AY232" s="401">
        <v>0</v>
      </c>
      <c r="AZ232" s="401">
        <v>0</v>
      </c>
      <c r="BA232" s="401">
        <v>0</v>
      </c>
      <c r="BB232" s="401">
        <v>0</v>
      </c>
      <c r="BC232" s="401">
        <v>0</v>
      </c>
      <c r="BD232" s="401">
        <v>0</v>
      </c>
      <c r="BE232" s="401">
        <v>0</v>
      </c>
      <c r="BF232" s="401">
        <v>0</v>
      </c>
      <c r="BG232" s="401">
        <v>0</v>
      </c>
      <c r="BH232" s="401">
        <v>0</v>
      </c>
      <c r="BI232" s="401">
        <v>0</v>
      </c>
      <c r="BJ232" s="401">
        <v>0</v>
      </c>
      <c r="BK232" s="401">
        <v>0</v>
      </c>
      <c r="BL232" s="401">
        <v>0</v>
      </c>
      <c r="BM232" s="401">
        <v>0</v>
      </c>
      <c r="BN232" s="401">
        <v>0</v>
      </c>
      <c r="BO232" s="401">
        <v>0</v>
      </c>
      <c r="BP232" s="401">
        <v>0</v>
      </c>
    </row>
    <row r="233" spans="2:68" outlineLevel="1" x14ac:dyDescent="0.2">
      <c r="B233" s="20"/>
      <c r="C233" s="80"/>
      <c r="D233" s="85"/>
      <c r="E233" s="80"/>
      <c r="F233" s="80"/>
      <c r="G233" s="83"/>
      <c r="H233" s="83"/>
      <c r="I233" s="83"/>
      <c r="J233" s="85"/>
      <c r="K233" s="401"/>
      <c r="L233" s="436"/>
      <c r="M233" s="437"/>
      <c r="N233" s="401"/>
      <c r="O233" s="401"/>
      <c r="P233" s="401"/>
      <c r="Q233" s="401"/>
      <c r="R233" s="401"/>
      <c r="S233" s="401"/>
      <c r="T233" s="401"/>
      <c r="U233" s="401"/>
      <c r="V233" s="401"/>
      <c r="W233" s="401"/>
      <c r="X233" s="401"/>
      <c r="Y233" s="401"/>
      <c r="Z233" s="401"/>
      <c r="AA233" s="401"/>
      <c r="AB233" s="401"/>
      <c r="AC233" s="401"/>
      <c r="AD233" s="401"/>
      <c r="AE233" s="401"/>
      <c r="AF233" s="401"/>
      <c r="AG233" s="401"/>
      <c r="AH233" s="401"/>
      <c r="AI233" s="401"/>
      <c r="AJ233" s="401"/>
      <c r="AK233" s="401"/>
      <c r="AL233" s="401"/>
      <c r="AM233" s="401"/>
      <c r="AN233" s="401"/>
      <c r="AO233" s="401"/>
      <c r="AP233" s="401"/>
      <c r="AQ233" s="401"/>
      <c r="AR233" s="401"/>
      <c r="AS233" s="401"/>
      <c r="AT233" s="401"/>
      <c r="AU233" s="401"/>
      <c r="AV233" s="401"/>
      <c r="AW233" s="401"/>
      <c r="AX233" s="401"/>
      <c r="AY233" s="401"/>
      <c r="AZ233" s="401"/>
      <c r="BA233" s="401"/>
      <c r="BB233" s="401"/>
      <c r="BC233" s="401"/>
      <c r="BD233" s="401"/>
      <c r="BE233" s="401"/>
      <c r="BF233" s="401"/>
      <c r="BG233" s="401"/>
      <c r="BH233" s="401"/>
      <c r="BI233" s="401"/>
      <c r="BJ233" s="401"/>
      <c r="BK233" s="401"/>
      <c r="BL233" s="401"/>
      <c r="BM233" s="401"/>
      <c r="BN233" s="401"/>
      <c r="BO233" s="401"/>
      <c r="BP233" s="401"/>
    </row>
    <row r="234" spans="2:68" outlineLevel="1" x14ac:dyDescent="0.2">
      <c r="B234" s="80"/>
      <c r="C234" s="80"/>
      <c r="D234" s="10" t="str">
        <f>$D$118</f>
        <v>Regulatory revenue - Return on capital</v>
      </c>
      <c r="E234" s="80"/>
      <c r="F234" s="80"/>
      <c r="G234" s="83"/>
      <c r="H234" s="83"/>
      <c r="I234" s="83"/>
      <c r="J234" s="85"/>
      <c r="K234" s="80"/>
      <c r="L234" s="412"/>
      <c r="M234" s="413"/>
      <c r="N234" s="80"/>
      <c r="O234" s="80"/>
      <c r="P234" s="80"/>
      <c r="Q234" s="80"/>
      <c r="R234" s="80"/>
      <c r="S234" s="80"/>
      <c r="T234" s="83"/>
      <c r="U234" s="80"/>
      <c r="V234" s="80"/>
      <c r="W234" s="80"/>
      <c r="X234" s="80"/>
      <c r="Y234" s="80"/>
      <c r="Z234" s="80"/>
      <c r="AA234" s="80"/>
      <c r="AB234" s="80"/>
      <c r="AC234" s="80"/>
      <c r="AD234" s="80"/>
      <c r="AE234" s="80"/>
      <c r="AF234" s="80"/>
      <c r="AG234" s="80"/>
      <c r="AH234" s="80"/>
      <c r="AI234" s="80"/>
      <c r="AJ234" s="80"/>
      <c r="AK234" s="80"/>
      <c r="AL234" s="80"/>
      <c r="AM234" s="80"/>
      <c r="AN234" s="80"/>
      <c r="AO234" s="80"/>
      <c r="AP234" s="80"/>
      <c r="AQ234" s="80"/>
      <c r="AR234" s="80"/>
      <c r="AS234" s="80"/>
      <c r="AT234" s="80"/>
      <c r="AU234" s="80"/>
      <c r="AV234" s="80"/>
      <c r="AW234" s="80"/>
      <c r="AX234" s="80"/>
      <c r="AY234" s="80"/>
      <c r="AZ234" s="80"/>
      <c r="BA234" s="80"/>
      <c r="BB234" s="80"/>
      <c r="BC234" s="80"/>
      <c r="BD234" s="80"/>
      <c r="BE234" s="80"/>
      <c r="BF234" s="80"/>
      <c r="BG234" s="80"/>
      <c r="BH234" s="80"/>
      <c r="BI234" s="80"/>
      <c r="BJ234" s="80"/>
      <c r="BK234" s="80"/>
      <c r="BL234" s="80"/>
      <c r="BM234" s="80"/>
      <c r="BN234" s="80"/>
      <c r="BO234" s="80"/>
      <c r="BP234" s="80"/>
    </row>
    <row r="235" spans="2:68" ht="10.35" customHeight="1" outlineLevel="1" x14ac:dyDescent="0.2">
      <c r="B235" s="80"/>
      <c r="C235" s="80"/>
      <c r="D235" s="66" t="str">
        <f>$D$122</f>
        <v>Total return on capital</v>
      </c>
      <c r="E235" s="80"/>
      <c r="F235" s="80"/>
      <c r="G235" s="477">
        <f>Assumptions!$H$172</f>
        <v>1</v>
      </c>
      <c r="H235" s="477">
        <f>Assumptions!$I$172</f>
        <v>-1</v>
      </c>
      <c r="I235" s="83"/>
      <c r="J235" s="85" t="str">
        <f>Assumptions!$K$172</f>
        <v>Regulatory revenue</v>
      </c>
      <c r="K235" s="401"/>
      <c r="L235" s="436">
        <f>SUM(R235:BP235)</f>
        <v>25935296.170079987</v>
      </c>
      <c r="M235" s="457"/>
      <c r="N235" s="455"/>
      <c r="O235" s="455"/>
      <c r="P235" s="455"/>
      <c r="Q235" s="455"/>
      <c r="R235" s="401">
        <f t="shared" ref="R235:AW235" si="368">IF($L$217="On",R217*R122,R122)</f>
        <v>0</v>
      </c>
      <c r="S235" s="401">
        <f t="shared" si="368"/>
        <v>0</v>
      </c>
      <c r="T235" s="401">
        <f t="shared" si="368"/>
        <v>0</v>
      </c>
      <c r="U235" s="401">
        <f t="shared" si="368"/>
        <v>93374.327999999994</v>
      </c>
      <c r="V235" s="401">
        <f t="shared" si="368"/>
        <v>186885.6024</v>
      </c>
      <c r="W235" s="401">
        <f t="shared" si="368"/>
        <v>280943.87807999999</v>
      </c>
      <c r="X235" s="401">
        <f t="shared" si="368"/>
        <v>333769.44688</v>
      </c>
      <c r="Y235" s="401">
        <f t="shared" si="368"/>
        <v>389096.81760000001</v>
      </c>
      <c r="Z235" s="401">
        <f t="shared" si="368"/>
        <v>306151.79216000001</v>
      </c>
      <c r="AA235" s="401">
        <f t="shared" si="368"/>
        <v>241881.63232000003</v>
      </c>
      <c r="AB235" s="401">
        <f t="shared" si="368"/>
        <v>200048.70048000003</v>
      </c>
      <c r="AC235" s="401">
        <f t="shared" si="368"/>
        <v>180744.16352000003</v>
      </c>
      <c r="AD235" s="401">
        <f t="shared" si="368"/>
        <v>180227.15904000003</v>
      </c>
      <c r="AE235" s="401">
        <f t="shared" si="368"/>
        <v>202755.55392000003</v>
      </c>
      <c r="AF235" s="401">
        <f t="shared" si="368"/>
        <v>225283.94880000004</v>
      </c>
      <c r="AG235" s="401">
        <f t="shared" si="368"/>
        <v>247812.34368000005</v>
      </c>
      <c r="AH235" s="401">
        <f t="shared" si="368"/>
        <v>270340.73856000003</v>
      </c>
      <c r="AI235" s="401">
        <f t="shared" si="368"/>
        <v>292869.13344000006</v>
      </c>
      <c r="AJ235" s="401">
        <f t="shared" si="368"/>
        <v>315397.52832000004</v>
      </c>
      <c r="AK235" s="401">
        <f t="shared" si="368"/>
        <v>337925.92320000002</v>
      </c>
      <c r="AL235" s="401">
        <f t="shared" si="368"/>
        <v>360454.31808</v>
      </c>
      <c r="AM235" s="401">
        <f t="shared" si="368"/>
        <v>382982.71295999998</v>
      </c>
      <c r="AN235" s="401">
        <f t="shared" si="368"/>
        <v>405511.1078399999</v>
      </c>
      <c r="AO235" s="401">
        <f t="shared" si="368"/>
        <v>428039.50271999987</v>
      </c>
      <c r="AP235" s="401">
        <f t="shared" si="368"/>
        <v>450567.89759999985</v>
      </c>
      <c r="AQ235" s="401">
        <f t="shared" si="368"/>
        <v>473096.29247999983</v>
      </c>
      <c r="AR235" s="401">
        <f t="shared" si="368"/>
        <v>495624.68735999981</v>
      </c>
      <c r="AS235" s="401">
        <f t="shared" si="368"/>
        <v>518153.08223999979</v>
      </c>
      <c r="AT235" s="401">
        <f t="shared" si="368"/>
        <v>540681.47711999982</v>
      </c>
      <c r="AU235" s="401">
        <f t="shared" si="368"/>
        <v>563209.87199999974</v>
      </c>
      <c r="AV235" s="401">
        <f t="shared" si="368"/>
        <v>585738.26687999966</v>
      </c>
      <c r="AW235" s="401">
        <f t="shared" si="368"/>
        <v>608266.6617599997</v>
      </c>
      <c r="AX235" s="401">
        <f t="shared" ref="AX235:BP235" si="369">IF($L$217="On",AX217*AX122,AX122)</f>
        <v>630795.05663999962</v>
      </c>
      <c r="AY235" s="401">
        <f t="shared" si="369"/>
        <v>653323.45151999965</v>
      </c>
      <c r="AZ235" s="401">
        <f t="shared" si="369"/>
        <v>675851.84639999957</v>
      </c>
      <c r="BA235" s="401">
        <f t="shared" si="369"/>
        <v>698380.24127999961</v>
      </c>
      <c r="BB235" s="401">
        <f t="shared" si="369"/>
        <v>720908.63615999953</v>
      </c>
      <c r="BC235" s="401">
        <f t="shared" si="369"/>
        <v>743437.03103999957</v>
      </c>
      <c r="BD235" s="401">
        <f t="shared" si="369"/>
        <v>765965.42591999948</v>
      </c>
      <c r="BE235" s="401">
        <f t="shared" si="369"/>
        <v>788493.82079999952</v>
      </c>
      <c r="BF235" s="401">
        <f t="shared" si="369"/>
        <v>811022.21567999944</v>
      </c>
      <c r="BG235" s="401">
        <f t="shared" si="369"/>
        <v>833550.61055999948</v>
      </c>
      <c r="BH235" s="401">
        <f t="shared" si="369"/>
        <v>856079.0054399994</v>
      </c>
      <c r="BI235" s="401">
        <f t="shared" si="369"/>
        <v>878607.40031999943</v>
      </c>
      <c r="BJ235" s="401">
        <f t="shared" si="369"/>
        <v>901135.79519999935</v>
      </c>
      <c r="BK235" s="401">
        <f t="shared" si="369"/>
        <v>923664.19007999939</v>
      </c>
      <c r="BL235" s="401">
        <f t="shared" si="369"/>
        <v>946192.58495999931</v>
      </c>
      <c r="BM235" s="401">
        <f t="shared" si="369"/>
        <v>968720.97983999923</v>
      </c>
      <c r="BN235" s="401">
        <f t="shared" si="369"/>
        <v>991249.37471999926</v>
      </c>
      <c r="BO235" s="401">
        <f t="shared" si="369"/>
        <v>1013777.7695999992</v>
      </c>
      <c r="BP235" s="401">
        <f t="shared" si="369"/>
        <v>1036306.1644799992</v>
      </c>
    </row>
    <row r="236" spans="2:68" customFormat="1" outlineLevel="1" x14ac:dyDescent="0.2">
      <c r="G236" s="52"/>
      <c r="H236" s="52"/>
      <c r="I236" s="52"/>
      <c r="J236" s="123"/>
      <c r="L236" s="112"/>
      <c r="M236" s="113"/>
    </row>
    <row r="237" spans="2:68" outlineLevel="1" x14ac:dyDescent="0.2">
      <c r="B237" s="80"/>
      <c r="C237" s="80"/>
      <c r="D237" s="10" t="str">
        <f>$D$126</f>
        <v>Regulatory revenue - Return of capital</v>
      </c>
      <c r="E237" s="80"/>
      <c r="F237" s="80"/>
      <c r="G237" s="83"/>
      <c r="H237" s="83"/>
      <c r="I237" s="83"/>
      <c r="J237" s="85"/>
      <c r="K237" s="80"/>
      <c r="L237" s="412"/>
      <c r="M237" s="413"/>
      <c r="N237" s="80"/>
      <c r="O237" s="80"/>
      <c r="P237" s="80"/>
      <c r="Q237" s="80"/>
      <c r="R237" s="80"/>
      <c r="S237" s="80"/>
      <c r="T237" s="83"/>
      <c r="U237" s="80"/>
      <c r="V237" s="80"/>
      <c r="W237" s="80"/>
      <c r="X237" s="80"/>
      <c r="Y237" s="80"/>
      <c r="Z237" s="80"/>
      <c r="AA237" s="80"/>
      <c r="AB237" s="80"/>
      <c r="AC237" s="80"/>
      <c r="AD237" s="80"/>
      <c r="AE237" s="80"/>
      <c r="AF237" s="80"/>
      <c r="AG237" s="80"/>
      <c r="AH237" s="80"/>
      <c r="AI237" s="80"/>
      <c r="AJ237" s="80"/>
      <c r="AK237" s="80"/>
      <c r="AL237" s="80"/>
      <c r="AM237" s="80"/>
      <c r="AN237" s="80"/>
      <c r="AO237" s="80"/>
      <c r="AP237" s="80"/>
      <c r="AQ237" s="80"/>
      <c r="AR237" s="80"/>
      <c r="AS237" s="80"/>
      <c r="AT237" s="80"/>
      <c r="AU237" s="80"/>
      <c r="AV237" s="80"/>
      <c r="AW237" s="80"/>
      <c r="AX237" s="80"/>
      <c r="AY237" s="80"/>
      <c r="AZ237" s="80"/>
      <c r="BA237" s="80"/>
      <c r="BB237" s="80"/>
      <c r="BC237" s="80"/>
      <c r="BD237" s="80"/>
      <c r="BE237" s="80"/>
      <c r="BF237" s="80"/>
      <c r="BG237" s="80"/>
      <c r="BH237" s="80"/>
      <c r="BI237" s="80"/>
      <c r="BJ237" s="80"/>
      <c r="BK237" s="80"/>
      <c r="BL237" s="80"/>
      <c r="BM237" s="80"/>
      <c r="BN237" s="80"/>
      <c r="BO237" s="80"/>
      <c r="BP237" s="80"/>
    </row>
    <row r="238" spans="2:68" ht="10.35" customHeight="1" outlineLevel="1" x14ac:dyDescent="0.2">
      <c r="B238" s="80"/>
      <c r="C238" s="80"/>
      <c r="D238" s="66" t="str">
        <f>$D$130</f>
        <v>Total return of capital</v>
      </c>
      <c r="E238" s="80"/>
      <c r="F238" s="80"/>
      <c r="G238" s="477">
        <f>Assumptions!$H$175</f>
        <v>1</v>
      </c>
      <c r="H238" s="477">
        <f>Assumptions!$I$175</f>
        <v>-1</v>
      </c>
      <c r="I238" s="83"/>
      <c r="J238" s="85" t="str">
        <f>Assumptions!$K$175</f>
        <v>Regulatory revenue</v>
      </c>
      <c r="K238" s="401"/>
      <c r="L238" s="436">
        <f>SUM(R238:BP238)</f>
        <v>-14794740.199999992</v>
      </c>
      <c r="M238" s="457"/>
      <c r="N238" s="455"/>
      <c r="O238" s="455"/>
      <c r="P238" s="455"/>
      <c r="Q238" s="455"/>
      <c r="R238" s="401">
        <f t="shared" ref="R238:AW238" si="370">IF($L$217="On",R217*R130,R130)</f>
        <v>0</v>
      </c>
      <c r="S238" s="401">
        <f t="shared" si="370"/>
        <v>0</v>
      </c>
      <c r="T238" s="401">
        <f t="shared" si="370"/>
        <v>0</v>
      </c>
      <c r="U238" s="401">
        <f t="shared" si="370"/>
        <v>0</v>
      </c>
      <c r="V238" s="401">
        <f t="shared" si="370"/>
        <v>542874</v>
      </c>
      <c r="W238" s="401">
        <f t="shared" si="370"/>
        <v>540223.80000000005</v>
      </c>
      <c r="X238" s="401">
        <f t="shared" si="370"/>
        <v>1195119</v>
      </c>
      <c r="Y238" s="401">
        <f t="shared" si="370"/>
        <v>1741268.2</v>
      </c>
      <c r="Z238" s="401">
        <f t="shared" si="370"/>
        <v>2411192.6</v>
      </c>
      <c r="AA238" s="401">
        <f t="shared" si="370"/>
        <v>1868318.6</v>
      </c>
      <c r="AB238" s="401">
        <f t="shared" si="370"/>
        <v>1216073.6000000001</v>
      </c>
      <c r="AC238" s="401">
        <f t="shared" si="370"/>
        <v>561178.40000000014</v>
      </c>
      <c r="AD238" s="401">
        <f t="shared" si="370"/>
        <v>15029.200000000186</v>
      </c>
      <c r="AE238" s="401">
        <f t="shared" si="370"/>
        <v>-654895.19999999984</v>
      </c>
      <c r="AF238" s="401">
        <f t="shared" si="370"/>
        <v>-654895.19999999984</v>
      </c>
      <c r="AG238" s="401">
        <f t="shared" si="370"/>
        <v>-654895.19999999984</v>
      </c>
      <c r="AH238" s="401">
        <f t="shared" si="370"/>
        <v>-654895.19999999984</v>
      </c>
      <c r="AI238" s="401">
        <f t="shared" si="370"/>
        <v>-654895.19999999984</v>
      </c>
      <c r="AJ238" s="401">
        <f t="shared" si="370"/>
        <v>-654895.19999999984</v>
      </c>
      <c r="AK238" s="401">
        <f t="shared" si="370"/>
        <v>-654895.19999999984</v>
      </c>
      <c r="AL238" s="401">
        <f t="shared" si="370"/>
        <v>-654895.19999999984</v>
      </c>
      <c r="AM238" s="401">
        <f t="shared" si="370"/>
        <v>-654895.19999999984</v>
      </c>
      <c r="AN238" s="401">
        <f t="shared" si="370"/>
        <v>-654895.19999999984</v>
      </c>
      <c r="AO238" s="401">
        <f t="shared" si="370"/>
        <v>-654895.19999999984</v>
      </c>
      <c r="AP238" s="401">
        <f t="shared" si="370"/>
        <v>-654895.19999999984</v>
      </c>
      <c r="AQ238" s="401">
        <f t="shared" si="370"/>
        <v>-654895.19999999984</v>
      </c>
      <c r="AR238" s="401">
        <f t="shared" si="370"/>
        <v>-654895.19999999984</v>
      </c>
      <c r="AS238" s="401">
        <f t="shared" si="370"/>
        <v>-654895.19999999984</v>
      </c>
      <c r="AT238" s="401">
        <f t="shared" si="370"/>
        <v>-654895.19999999984</v>
      </c>
      <c r="AU238" s="401">
        <f t="shared" si="370"/>
        <v>-654895.19999999984</v>
      </c>
      <c r="AV238" s="401">
        <f t="shared" si="370"/>
        <v>-654895.19999999984</v>
      </c>
      <c r="AW238" s="401">
        <f t="shared" si="370"/>
        <v>-654895.19999999984</v>
      </c>
      <c r="AX238" s="401">
        <f t="shared" ref="AX238:BP238" si="371">IF($L$217="On",AX217*AX130,AX130)</f>
        <v>-654895.19999999984</v>
      </c>
      <c r="AY238" s="401">
        <f t="shared" si="371"/>
        <v>-654895.19999999984</v>
      </c>
      <c r="AZ238" s="401">
        <f t="shared" si="371"/>
        <v>-654895.19999999984</v>
      </c>
      <c r="BA238" s="401">
        <f t="shared" si="371"/>
        <v>-654895.19999999984</v>
      </c>
      <c r="BB238" s="401">
        <f t="shared" si="371"/>
        <v>-654895.19999999984</v>
      </c>
      <c r="BC238" s="401">
        <f t="shared" si="371"/>
        <v>-654895.19999999984</v>
      </c>
      <c r="BD238" s="401">
        <f t="shared" si="371"/>
        <v>-654895.19999999984</v>
      </c>
      <c r="BE238" s="401">
        <f t="shared" si="371"/>
        <v>-654895.19999999984</v>
      </c>
      <c r="BF238" s="401">
        <f t="shared" si="371"/>
        <v>-654895.19999999984</v>
      </c>
      <c r="BG238" s="401">
        <f t="shared" si="371"/>
        <v>-654895.19999999984</v>
      </c>
      <c r="BH238" s="401">
        <f t="shared" si="371"/>
        <v>-654895.19999999984</v>
      </c>
      <c r="BI238" s="401">
        <f t="shared" si="371"/>
        <v>-654895.19999999984</v>
      </c>
      <c r="BJ238" s="401">
        <f t="shared" si="371"/>
        <v>-654895.19999999984</v>
      </c>
      <c r="BK238" s="401">
        <f t="shared" si="371"/>
        <v>-654895.19999999984</v>
      </c>
      <c r="BL238" s="401">
        <f t="shared" si="371"/>
        <v>-654895.19999999984</v>
      </c>
      <c r="BM238" s="401">
        <f t="shared" si="371"/>
        <v>-654895.19999999984</v>
      </c>
      <c r="BN238" s="401">
        <f t="shared" si="371"/>
        <v>-654895.19999999984</v>
      </c>
      <c r="BO238" s="401">
        <f t="shared" si="371"/>
        <v>-654895.19999999984</v>
      </c>
      <c r="BP238" s="401">
        <f t="shared" si="371"/>
        <v>-654895.19999999984</v>
      </c>
    </row>
    <row r="239" spans="2:68" customFormat="1" outlineLevel="1" x14ac:dyDescent="0.2">
      <c r="G239" s="52"/>
      <c r="H239" s="52"/>
      <c r="I239" s="52"/>
      <c r="J239" s="123"/>
      <c r="L239" s="112"/>
      <c r="M239" s="113"/>
    </row>
    <row r="240" spans="2:68" customFormat="1" outlineLevel="1" x14ac:dyDescent="0.2">
      <c r="D240" s="10" t="str">
        <f>D137</f>
        <v>Regulatory revenue - Terminal value of total capex</v>
      </c>
      <c r="G240" s="52"/>
      <c r="H240" s="52"/>
      <c r="I240" s="52"/>
      <c r="J240" s="123"/>
      <c r="L240" s="112"/>
      <c r="M240" s="113"/>
    </row>
    <row r="241" spans="2:68" s="36" customFormat="1" outlineLevel="1" x14ac:dyDescent="0.2">
      <c r="B241" s="37"/>
      <c r="C241" s="473"/>
      <c r="D241" s="81" t="s">
        <v>401</v>
      </c>
      <c r="E241" s="473"/>
      <c r="F241" s="473"/>
      <c r="G241" s="477">
        <f>Assumptions!$H$178</f>
        <v>1</v>
      </c>
      <c r="H241" s="477">
        <f>Assumptions!$I$178</f>
        <v>-1</v>
      </c>
      <c r="I241" s="83"/>
      <c r="J241" s="85" t="str">
        <f>Assumptions!$K$178</f>
        <v>Regulatory revenue</v>
      </c>
      <c r="K241" s="401"/>
      <c r="L241" s="436">
        <f>SUM(R241:BP241)</f>
        <v>30125179.199999977</v>
      </c>
      <c r="M241" s="457"/>
      <c r="N241" s="455"/>
      <c r="O241" s="455"/>
      <c r="P241" s="455"/>
      <c r="Q241" s="455"/>
      <c r="R241" s="401">
        <f t="shared" ref="R241:AW241" si="372">IF($L$217="On",R217*R140,R139)</f>
        <v>0</v>
      </c>
      <c r="S241" s="401">
        <f t="shared" si="372"/>
        <v>0</v>
      </c>
      <c r="T241" s="401">
        <f t="shared" si="372"/>
        <v>0</v>
      </c>
      <c r="U241" s="401">
        <f t="shared" si="372"/>
        <v>0</v>
      </c>
      <c r="V241" s="401">
        <f t="shared" si="372"/>
        <v>0</v>
      </c>
      <c r="W241" s="401">
        <f t="shared" si="372"/>
        <v>0</v>
      </c>
      <c r="X241" s="401">
        <f t="shared" si="372"/>
        <v>0</v>
      </c>
      <c r="Y241" s="401">
        <f t="shared" si="372"/>
        <v>0</v>
      </c>
      <c r="Z241" s="401">
        <f t="shared" si="372"/>
        <v>0</v>
      </c>
      <c r="AA241" s="401">
        <f t="shared" si="372"/>
        <v>0</v>
      </c>
      <c r="AB241" s="401">
        <f t="shared" si="372"/>
        <v>0</v>
      </c>
      <c r="AC241" s="401">
        <f t="shared" si="372"/>
        <v>0</v>
      </c>
      <c r="AD241" s="401">
        <f t="shared" si="372"/>
        <v>0</v>
      </c>
      <c r="AE241" s="401">
        <f t="shared" si="372"/>
        <v>0</v>
      </c>
      <c r="AF241" s="401">
        <f t="shared" si="372"/>
        <v>0</v>
      </c>
      <c r="AG241" s="401">
        <f t="shared" si="372"/>
        <v>0</v>
      </c>
      <c r="AH241" s="401">
        <f t="shared" si="372"/>
        <v>0</v>
      </c>
      <c r="AI241" s="401">
        <f t="shared" si="372"/>
        <v>0</v>
      </c>
      <c r="AJ241" s="401">
        <f t="shared" si="372"/>
        <v>0</v>
      </c>
      <c r="AK241" s="401">
        <f t="shared" si="372"/>
        <v>0</v>
      </c>
      <c r="AL241" s="401">
        <f t="shared" si="372"/>
        <v>0</v>
      </c>
      <c r="AM241" s="401">
        <f t="shared" si="372"/>
        <v>0</v>
      </c>
      <c r="AN241" s="401">
        <f t="shared" si="372"/>
        <v>0</v>
      </c>
      <c r="AO241" s="401">
        <f t="shared" si="372"/>
        <v>0</v>
      </c>
      <c r="AP241" s="401">
        <f t="shared" si="372"/>
        <v>0</v>
      </c>
      <c r="AQ241" s="401">
        <f t="shared" si="372"/>
        <v>0</v>
      </c>
      <c r="AR241" s="401">
        <f t="shared" si="372"/>
        <v>0</v>
      </c>
      <c r="AS241" s="401">
        <f t="shared" si="372"/>
        <v>0</v>
      </c>
      <c r="AT241" s="401">
        <f t="shared" si="372"/>
        <v>0</v>
      </c>
      <c r="AU241" s="401">
        <f t="shared" si="372"/>
        <v>0</v>
      </c>
      <c r="AV241" s="401">
        <f t="shared" si="372"/>
        <v>0</v>
      </c>
      <c r="AW241" s="401">
        <f t="shared" si="372"/>
        <v>0</v>
      </c>
      <c r="AX241" s="401">
        <f t="shared" ref="AX241:BP241" si="373">IF($L$217="On",AX217*AX140,AX139)</f>
        <v>0</v>
      </c>
      <c r="AY241" s="401">
        <f t="shared" si="373"/>
        <v>0</v>
      </c>
      <c r="AZ241" s="401">
        <f t="shared" si="373"/>
        <v>0</v>
      </c>
      <c r="BA241" s="401">
        <f t="shared" si="373"/>
        <v>0</v>
      </c>
      <c r="BB241" s="401">
        <f t="shared" si="373"/>
        <v>0</v>
      </c>
      <c r="BC241" s="401">
        <f t="shared" si="373"/>
        <v>0</v>
      </c>
      <c r="BD241" s="401">
        <f t="shared" si="373"/>
        <v>0</v>
      </c>
      <c r="BE241" s="401">
        <f t="shared" si="373"/>
        <v>0</v>
      </c>
      <c r="BF241" s="401">
        <f t="shared" si="373"/>
        <v>0</v>
      </c>
      <c r="BG241" s="401">
        <f t="shared" si="373"/>
        <v>0</v>
      </c>
      <c r="BH241" s="401">
        <f t="shared" si="373"/>
        <v>0</v>
      </c>
      <c r="BI241" s="401">
        <f t="shared" si="373"/>
        <v>0</v>
      </c>
      <c r="BJ241" s="401">
        <f t="shared" si="373"/>
        <v>0</v>
      </c>
      <c r="BK241" s="401">
        <f t="shared" si="373"/>
        <v>0</v>
      </c>
      <c r="BL241" s="401">
        <f t="shared" si="373"/>
        <v>0</v>
      </c>
      <c r="BM241" s="401">
        <f t="shared" si="373"/>
        <v>0</v>
      </c>
      <c r="BN241" s="401">
        <f t="shared" si="373"/>
        <v>0</v>
      </c>
      <c r="BO241" s="401">
        <f t="shared" si="373"/>
        <v>0</v>
      </c>
      <c r="BP241" s="401">
        <f t="shared" si="373"/>
        <v>30125179.199999977</v>
      </c>
    </row>
    <row r="242" spans="2:68" customFormat="1" outlineLevel="1" x14ac:dyDescent="0.2">
      <c r="G242" s="52"/>
      <c r="H242" s="52"/>
      <c r="I242" s="52"/>
      <c r="J242" s="123"/>
      <c r="L242" s="112"/>
      <c r="M242" s="113"/>
    </row>
    <row r="243" spans="2:68" outlineLevel="1" x14ac:dyDescent="0.2">
      <c r="B243" s="80"/>
      <c r="C243" s="80"/>
      <c r="D243" s="10" t="str">
        <f>$D$142</f>
        <v>Regulated revenue - ACS revenue</v>
      </c>
      <c r="E243" s="80"/>
      <c r="F243" s="80"/>
      <c r="G243" s="83"/>
      <c r="H243" s="83"/>
      <c r="I243" s="83"/>
      <c r="J243" s="85"/>
      <c r="K243" s="80"/>
      <c r="L243" s="412"/>
      <c r="M243" s="413"/>
      <c r="N243" s="80"/>
      <c r="O243" s="80"/>
      <c r="P243" s="80"/>
      <c r="Q243" s="80"/>
      <c r="R243" s="80"/>
      <c r="S243" s="80"/>
      <c r="T243" s="80"/>
      <c r="U243" s="80"/>
      <c r="V243" s="80"/>
      <c r="W243" s="80"/>
      <c r="X243" s="80"/>
      <c r="Y243" s="80"/>
      <c r="Z243" s="80"/>
      <c r="AA243" s="80"/>
      <c r="AB243" s="80"/>
      <c r="AC243" s="80"/>
      <c r="AD243" s="80"/>
      <c r="AE243" s="80"/>
      <c r="AF243" s="80"/>
      <c r="AG243" s="80"/>
      <c r="AH243" s="80"/>
      <c r="AI243" s="80"/>
      <c r="AJ243" s="80"/>
      <c r="AK243" s="80"/>
      <c r="AL243" s="80"/>
      <c r="AM243" s="80"/>
      <c r="AN243" s="80"/>
      <c r="AO243" s="80"/>
      <c r="AP243" s="80"/>
      <c r="AQ243" s="80"/>
      <c r="AR243" s="80"/>
      <c r="AS243" s="80"/>
      <c r="AT243" s="80"/>
      <c r="AU243" s="80"/>
      <c r="AV243" s="80"/>
      <c r="AW243" s="80"/>
      <c r="AX243" s="80"/>
      <c r="AY243" s="80"/>
      <c r="AZ243" s="80"/>
      <c r="BA243" s="80"/>
      <c r="BB243" s="80"/>
      <c r="BC243" s="80"/>
      <c r="BD243" s="80"/>
      <c r="BE243" s="80"/>
      <c r="BF243" s="80"/>
      <c r="BG243" s="80"/>
      <c r="BH243" s="80"/>
      <c r="BI243" s="80"/>
      <c r="BJ243" s="80"/>
      <c r="BK243" s="80"/>
      <c r="BL243" s="80"/>
      <c r="BM243" s="80"/>
      <c r="BN243" s="80"/>
      <c r="BO243" s="80"/>
      <c r="BP243" s="80"/>
    </row>
    <row r="244" spans="2:68" outlineLevel="1" x14ac:dyDescent="0.2">
      <c r="B244" s="20"/>
      <c r="C244" s="80"/>
      <c r="D244" s="81" t="str">
        <f>$D$143</f>
        <v>ACS revenue</v>
      </c>
      <c r="E244" s="80"/>
      <c r="F244" s="80"/>
      <c r="G244" s="477">
        <f>Assumptions!$H$181</f>
        <v>1</v>
      </c>
      <c r="H244" s="477">
        <f>Assumptions!$I$181</f>
        <v>0</v>
      </c>
      <c r="I244" s="83"/>
      <c r="J244" s="85" t="str">
        <f>Assumptions!$K$181</f>
        <v>Regulatory revenue</v>
      </c>
      <c r="K244" s="401"/>
      <c r="L244" s="436">
        <f>SUM(R244:BP244)</f>
        <v>0</v>
      </c>
      <c r="M244" s="457"/>
      <c r="N244" s="455"/>
      <c r="O244" s="455"/>
      <c r="P244" s="455"/>
      <c r="Q244" s="455"/>
      <c r="R244" s="401">
        <f t="shared" ref="R244:AW244" si="374">IF($L$217="On",R217*R143,R143)</f>
        <v>0</v>
      </c>
      <c r="S244" s="401">
        <f t="shared" si="374"/>
        <v>0</v>
      </c>
      <c r="T244" s="401">
        <f t="shared" si="374"/>
        <v>0</v>
      </c>
      <c r="U244" s="401">
        <f t="shared" si="374"/>
        <v>0</v>
      </c>
      <c r="V244" s="401">
        <f t="shared" si="374"/>
        <v>0</v>
      </c>
      <c r="W244" s="401">
        <f t="shared" si="374"/>
        <v>0</v>
      </c>
      <c r="X244" s="401">
        <f t="shared" si="374"/>
        <v>0</v>
      </c>
      <c r="Y244" s="401">
        <f t="shared" si="374"/>
        <v>0</v>
      </c>
      <c r="Z244" s="401">
        <f t="shared" si="374"/>
        <v>0</v>
      </c>
      <c r="AA244" s="401">
        <f t="shared" si="374"/>
        <v>0</v>
      </c>
      <c r="AB244" s="401">
        <f t="shared" si="374"/>
        <v>0</v>
      </c>
      <c r="AC244" s="401">
        <f t="shared" si="374"/>
        <v>0</v>
      </c>
      <c r="AD244" s="401">
        <f t="shared" si="374"/>
        <v>0</v>
      </c>
      <c r="AE244" s="401">
        <f t="shared" si="374"/>
        <v>0</v>
      </c>
      <c r="AF244" s="401">
        <f t="shared" si="374"/>
        <v>0</v>
      </c>
      <c r="AG244" s="401">
        <f t="shared" si="374"/>
        <v>0</v>
      </c>
      <c r="AH244" s="401">
        <f t="shared" si="374"/>
        <v>0</v>
      </c>
      <c r="AI244" s="401">
        <f t="shared" si="374"/>
        <v>0</v>
      </c>
      <c r="AJ244" s="401">
        <f t="shared" si="374"/>
        <v>0</v>
      </c>
      <c r="AK244" s="401">
        <f t="shared" si="374"/>
        <v>0</v>
      </c>
      <c r="AL244" s="401">
        <f t="shared" si="374"/>
        <v>0</v>
      </c>
      <c r="AM244" s="401">
        <f t="shared" si="374"/>
        <v>0</v>
      </c>
      <c r="AN244" s="401">
        <f t="shared" si="374"/>
        <v>0</v>
      </c>
      <c r="AO244" s="401">
        <f t="shared" si="374"/>
        <v>0</v>
      </c>
      <c r="AP244" s="401">
        <f t="shared" si="374"/>
        <v>0</v>
      </c>
      <c r="AQ244" s="401">
        <f t="shared" si="374"/>
        <v>0</v>
      </c>
      <c r="AR244" s="401">
        <f t="shared" si="374"/>
        <v>0</v>
      </c>
      <c r="AS244" s="401">
        <f t="shared" si="374"/>
        <v>0</v>
      </c>
      <c r="AT244" s="401">
        <f t="shared" si="374"/>
        <v>0</v>
      </c>
      <c r="AU244" s="401">
        <f t="shared" si="374"/>
        <v>0</v>
      </c>
      <c r="AV244" s="401">
        <f t="shared" si="374"/>
        <v>0</v>
      </c>
      <c r="AW244" s="401">
        <f t="shared" si="374"/>
        <v>0</v>
      </c>
      <c r="AX244" s="401">
        <f t="shared" ref="AX244:BP244" si="375">IF($L$217="On",AX217*AX143,AX143)</f>
        <v>0</v>
      </c>
      <c r="AY244" s="401">
        <f t="shared" si="375"/>
        <v>0</v>
      </c>
      <c r="AZ244" s="401">
        <f t="shared" si="375"/>
        <v>0</v>
      </c>
      <c r="BA244" s="401">
        <f t="shared" si="375"/>
        <v>0</v>
      </c>
      <c r="BB244" s="401">
        <f t="shared" si="375"/>
        <v>0</v>
      </c>
      <c r="BC244" s="401">
        <f t="shared" si="375"/>
        <v>0</v>
      </c>
      <c r="BD244" s="401">
        <f t="shared" si="375"/>
        <v>0</v>
      </c>
      <c r="BE244" s="401">
        <f t="shared" si="375"/>
        <v>0</v>
      </c>
      <c r="BF244" s="401">
        <f t="shared" si="375"/>
        <v>0</v>
      </c>
      <c r="BG244" s="401">
        <f t="shared" si="375"/>
        <v>0</v>
      </c>
      <c r="BH244" s="401">
        <f t="shared" si="375"/>
        <v>0</v>
      </c>
      <c r="BI244" s="401">
        <f t="shared" si="375"/>
        <v>0</v>
      </c>
      <c r="BJ244" s="401">
        <f t="shared" si="375"/>
        <v>0</v>
      </c>
      <c r="BK244" s="401">
        <f t="shared" si="375"/>
        <v>0</v>
      </c>
      <c r="BL244" s="401">
        <f t="shared" si="375"/>
        <v>0</v>
      </c>
      <c r="BM244" s="401">
        <f t="shared" si="375"/>
        <v>0</v>
      </c>
      <c r="BN244" s="401">
        <f t="shared" si="375"/>
        <v>0</v>
      </c>
      <c r="BO244" s="401">
        <f t="shared" si="375"/>
        <v>0</v>
      </c>
      <c r="BP244" s="401">
        <f t="shared" si="375"/>
        <v>0</v>
      </c>
    </row>
    <row r="245" spans="2:68" customFormat="1" outlineLevel="1" x14ac:dyDescent="0.2">
      <c r="G245" s="52"/>
      <c r="H245" s="52"/>
      <c r="I245" s="52"/>
      <c r="J245" s="123"/>
      <c r="L245" s="112"/>
      <c r="M245" s="113"/>
    </row>
    <row r="246" spans="2:68" outlineLevel="1" x14ac:dyDescent="0.2">
      <c r="B246" s="20"/>
      <c r="C246" s="80"/>
      <c r="D246" s="10" t="str">
        <f>$D$145</f>
        <v>Unregulated revenue</v>
      </c>
      <c r="E246" s="80"/>
      <c r="F246" s="80"/>
      <c r="G246" s="83"/>
      <c r="H246" s="83"/>
      <c r="I246" s="83"/>
      <c r="J246" s="85"/>
      <c r="K246" s="401"/>
      <c r="L246" s="436"/>
      <c r="M246" s="437"/>
      <c r="N246" s="401"/>
      <c r="O246" s="401"/>
      <c r="P246" s="401"/>
      <c r="Q246" s="401"/>
      <c r="R246" s="401"/>
      <c r="S246" s="401"/>
      <c r="T246" s="401"/>
      <c r="U246" s="401"/>
      <c r="V246" s="401"/>
      <c r="W246" s="401"/>
      <c r="X246" s="401"/>
      <c r="Y246" s="401"/>
      <c r="Z246" s="401"/>
      <c r="AA246" s="401"/>
      <c r="AB246" s="401"/>
      <c r="AC246" s="401"/>
      <c r="AD246" s="401"/>
      <c r="AE246" s="401"/>
      <c r="AF246" s="401"/>
      <c r="AG246" s="401"/>
      <c r="AH246" s="401"/>
      <c r="AI246" s="401"/>
      <c r="AJ246" s="401"/>
      <c r="AK246" s="401"/>
      <c r="AL246" s="401"/>
      <c r="AM246" s="401"/>
      <c r="AN246" s="401"/>
      <c r="AO246" s="401"/>
      <c r="AP246" s="401"/>
      <c r="AQ246" s="401"/>
      <c r="AR246" s="401"/>
      <c r="AS246" s="401"/>
      <c r="AT246" s="401"/>
      <c r="AU246" s="401"/>
      <c r="AV246" s="401"/>
      <c r="AW246" s="401"/>
      <c r="AX246" s="401"/>
      <c r="AY246" s="401"/>
      <c r="AZ246" s="401"/>
      <c r="BA246" s="401"/>
      <c r="BB246" s="401"/>
      <c r="BC246" s="401"/>
      <c r="BD246" s="401"/>
      <c r="BE246" s="401"/>
      <c r="BF246" s="401"/>
      <c r="BG246" s="401"/>
      <c r="BH246" s="401"/>
      <c r="BI246" s="401"/>
      <c r="BJ246" s="401"/>
      <c r="BK246" s="401"/>
      <c r="BL246" s="401"/>
      <c r="BM246" s="401"/>
      <c r="BN246" s="401"/>
      <c r="BO246" s="401"/>
      <c r="BP246" s="401"/>
    </row>
    <row r="247" spans="2:68" outlineLevel="1" x14ac:dyDescent="0.2">
      <c r="B247" s="20"/>
      <c r="C247" s="80"/>
      <c r="D247" s="66" t="str">
        <f>$D$150</f>
        <v>Unregulated revenue - Customer</v>
      </c>
      <c r="E247" s="80"/>
      <c r="F247" s="80"/>
      <c r="G247" s="477">
        <f>Assumptions!$H$184</f>
        <v>0</v>
      </c>
      <c r="H247" s="477">
        <f>Assumptions!$I$184</f>
        <v>1</v>
      </c>
      <c r="I247" s="83"/>
      <c r="J247" s="85" t="str">
        <f>Assumptions!$K$184</f>
        <v>Unregulated revenue</v>
      </c>
      <c r="K247" s="401"/>
      <c r="L247" s="436">
        <f>SUM(R247:BP247)</f>
        <v>0</v>
      </c>
      <c r="M247" s="457"/>
      <c r="N247" s="455"/>
      <c r="O247" s="455"/>
      <c r="P247" s="455"/>
      <c r="Q247" s="455"/>
      <c r="R247" s="29">
        <f t="shared" ref="R247:AW247" si="376">IF($L$217="On",R217*R150,R150)</f>
        <v>0</v>
      </c>
      <c r="S247" s="29">
        <f t="shared" si="376"/>
        <v>0</v>
      </c>
      <c r="T247" s="29">
        <f t="shared" si="376"/>
        <v>0</v>
      </c>
      <c r="U247" s="29">
        <f t="shared" si="376"/>
        <v>0</v>
      </c>
      <c r="V247" s="29">
        <f t="shared" si="376"/>
        <v>0</v>
      </c>
      <c r="W247" s="29">
        <f t="shared" si="376"/>
        <v>0</v>
      </c>
      <c r="X247" s="29">
        <f t="shared" si="376"/>
        <v>0</v>
      </c>
      <c r="Y247" s="29">
        <f t="shared" si="376"/>
        <v>0</v>
      </c>
      <c r="Z247" s="29">
        <f t="shared" si="376"/>
        <v>0</v>
      </c>
      <c r="AA247" s="29">
        <f t="shared" si="376"/>
        <v>0</v>
      </c>
      <c r="AB247" s="29">
        <f t="shared" si="376"/>
        <v>0</v>
      </c>
      <c r="AC247" s="29">
        <f t="shared" si="376"/>
        <v>0</v>
      </c>
      <c r="AD247" s="29">
        <f t="shared" si="376"/>
        <v>0</v>
      </c>
      <c r="AE247" s="29">
        <f t="shared" si="376"/>
        <v>0</v>
      </c>
      <c r="AF247" s="29">
        <f t="shared" si="376"/>
        <v>0</v>
      </c>
      <c r="AG247" s="29">
        <f t="shared" si="376"/>
        <v>0</v>
      </c>
      <c r="AH247" s="29">
        <f t="shared" si="376"/>
        <v>0</v>
      </c>
      <c r="AI247" s="29">
        <f t="shared" si="376"/>
        <v>0</v>
      </c>
      <c r="AJ247" s="29">
        <f t="shared" si="376"/>
        <v>0</v>
      </c>
      <c r="AK247" s="29">
        <f t="shared" si="376"/>
        <v>0</v>
      </c>
      <c r="AL247" s="29">
        <f t="shared" si="376"/>
        <v>0</v>
      </c>
      <c r="AM247" s="29">
        <f t="shared" si="376"/>
        <v>0</v>
      </c>
      <c r="AN247" s="29">
        <f t="shared" si="376"/>
        <v>0</v>
      </c>
      <c r="AO247" s="29">
        <f t="shared" si="376"/>
        <v>0</v>
      </c>
      <c r="AP247" s="29">
        <f t="shared" si="376"/>
        <v>0</v>
      </c>
      <c r="AQ247" s="29">
        <f t="shared" si="376"/>
        <v>0</v>
      </c>
      <c r="AR247" s="29">
        <f t="shared" si="376"/>
        <v>0</v>
      </c>
      <c r="AS247" s="29">
        <f t="shared" si="376"/>
        <v>0</v>
      </c>
      <c r="AT247" s="29">
        <f t="shared" si="376"/>
        <v>0</v>
      </c>
      <c r="AU247" s="29">
        <f t="shared" si="376"/>
        <v>0</v>
      </c>
      <c r="AV247" s="29">
        <f t="shared" si="376"/>
        <v>0</v>
      </c>
      <c r="AW247" s="29">
        <f t="shared" si="376"/>
        <v>0</v>
      </c>
      <c r="AX247" s="29">
        <f t="shared" ref="AX247:BP247" si="377">IF($L$217="On",AX217*AX150,AX150)</f>
        <v>0</v>
      </c>
      <c r="AY247" s="29">
        <f t="shared" si="377"/>
        <v>0</v>
      </c>
      <c r="AZ247" s="29">
        <f t="shared" si="377"/>
        <v>0</v>
      </c>
      <c r="BA247" s="29">
        <f t="shared" si="377"/>
        <v>0</v>
      </c>
      <c r="BB247" s="29">
        <f t="shared" si="377"/>
        <v>0</v>
      </c>
      <c r="BC247" s="29">
        <f t="shared" si="377"/>
        <v>0</v>
      </c>
      <c r="BD247" s="29">
        <f t="shared" si="377"/>
        <v>0</v>
      </c>
      <c r="BE247" s="29">
        <f t="shared" si="377"/>
        <v>0</v>
      </c>
      <c r="BF247" s="29">
        <f t="shared" si="377"/>
        <v>0</v>
      </c>
      <c r="BG247" s="29">
        <f t="shared" si="377"/>
        <v>0</v>
      </c>
      <c r="BH247" s="29">
        <f t="shared" si="377"/>
        <v>0</v>
      </c>
      <c r="BI247" s="29">
        <f t="shared" si="377"/>
        <v>0</v>
      </c>
      <c r="BJ247" s="29">
        <f t="shared" si="377"/>
        <v>0</v>
      </c>
      <c r="BK247" s="29">
        <f t="shared" si="377"/>
        <v>0</v>
      </c>
      <c r="BL247" s="29">
        <f t="shared" si="377"/>
        <v>0</v>
      </c>
      <c r="BM247" s="29">
        <f t="shared" si="377"/>
        <v>0</v>
      </c>
      <c r="BN247" s="29">
        <f t="shared" si="377"/>
        <v>0</v>
      </c>
      <c r="BO247" s="29">
        <f t="shared" si="377"/>
        <v>0</v>
      </c>
      <c r="BP247" s="29">
        <f t="shared" si="377"/>
        <v>0</v>
      </c>
    </row>
    <row r="248" spans="2:68" outlineLevel="1" x14ac:dyDescent="0.2">
      <c r="B248" s="20"/>
      <c r="C248" s="80"/>
      <c r="D248" s="66" t="str">
        <f>$D$151</f>
        <v>Unregulated revenue - Shareholder</v>
      </c>
      <c r="E248" s="80"/>
      <c r="F248" s="80"/>
      <c r="G248" s="477">
        <f>Assumptions!$H$185</f>
        <v>1</v>
      </c>
      <c r="H248" s="477">
        <f>Assumptions!$I$185</f>
        <v>0</v>
      </c>
      <c r="I248" s="83"/>
      <c r="J248" s="85" t="str">
        <f>Assumptions!$K$185</f>
        <v>Unregulated revenue</v>
      </c>
      <c r="K248" s="401"/>
      <c r="L248" s="436">
        <f>SUM(R248:BP248)</f>
        <v>0</v>
      </c>
      <c r="M248" s="457"/>
      <c r="N248" s="455"/>
      <c r="O248" s="455"/>
      <c r="P248" s="455"/>
      <c r="Q248" s="455"/>
      <c r="R248" s="29">
        <f t="shared" ref="R248:AW248" si="378">IF($L$217="On",R217*R151,R151)</f>
        <v>0</v>
      </c>
      <c r="S248" s="29">
        <f t="shared" si="378"/>
        <v>0</v>
      </c>
      <c r="T248" s="29">
        <f t="shared" si="378"/>
        <v>0</v>
      </c>
      <c r="U248" s="29">
        <f t="shared" si="378"/>
        <v>0</v>
      </c>
      <c r="V248" s="29">
        <f t="shared" si="378"/>
        <v>0</v>
      </c>
      <c r="W248" s="29">
        <f t="shared" si="378"/>
        <v>0</v>
      </c>
      <c r="X248" s="29">
        <f t="shared" si="378"/>
        <v>0</v>
      </c>
      <c r="Y248" s="29">
        <f t="shared" si="378"/>
        <v>0</v>
      </c>
      <c r="Z248" s="29">
        <f t="shared" si="378"/>
        <v>0</v>
      </c>
      <c r="AA248" s="29">
        <f t="shared" si="378"/>
        <v>0</v>
      </c>
      <c r="AB248" s="29">
        <f t="shared" si="378"/>
        <v>0</v>
      </c>
      <c r="AC248" s="29">
        <f t="shared" si="378"/>
        <v>0</v>
      </c>
      <c r="AD248" s="29">
        <f t="shared" si="378"/>
        <v>0</v>
      </c>
      <c r="AE248" s="29">
        <f t="shared" si="378"/>
        <v>0</v>
      </c>
      <c r="AF248" s="29">
        <f t="shared" si="378"/>
        <v>0</v>
      </c>
      <c r="AG248" s="29">
        <f t="shared" si="378"/>
        <v>0</v>
      </c>
      <c r="AH248" s="29">
        <f t="shared" si="378"/>
        <v>0</v>
      </c>
      <c r="AI248" s="29">
        <f t="shared" si="378"/>
        <v>0</v>
      </c>
      <c r="AJ248" s="29">
        <f t="shared" si="378"/>
        <v>0</v>
      </c>
      <c r="AK248" s="29">
        <f t="shared" si="378"/>
        <v>0</v>
      </c>
      <c r="AL248" s="29">
        <f t="shared" si="378"/>
        <v>0</v>
      </c>
      <c r="AM248" s="29">
        <f t="shared" si="378"/>
        <v>0</v>
      </c>
      <c r="AN248" s="29">
        <f t="shared" si="378"/>
        <v>0</v>
      </c>
      <c r="AO248" s="29">
        <f t="shared" si="378"/>
        <v>0</v>
      </c>
      <c r="AP248" s="29">
        <f t="shared" si="378"/>
        <v>0</v>
      </c>
      <c r="AQ248" s="29">
        <f t="shared" si="378"/>
        <v>0</v>
      </c>
      <c r="AR248" s="29">
        <f t="shared" si="378"/>
        <v>0</v>
      </c>
      <c r="AS248" s="29">
        <f t="shared" si="378"/>
        <v>0</v>
      </c>
      <c r="AT248" s="29">
        <f t="shared" si="378"/>
        <v>0</v>
      </c>
      <c r="AU248" s="29">
        <f t="shared" si="378"/>
        <v>0</v>
      </c>
      <c r="AV248" s="29">
        <f t="shared" si="378"/>
        <v>0</v>
      </c>
      <c r="AW248" s="29">
        <f t="shared" si="378"/>
        <v>0</v>
      </c>
      <c r="AX248" s="29">
        <f t="shared" ref="AX248:BP248" si="379">IF($L$217="On",AX217*AX151,AX151)</f>
        <v>0</v>
      </c>
      <c r="AY248" s="29">
        <f t="shared" si="379"/>
        <v>0</v>
      </c>
      <c r="AZ248" s="29">
        <f t="shared" si="379"/>
        <v>0</v>
      </c>
      <c r="BA248" s="29">
        <f t="shared" si="379"/>
        <v>0</v>
      </c>
      <c r="BB248" s="29">
        <f t="shared" si="379"/>
        <v>0</v>
      </c>
      <c r="BC248" s="29">
        <f t="shared" si="379"/>
        <v>0</v>
      </c>
      <c r="BD248" s="29">
        <f t="shared" si="379"/>
        <v>0</v>
      </c>
      <c r="BE248" s="29">
        <f t="shared" si="379"/>
        <v>0</v>
      </c>
      <c r="BF248" s="29">
        <f t="shared" si="379"/>
        <v>0</v>
      </c>
      <c r="BG248" s="29">
        <f t="shared" si="379"/>
        <v>0</v>
      </c>
      <c r="BH248" s="29">
        <f t="shared" si="379"/>
        <v>0</v>
      </c>
      <c r="BI248" s="29">
        <f t="shared" si="379"/>
        <v>0</v>
      </c>
      <c r="BJ248" s="29">
        <f t="shared" si="379"/>
        <v>0</v>
      </c>
      <c r="BK248" s="29">
        <f t="shared" si="379"/>
        <v>0</v>
      </c>
      <c r="BL248" s="29">
        <f t="shared" si="379"/>
        <v>0</v>
      </c>
      <c r="BM248" s="29">
        <f t="shared" si="379"/>
        <v>0</v>
      </c>
      <c r="BN248" s="29">
        <f t="shared" si="379"/>
        <v>0</v>
      </c>
      <c r="BO248" s="29">
        <f t="shared" si="379"/>
        <v>0</v>
      </c>
      <c r="BP248" s="29">
        <f t="shared" si="379"/>
        <v>0</v>
      </c>
    </row>
    <row r="249" spans="2:68" customFormat="1" outlineLevel="1" x14ac:dyDescent="0.2">
      <c r="G249" s="52"/>
      <c r="H249" s="52"/>
      <c r="I249" s="52"/>
      <c r="J249" s="123"/>
      <c r="L249" s="112"/>
      <c r="M249" s="113"/>
    </row>
    <row r="250" spans="2:68" customFormat="1" outlineLevel="1" x14ac:dyDescent="0.2">
      <c r="D250" s="10" t="s">
        <v>32</v>
      </c>
      <c r="G250" s="52"/>
      <c r="H250" s="52"/>
      <c r="I250" s="52"/>
      <c r="J250" s="123"/>
      <c r="L250" s="112"/>
      <c r="M250" s="113"/>
    </row>
    <row r="251" spans="2:68" customFormat="1" outlineLevel="1" x14ac:dyDescent="0.2">
      <c r="D251" s="66" t="s">
        <v>385</v>
      </c>
      <c r="G251" s="477">
        <f>Assumptions!$H$191</f>
        <v>1</v>
      </c>
      <c r="H251" s="477">
        <f>Assumptions!$H$191</f>
        <v>1</v>
      </c>
      <c r="I251" s="52"/>
      <c r="J251" s="85" t="str">
        <f>Assumptions!$K$188</f>
        <v>Investment opex</v>
      </c>
      <c r="L251" s="436">
        <f>SUM(R251:BP251)</f>
        <v>6829031.86905412</v>
      </c>
      <c r="M251" s="457"/>
      <c r="N251" s="455"/>
      <c r="O251" s="455"/>
      <c r="P251" s="455"/>
      <c r="Q251" s="455"/>
      <c r="R251" s="401">
        <f t="shared" ref="R251:AW251" si="380">IF($L$217="On",R217*R157,R157)</f>
        <v>0</v>
      </c>
      <c r="S251" s="401">
        <f t="shared" si="380"/>
        <v>0</v>
      </c>
      <c r="T251" s="401">
        <f t="shared" si="380"/>
        <v>0</v>
      </c>
      <c r="U251" s="401">
        <f t="shared" si="380"/>
        <v>984614.10454988095</v>
      </c>
      <c r="V251" s="401">
        <f t="shared" si="380"/>
        <v>999022.85284218902</v>
      </c>
      <c r="W251" s="401">
        <f t="shared" si="380"/>
        <v>1005767.09087051</v>
      </c>
      <c r="X251" s="401">
        <f t="shared" si="380"/>
        <v>1006463.54237789</v>
      </c>
      <c r="Y251" s="401">
        <f t="shared" si="380"/>
        <v>1008165.42569475</v>
      </c>
      <c r="Z251" s="401">
        <f t="shared" si="380"/>
        <v>1824998.8527189</v>
      </c>
      <c r="AA251" s="401">
        <f t="shared" si="380"/>
        <v>0</v>
      </c>
      <c r="AB251" s="401">
        <f t="shared" si="380"/>
        <v>0</v>
      </c>
      <c r="AC251" s="401">
        <f t="shared" si="380"/>
        <v>0</v>
      </c>
      <c r="AD251" s="401">
        <f t="shared" si="380"/>
        <v>0</v>
      </c>
      <c r="AE251" s="401">
        <f t="shared" si="380"/>
        <v>0</v>
      </c>
      <c r="AF251" s="401">
        <f t="shared" si="380"/>
        <v>0</v>
      </c>
      <c r="AG251" s="401">
        <f t="shared" si="380"/>
        <v>0</v>
      </c>
      <c r="AH251" s="401">
        <f t="shared" si="380"/>
        <v>0</v>
      </c>
      <c r="AI251" s="401">
        <f t="shared" si="380"/>
        <v>0</v>
      </c>
      <c r="AJ251" s="401">
        <f t="shared" si="380"/>
        <v>0</v>
      </c>
      <c r="AK251" s="401">
        <f t="shared" si="380"/>
        <v>0</v>
      </c>
      <c r="AL251" s="401">
        <f t="shared" si="380"/>
        <v>0</v>
      </c>
      <c r="AM251" s="401">
        <f t="shared" si="380"/>
        <v>0</v>
      </c>
      <c r="AN251" s="401">
        <f t="shared" si="380"/>
        <v>0</v>
      </c>
      <c r="AO251" s="401">
        <f t="shared" si="380"/>
        <v>0</v>
      </c>
      <c r="AP251" s="401">
        <f t="shared" si="380"/>
        <v>0</v>
      </c>
      <c r="AQ251" s="401">
        <f t="shared" si="380"/>
        <v>0</v>
      </c>
      <c r="AR251" s="401">
        <f t="shared" si="380"/>
        <v>0</v>
      </c>
      <c r="AS251" s="401">
        <f t="shared" si="380"/>
        <v>0</v>
      </c>
      <c r="AT251" s="401">
        <f t="shared" si="380"/>
        <v>0</v>
      </c>
      <c r="AU251" s="401">
        <f t="shared" si="380"/>
        <v>0</v>
      </c>
      <c r="AV251" s="401">
        <f t="shared" si="380"/>
        <v>0</v>
      </c>
      <c r="AW251" s="401">
        <f t="shared" si="380"/>
        <v>0</v>
      </c>
      <c r="AX251" s="401">
        <f t="shared" ref="AX251:BP251" si="381">IF($L$217="On",AX217*AX157,AX157)</f>
        <v>0</v>
      </c>
      <c r="AY251" s="401">
        <f t="shared" si="381"/>
        <v>0</v>
      </c>
      <c r="AZ251" s="401">
        <f t="shared" si="381"/>
        <v>0</v>
      </c>
      <c r="BA251" s="401">
        <f t="shared" si="381"/>
        <v>0</v>
      </c>
      <c r="BB251" s="401">
        <f t="shared" si="381"/>
        <v>0</v>
      </c>
      <c r="BC251" s="401">
        <f t="shared" si="381"/>
        <v>0</v>
      </c>
      <c r="BD251" s="401">
        <f t="shared" si="381"/>
        <v>0</v>
      </c>
      <c r="BE251" s="401">
        <f t="shared" si="381"/>
        <v>0</v>
      </c>
      <c r="BF251" s="401">
        <f t="shared" si="381"/>
        <v>0</v>
      </c>
      <c r="BG251" s="401">
        <f t="shared" si="381"/>
        <v>0</v>
      </c>
      <c r="BH251" s="401">
        <f t="shared" si="381"/>
        <v>0</v>
      </c>
      <c r="BI251" s="401">
        <f t="shared" si="381"/>
        <v>0</v>
      </c>
      <c r="BJ251" s="401">
        <f t="shared" si="381"/>
        <v>0</v>
      </c>
      <c r="BK251" s="401">
        <f t="shared" si="381"/>
        <v>0</v>
      </c>
      <c r="BL251" s="401">
        <f t="shared" si="381"/>
        <v>0</v>
      </c>
      <c r="BM251" s="401">
        <f t="shared" si="381"/>
        <v>0</v>
      </c>
      <c r="BN251" s="401">
        <f t="shared" si="381"/>
        <v>0</v>
      </c>
      <c r="BO251" s="401">
        <f t="shared" si="381"/>
        <v>0</v>
      </c>
      <c r="BP251" s="401">
        <f t="shared" si="381"/>
        <v>0</v>
      </c>
    </row>
    <row r="252" spans="2:68" customFormat="1" outlineLevel="1" x14ac:dyDescent="0.2">
      <c r="G252" s="52"/>
      <c r="H252" s="52"/>
      <c r="I252" s="52"/>
      <c r="J252" s="123"/>
      <c r="L252" s="112"/>
      <c r="M252" s="113"/>
    </row>
    <row r="253" spans="2:68" outlineLevel="1" x14ac:dyDescent="0.2">
      <c r="B253" s="20"/>
      <c r="C253" s="80"/>
      <c r="D253" s="32" t="str">
        <f>$D$170</f>
        <v>Regulated revenue - Incentive schemes</v>
      </c>
      <c r="E253" s="80"/>
      <c r="F253" s="80"/>
      <c r="G253" s="83"/>
      <c r="H253" s="83"/>
      <c r="I253" s="83"/>
      <c r="J253" s="85"/>
      <c r="K253" s="401"/>
      <c r="L253" s="436"/>
      <c r="M253" s="437"/>
      <c r="N253" s="401"/>
      <c r="O253" s="401"/>
      <c r="P253" s="401"/>
      <c r="Q253" s="401"/>
      <c r="R253" s="401"/>
      <c r="S253" s="401"/>
      <c r="T253" s="401"/>
      <c r="U253" s="401"/>
      <c r="V253" s="401"/>
      <c r="W253" s="401"/>
      <c r="X253" s="401"/>
      <c r="Y253" s="401"/>
      <c r="Z253" s="401"/>
      <c r="AA253" s="401"/>
      <c r="AB253" s="401"/>
      <c r="AC253" s="401"/>
      <c r="AD253" s="401"/>
      <c r="AE253" s="401"/>
      <c r="AF253" s="401"/>
      <c r="AG253" s="401"/>
      <c r="AH253" s="401"/>
      <c r="AI253" s="401"/>
      <c r="AJ253" s="401"/>
      <c r="AK253" s="401"/>
      <c r="AL253" s="401"/>
      <c r="AM253" s="401"/>
      <c r="AN253" s="401"/>
      <c r="AO253" s="401"/>
      <c r="AP253" s="401"/>
      <c r="AQ253" s="401"/>
      <c r="AR253" s="401"/>
      <c r="AS253" s="401"/>
      <c r="AT253" s="401"/>
      <c r="AU253" s="401"/>
      <c r="AV253" s="401"/>
      <c r="AW253" s="401"/>
      <c r="AX253" s="401"/>
      <c r="AY253" s="401"/>
      <c r="AZ253" s="401"/>
      <c r="BA253" s="401"/>
      <c r="BB253" s="401"/>
      <c r="BC253" s="401"/>
      <c r="BD253" s="401"/>
      <c r="BE253" s="401"/>
      <c r="BF253" s="401"/>
      <c r="BG253" s="401"/>
      <c r="BH253" s="401"/>
      <c r="BI253" s="401"/>
      <c r="BJ253" s="401"/>
      <c r="BK253" s="401"/>
      <c r="BL253" s="401"/>
      <c r="BM253" s="401"/>
      <c r="BN253" s="401"/>
      <c r="BO253" s="401"/>
      <c r="BP253" s="401"/>
    </row>
    <row r="254" spans="2:68" outlineLevel="1" x14ac:dyDescent="0.2">
      <c r="B254" s="20"/>
      <c r="C254" s="80"/>
      <c r="D254" s="81" t="str">
        <f>$D$171</f>
        <v>STPIS</v>
      </c>
      <c r="E254" s="80"/>
      <c r="F254" s="80"/>
      <c r="G254" s="477">
        <f>Assumptions!$H$191</f>
        <v>1</v>
      </c>
      <c r="H254" s="477">
        <f>Assumptions!$I$191</f>
        <v>-1</v>
      </c>
      <c r="I254" s="83"/>
      <c r="J254" s="85" t="str">
        <f>Assumptions!$K$191</f>
        <v>STPIS</v>
      </c>
      <c r="K254" s="401"/>
      <c r="L254" s="436">
        <f>SUM(R254:BP254)</f>
        <v>0</v>
      </c>
      <c r="M254" s="457"/>
      <c r="N254" s="455"/>
      <c r="O254" s="455"/>
      <c r="P254" s="455"/>
      <c r="Q254" s="455"/>
      <c r="R254" s="401">
        <f t="shared" ref="R254:AW254" si="382">IF($L$217="On",R217*R171,R171)</f>
        <v>0</v>
      </c>
      <c r="S254" s="401">
        <f t="shared" si="382"/>
        <v>0</v>
      </c>
      <c r="T254" s="401">
        <f t="shared" si="382"/>
        <v>0</v>
      </c>
      <c r="U254" s="401">
        <f t="shared" si="382"/>
        <v>0</v>
      </c>
      <c r="V254" s="401">
        <f t="shared" si="382"/>
        <v>0</v>
      </c>
      <c r="W254" s="401">
        <f t="shared" si="382"/>
        <v>0</v>
      </c>
      <c r="X254" s="401">
        <f t="shared" si="382"/>
        <v>0</v>
      </c>
      <c r="Y254" s="401">
        <f t="shared" si="382"/>
        <v>0</v>
      </c>
      <c r="Z254" s="401">
        <f t="shared" si="382"/>
        <v>0</v>
      </c>
      <c r="AA254" s="401">
        <f t="shared" si="382"/>
        <v>0</v>
      </c>
      <c r="AB254" s="401">
        <f t="shared" si="382"/>
        <v>0</v>
      </c>
      <c r="AC254" s="401">
        <f t="shared" si="382"/>
        <v>0</v>
      </c>
      <c r="AD254" s="401">
        <f t="shared" si="382"/>
        <v>0</v>
      </c>
      <c r="AE254" s="401">
        <f t="shared" si="382"/>
        <v>0</v>
      </c>
      <c r="AF254" s="401">
        <f t="shared" si="382"/>
        <v>0</v>
      </c>
      <c r="AG254" s="401">
        <f t="shared" si="382"/>
        <v>0</v>
      </c>
      <c r="AH254" s="401">
        <f t="shared" si="382"/>
        <v>0</v>
      </c>
      <c r="AI254" s="401">
        <f t="shared" si="382"/>
        <v>0</v>
      </c>
      <c r="AJ254" s="401">
        <f t="shared" si="382"/>
        <v>0</v>
      </c>
      <c r="AK254" s="401">
        <f t="shared" si="382"/>
        <v>0</v>
      </c>
      <c r="AL254" s="401">
        <f t="shared" si="382"/>
        <v>0</v>
      </c>
      <c r="AM254" s="401">
        <f t="shared" si="382"/>
        <v>0</v>
      </c>
      <c r="AN254" s="401">
        <f t="shared" si="382"/>
        <v>0</v>
      </c>
      <c r="AO254" s="401">
        <f t="shared" si="382"/>
        <v>0</v>
      </c>
      <c r="AP254" s="401">
        <f t="shared" si="382"/>
        <v>0</v>
      </c>
      <c r="AQ254" s="401">
        <f t="shared" si="382"/>
        <v>0</v>
      </c>
      <c r="AR254" s="401">
        <f t="shared" si="382"/>
        <v>0</v>
      </c>
      <c r="AS254" s="401">
        <f t="shared" si="382"/>
        <v>0</v>
      </c>
      <c r="AT254" s="401">
        <f t="shared" si="382"/>
        <v>0</v>
      </c>
      <c r="AU254" s="401">
        <f t="shared" si="382"/>
        <v>0</v>
      </c>
      <c r="AV254" s="401">
        <f t="shared" si="382"/>
        <v>0</v>
      </c>
      <c r="AW254" s="401">
        <f t="shared" si="382"/>
        <v>0</v>
      </c>
      <c r="AX254" s="401">
        <f t="shared" ref="AX254:BP254" si="383">IF($L$217="On",AX217*AX171,AX171)</f>
        <v>0</v>
      </c>
      <c r="AY254" s="401">
        <f t="shared" si="383"/>
        <v>0</v>
      </c>
      <c r="AZ254" s="401">
        <f t="shared" si="383"/>
        <v>0</v>
      </c>
      <c r="BA254" s="401">
        <f t="shared" si="383"/>
        <v>0</v>
      </c>
      <c r="BB254" s="401">
        <f t="shared" si="383"/>
        <v>0</v>
      </c>
      <c r="BC254" s="401">
        <f t="shared" si="383"/>
        <v>0</v>
      </c>
      <c r="BD254" s="401">
        <f t="shared" si="383"/>
        <v>0</v>
      </c>
      <c r="BE254" s="401">
        <f t="shared" si="383"/>
        <v>0</v>
      </c>
      <c r="BF254" s="401">
        <f t="shared" si="383"/>
        <v>0</v>
      </c>
      <c r="BG254" s="401">
        <f t="shared" si="383"/>
        <v>0</v>
      </c>
      <c r="BH254" s="401">
        <f t="shared" si="383"/>
        <v>0</v>
      </c>
      <c r="BI254" s="401">
        <f t="shared" si="383"/>
        <v>0</v>
      </c>
      <c r="BJ254" s="401">
        <f t="shared" si="383"/>
        <v>0</v>
      </c>
      <c r="BK254" s="401">
        <f t="shared" si="383"/>
        <v>0</v>
      </c>
      <c r="BL254" s="401">
        <f t="shared" si="383"/>
        <v>0</v>
      </c>
      <c r="BM254" s="401">
        <f t="shared" si="383"/>
        <v>0</v>
      </c>
      <c r="BN254" s="401">
        <f t="shared" si="383"/>
        <v>0</v>
      </c>
      <c r="BO254" s="401">
        <f t="shared" si="383"/>
        <v>0</v>
      </c>
      <c r="BP254" s="401">
        <f t="shared" si="383"/>
        <v>0</v>
      </c>
    </row>
    <row r="255" spans="2:68" outlineLevel="1" x14ac:dyDescent="0.2">
      <c r="B255" s="20"/>
      <c r="C255" s="80"/>
      <c r="D255" s="66" t="s">
        <v>122</v>
      </c>
      <c r="E255" s="80"/>
      <c r="F255" s="80"/>
      <c r="G255" s="477"/>
      <c r="H255" s="477"/>
      <c r="I255" s="83"/>
      <c r="J255" s="123" t="s">
        <v>402</v>
      </c>
      <c r="K255" s="401"/>
      <c r="L255" s="455"/>
      <c r="M255" s="457"/>
      <c r="N255" s="455"/>
      <c r="O255" s="455"/>
      <c r="P255" s="455"/>
      <c r="Q255" s="455"/>
      <c r="R255" s="401">
        <f>R254</f>
        <v>0</v>
      </c>
      <c r="S255" s="401">
        <f>IF((S254-R254)&lt;0,0,S254-R254)</f>
        <v>0</v>
      </c>
      <c r="T255" s="401">
        <f t="shared" ref="T255:BP255" si="384">IF((T254-S254)&lt;0,0,T254-S254)</f>
        <v>0</v>
      </c>
      <c r="U255" s="401">
        <f t="shared" si="384"/>
        <v>0</v>
      </c>
      <c r="V255" s="401">
        <f t="shared" si="384"/>
        <v>0</v>
      </c>
      <c r="W255" s="401">
        <f t="shared" si="384"/>
        <v>0</v>
      </c>
      <c r="X255" s="401">
        <f t="shared" si="384"/>
        <v>0</v>
      </c>
      <c r="Y255" s="401">
        <f t="shared" si="384"/>
        <v>0</v>
      </c>
      <c r="Z255" s="401">
        <f t="shared" si="384"/>
        <v>0</v>
      </c>
      <c r="AA255" s="401">
        <f t="shared" si="384"/>
        <v>0</v>
      </c>
      <c r="AB255" s="401">
        <f t="shared" si="384"/>
        <v>0</v>
      </c>
      <c r="AC255" s="401">
        <f t="shared" si="384"/>
        <v>0</v>
      </c>
      <c r="AD255" s="401">
        <f t="shared" si="384"/>
        <v>0</v>
      </c>
      <c r="AE255" s="401">
        <f t="shared" si="384"/>
        <v>0</v>
      </c>
      <c r="AF255" s="401">
        <f t="shared" si="384"/>
        <v>0</v>
      </c>
      <c r="AG255" s="401">
        <f t="shared" si="384"/>
        <v>0</v>
      </c>
      <c r="AH255" s="401">
        <f t="shared" si="384"/>
        <v>0</v>
      </c>
      <c r="AI255" s="401">
        <f t="shared" si="384"/>
        <v>0</v>
      </c>
      <c r="AJ255" s="401">
        <f t="shared" si="384"/>
        <v>0</v>
      </c>
      <c r="AK255" s="401">
        <f t="shared" si="384"/>
        <v>0</v>
      </c>
      <c r="AL255" s="401">
        <f t="shared" si="384"/>
        <v>0</v>
      </c>
      <c r="AM255" s="401">
        <f t="shared" si="384"/>
        <v>0</v>
      </c>
      <c r="AN255" s="401">
        <f t="shared" si="384"/>
        <v>0</v>
      </c>
      <c r="AO255" s="401">
        <f t="shared" si="384"/>
        <v>0</v>
      </c>
      <c r="AP255" s="401">
        <f t="shared" si="384"/>
        <v>0</v>
      </c>
      <c r="AQ255" s="401">
        <f t="shared" si="384"/>
        <v>0</v>
      </c>
      <c r="AR255" s="401">
        <f t="shared" si="384"/>
        <v>0</v>
      </c>
      <c r="AS255" s="401">
        <f t="shared" si="384"/>
        <v>0</v>
      </c>
      <c r="AT255" s="401">
        <f t="shared" si="384"/>
        <v>0</v>
      </c>
      <c r="AU255" s="401">
        <f t="shared" si="384"/>
        <v>0</v>
      </c>
      <c r="AV255" s="401">
        <f t="shared" si="384"/>
        <v>0</v>
      </c>
      <c r="AW255" s="401">
        <f t="shared" si="384"/>
        <v>0</v>
      </c>
      <c r="AX255" s="401">
        <f t="shared" si="384"/>
        <v>0</v>
      </c>
      <c r="AY255" s="401">
        <f t="shared" si="384"/>
        <v>0</v>
      </c>
      <c r="AZ255" s="401">
        <f t="shared" si="384"/>
        <v>0</v>
      </c>
      <c r="BA255" s="401">
        <f t="shared" si="384"/>
        <v>0</v>
      </c>
      <c r="BB255" s="401">
        <f t="shared" si="384"/>
        <v>0</v>
      </c>
      <c r="BC255" s="401">
        <f t="shared" si="384"/>
        <v>0</v>
      </c>
      <c r="BD255" s="401">
        <f t="shared" si="384"/>
        <v>0</v>
      </c>
      <c r="BE255" s="401">
        <f t="shared" si="384"/>
        <v>0</v>
      </c>
      <c r="BF255" s="401">
        <f t="shared" si="384"/>
        <v>0</v>
      </c>
      <c r="BG255" s="401">
        <f t="shared" si="384"/>
        <v>0</v>
      </c>
      <c r="BH255" s="401">
        <f t="shared" si="384"/>
        <v>0</v>
      </c>
      <c r="BI255" s="401">
        <f t="shared" si="384"/>
        <v>0</v>
      </c>
      <c r="BJ255" s="401">
        <f t="shared" si="384"/>
        <v>0</v>
      </c>
      <c r="BK255" s="401">
        <f t="shared" si="384"/>
        <v>0</v>
      </c>
      <c r="BL255" s="401">
        <f t="shared" si="384"/>
        <v>0</v>
      </c>
      <c r="BM255" s="401">
        <f t="shared" si="384"/>
        <v>0</v>
      </c>
      <c r="BN255" s="401">
        <f t="shared" si="384"/>
        <v>0</v>
      </c>
      <c r="BO255" s="401">
        <f t="shared" si="384"/>
        <v>0</v>
      </c>
      <c r="BP255" s="401">
        <f t="shared" si="384"/>
        <v>0</v>
      </c>
    </row>
    <row r="256" spans="2:68" outlineLevel="1" x14ac:dyDescent="0.2">
      <c r="B256" s="20"/>
      <c r="C256" s="80"/>
      <c r="D256" s="81" t="str">
        <f>$D$172</f>
        <v>EBSS</v>
      </c>
      <c r="E256" s="80"/>
      <c r="F256" s="80"/>
      <c r="G256" s="477">
        <f>Assumptions!$H$193</f>
        <v>1</v>
      </c>
      <c r="H256" s="477">
        <f>Assumptions!$I$193</f>
        <v>1</v>
      </c>
      <c r="I256" s="83"/>
      <c r="J256" s="85"/>
      <c r="K256" s="401"/>
      <c r="L256" s="436"/>
      <c r="M256" s="457"/>
      <c r="N256" s="455"/>
      <c r="O256" s="455"/>
      <c r="P256" s="455"/>
      <c r="Q256" s="455"/>
      <c r="R256" s="401"/>
      <c r="S256" s="401"/>
      <c r="T256" s="401"/>
      <c r="U256" s="401"/>
      <c r="V256" s="401"/>
      <c r="W256" s="401"/>
      <c r="X256" s="401"/>
      <c r="Y256" s="401"/>
      <c r="Z256" s="401"/>
      <c r="AA256" s="401"/>
      <c r="AB256" s="401"/>
      <c r="AC256" s="401"/>
      <c r="AD256" s="401"/>
      <c r="AE256" s="401"/>
      <c r="AF256" s="401"/>
      <c r="AG256" s="401"/>
      <c r="AH256" s="401"/>
      <c r="AI256" s="401"/>
      <c r="AJ256" s="401"/>
      <c r="AK256" s="401"/>
      <c r="AL256" s="401"/>
      <c r="AM256" s="401"/>
      <c r="AN256" s="401"/>
      <c r="AO256" s="401"/>
      <c r="AP256" s="401"/>
      <c r="AQ256" s="401"/>
      <c r="AR256" s="401"/>
      <c r="AS256" s="401"/>
      <c r="AT256" s="401"/>
      <c r="AU256" s="401"/>
      <c r="AV256" s="401"/>
      <c r="AW256" s="401"/>
      <c r="AX256" s="401"/>
      <c r="AY256" s="401"/>
      <c r="AZ256" s="401"/>
      <c r="BA256" s="401"/>
      <c r="BB256" s="401"/>
      <c r="BC256" s="401"/>
      <c r="BD256" s="401"/>
      <c r="BE256" s="401"/>
      <c r="BF256" s="401"/>
      <c r="BG256" s="401"/>
      <c r="BH256" s="401"/>
      <c r="BI256" s="401"/>
      <c r="BJ256" s="401"/>
      <c r="BK256" s="401"/>
      <c r="BL256" s="401"/>
      <c r="BM256" s="401"/>
      <c r="BN256" s="401"/>
      <c r="BO256" s="401"/>
      <c r="BP256" s="401"/>
    </row>
    <row r="257" spans="2:68" outlineLevel="1" x14ac:dyDescent="0.2">
      <c r="B257" s="20"/>
      <c r="C257" s="80"/>
      <c r="D257" s="92" t="s">
        <v>64</v>
      </c>
      <c r="E257" s="80"/>
      <c r="F257" s="80"/>
      <c r="G257" s="477">
        <f>Assumptions!$H$193</f>
        <v>1</v>
      </c>
      <c r="H257" s="477">
        <f>Assumptions!$I$193</f>
        <v>1</v>
      </c>
      <c r="I257" s="83"/>
      <c r="J257" s="85" t="str">
        <f>Assumptions!$K$193</f>
        <v>EBSS</v>
      </c>
      <c r="K257" s="401"/>
      <c r="L257" s="436">
        <f>SUM(R257:BP257)</f>
        <v>0</v>
      </c>
      <c r="M257" s="457"/>
      <c r="N257" s="455"/>
      <c r="O257" s="455"/>
      <c r="P257" s="455"/>
      <c r="Q257" s="455"/>
      <c r="R257" s="401">
        <f t="shared" ref="R257:AW257" si="385">IF($L$217="On",R217*R173,R173)</f>
        <v>0</v>
      </c>
      <c r="S257" s="401">
        <f t="shared" si="385"/>
        <v>0</v>
      </c>
      <c r="T257" s="401">
        <f t="shared" si="385"/>
        <v>0</v>
      </c>
      <c r="U257" s="401">
        <f t="shared" si="385"/>
        <v>0</v>
      </c>
      <c r="V257" s="401">
        <f t="shared" si="385"/>
        <v>0</v>
      </c>
      <c r="W257" s="401">
        <f t="shared" si="385"/>
        <v>0</v>
      </c>
      <c r="X257" s="401">
        <f t="shared" si="385"/>
        <v>0</v>
      </c>
      <c r="Y257" s="401">
        <f t="shared" si="385"/>
        <v>0</v>
      </c>
      <c r="Z257" s="401">
        <f t="shared" si="385"/>
        <v>0</v>
      </c>
      <c r="AA257" s="401">
        <f t="shared" si="385"/>
        <v>0</v>
      </c>
      <c r="AB257" s="401">
        <f t="shared" si="385"/>
        <v>0</v>
      </c>
      <c r="AC257" s="401">
        <f t="shared" si="385"/>
        <v>0</v>
      </c>
      <c r="AD257" s="401">
        <f t="shared" si="385"/>
        <v>0</v>
      </c>
      <c r="AE257" s="401">
        <f t="shared" si="385"/>
        <v>0</v>
      </c>
      <c r="AF257" s="401">
        <f t="shared" si="385"/>
        <v>0</v>
      </c>
      <c r="AG257" s="401">
        <f t="shared" si="385"/>
        <v>0</v>
      </c>
      <c r="AH257" s="401">
        <f t="shared" si="385"/>
        <v>0</v>
      </c>
      <c r="AI257" s="401">
        <f t="shared" si="385"/>
        <v>0</v>
      </c>
      <c r="AJ257" s="401">
        <f t="shared" si="385"/>
        <v>0</v>
      </c>
      <c r="AK257" s="401">
        <f t="shared" si="385"/>
        <v>0</v>
      </c>
      <c r="AL257" s="401">
        <f t="shared" si="385"/>
        <v>0</v>
      </c>
      <c r="AM257" s="401">
        <f t="shared" si="385"/>
        <v>0</v>
      </c>
      <c r="AN257" s="401">
        <f t="shared" si="385"/>
        <v>0</v>
      </c>
      <c r="AO257" s="401">
        <f t="shared" si="385"/>
        <v>0</v>
      </c>
      <c r="AP257" s="401">
        <f t="shared" si="385"/>
        <v>0</v>
      </c>
      <c r="AQ257" s="401">
        <f t="shared" si="385"/>
        <v>0</v>
      </c>
      <c r="AR257" s="401">
        <f t="shared" si="385"/>
        <v>0</v>
      </c>
      <c r="AS257" s="401">
        <f t="shared" si="385"/>
        <v>0</v>
      </c>
      <c r="AT257" s="401">
        <f t="shared" si="385"/>
        <v>0</v>
      </c>
      <c r="AU257" s="401">
        <f t="shared" si="385"/>
        <v>0</v>
      </c>
      <c r="AV257" s="401">
        <f t="shared" si="385"/>
        <v>0</v>
      </c>
      <c r="AW257" s="401">
        <f t="shared" si="385"/>
        <v>0</v>
      </c>
      <c r="AX257" s="401">
        <f t="shared" ref="AX257:BP257" si="386">IF($L$217="On",AX217*AX173,AX173)</f>
        <v>0</v>
      </c>
      <c r="AY257" s="401">
        <f t="shared" si="386"/>
        <v>0</v>
      </c>
      <c r="AZ257" s="401">
        <f t="shared" si="386"/>
        <v>0</v>
      </c>
      <c r="BA257" s="401">
        <f t="shared" si="386"/>
        <v>0</v>
      </c>
      <c r="BB257" s="401">
        <f t="shared" si="386"/>
        <v>0</v>
      </c>
      <c r="BC257" s="401">
        <f t="shared" si="386"/>
        <v>0</v>
      </c>
      <c r="BD257" s="401">
        <f t="shared" si="386"/>
        <v>0</v>
      </c>
      <c r="BE257" s="401">
        <f t="shared" si="386"/>
        <v>0</v>
      </c>
      <c r="BF257" s="401">
        <f t="shared" si="386"/>
        <v>0</v>
      </c>
      <c r="BG257" s="401">
        <f t="shared" si="386"/>
        <v>0</v>
      </c>
      <c r="BH257" s="401">
        <f t="shared" si="386"/>
        <v>0</v>
      </c>
      <c r="BI257" s="401">
        <f t="shared" si="386"/>
        <v>0</v>
      </c>
      <c r="BJ257" s="401">
        <f t="shared" si="386"/>
        <v>0</v>
      </c>
      <c r="BK257" s="401">
        <f t="shared" si="386"/>
        <v>0</v>
      </c>
      <c r="BL257" s="401">
        <f t="shared" si="386"/>
        <v>0</v>
      </c>
      <c r="BM257" s="401">
        <f t="shared" si="386"/>
        <v>0</v>
      </c>
      <c r="BN257" s="401">
        <f t="shared" si="386"/>
        <v>0</v>
      </c>
      <c r="BO257" s="401">
        <f t="shared" si="386"/>
        <v>0</v>
      </c>
      <c r="BP257" s="401">
        <f t="shared" si="386"/>
        <v>0</v>
      </c>
    </row>
    <row r="258" spans="2:68" outlineLevel="1" x14ac:dyDescent="0.2">
      <c r="B258" s="20"/>
      <c r="C258" s="80"/>
      <c r="D258" s="92" t="s">
        <v>63</v>
      </c>
      <c r="E258" s="80"/>
      <c r="F258" s="80"/>
      <c r="G258" s="477">
        <f>Assumptions!$H$193</f>
        <v>1</v>
      </c>
      <c r="H258" s="477">
        <f>Assumptions!$I$193</f>
        <v>1</v>
      </c>
      <c r="I258" s="83"/>
      <c r="J258" s="85" t="str">
        <f>Assumptions!$K$193</f>
        <v>EBSS</v>
      </c>
      <c r="K258" s="401"/>
      <c r="L258" s="436">
        <f>SUM(R258:BP258)</f>
        <v>0</v>
      </c>
      <c r="M258" s="457"/>
      <c r="N258" s="455"/>
      <c r="O258" s="455"/>
      <c r="P258" s="455"/>
      <c r="Q258" s="455"/>
      <c r="R258" s="401">
        <f t="shared" ref="R258:AW258" si="387">IF($L$217="On",R217*R174,R174)</f>
        <v>0</v>
      </c>
      <c r="S258" s="401">
        <f t="shared" si="387"/>
        <v>0</v>
      </c>
      <c r="T258" s="401">
        <f t="shared" si="387"/>
        <v>0</v>
      </c>
      <c r="U258" s="401">
        <f t="shared" si="387"/>
        <v>0</v>
      </c>
      <c r="V258" s="401">
        <f t="shared" si="387"/>
        <v>0</v>
      </c>
      <c r="W258" s="401">
        <f t="shared" si="387"/>
        <v>0</v>
      </c>
      <c r="X258" s="401">
        <f t="shared" si="387"/>
        <v>0</v>
      </c>
      <c r="Y258" s="401">
        <f t="shared" si="387"/>
        <v>0</v>
      </c>
      <c r="Z258" s="401">
        <f t="shared" si="387"/>
        <v>0</v>
      </c>
      <c r="AA258" s="401">
        <f t="shared" si="387"/>
        <v>0</v>
      </c>
      <c r="AB258" s="401">
        <f t="shared" si="387"/>
        <v>0</v>
      </c>
      <c r="AC258" s="401">
        <f t="shared" si="387"/>
        <v>0</v>
      </c>
      <c r="AD258" s="401">
        <f t="shared" si="387"/>
        <v>0</v>
      </c>
      <c r="AE258" s="401">
        <f t="shared" si="387"/>
        <v>0</v>
      </c>
      <c r="AF258" s="401">
        <f t="shared" si="387"/>
        <v>0</v>
      </c>
      <c r="AG258" s="401">
        <f t="shared" si="387"/>
        <v>0</v>
      </c>
      <c r="AH258" s="401">
        <f t="shared" si="387"/>
        <v>0</v>
      </c>
      <c r="AI258" s="401">
        <f t="shared" si="387"/>
        <v>0</v>
      </c>
      <c r="AJ258" s="401">
        <f t="shared" si="387"/>
        <v>0</v>
      </c>
      <c r="AK258" s="401">
        <f t="shared" si="387"/>
        <v>0</v>
      </c>
      <c r="AL258" s="401">
        <f t="shared" si="387"/>
        <v>0</v>
      </c>
      <c r="AM258" s="401">
        <f t="shared" si="387"/>
        <v>0</v>
      </c>
      <c r="AN258" s="401">
        <f t="shared" si="387"/>
        <v>0</v>
      </c>
      <c r="AO258" s="401">
        <f t="shared" si="387"/>
        <v>0</v>
      </c>
      <c r="AP258" s="401">
        <f t="shared" si="387"/>
        <v>0</v>
      </c>
      <c r="AQ258" s="401">
        <f t="shared" si="387"/>
        <v>0</v>
      </c>
      <c r="AR258" s="401">
        <f t="shared" si="387"/>
        <v>0</v>
      </c>
      <c r="AS258" s="401">
        <f t="shared" si="387"/>
        <v>0</v>
      </c>
      <c r="AT258" s="401">
        <f t="shared" si="387"/>
        <v>0</v>
      </c>
      <c r="AU258" s="401">
        <f t="shared" si="387"/>
        <v>0</v>
      </c>
      <c r="AV258" s="401">
        <f t="shared" si="387"/>
        <v>0</v>
      </c>
      <c r="AW258" s="401">
        <f t="shared" si="387"/>
        <v>0</v>
      </c>
      <c r="AX258" s="401">
        <f t="shared" ref="AX258:BP258" si="388">IF($L$217="On",AX217*AX174,AX174)</f>
        <v>0</v>
      </c>
      <c r="AY258" s="401">
        <f t="shared" si="388"/>
        <v>0</v>
      </c>
      <c r="AZ258" s="401">
        <f t="shared" si="388"/>
        <v>0</v>
      </c>
      <c r="BA258" s="401">
        <f t="shared" si="388"/>
        <v>0</v>
      </c>
      <c r="BB258" s="401">
        <f t="shared" si="388"/>
        <v>0</v>
      </c>
      <c r="BC258" s="401">
        <f t="shared" si="388"/>
        <v>0</v>
      </c>
      <c r="BD258" s="401">
        <f t="shared" si="388"/>
        <v>0</v>
      </c>
      <c r="BE258" s="401">
        <f t="shared" si="388"/>
        <v>0</v>
      </c>
      <c r="BF258" s="401">
        <f t="shared" si="388"/>
        <v>0</v>
      </c>
      <c r="BG258" s="401">
        <f t="shared" si="388"/>
        <v>0</v>
      </c>
      <c r="BH258" s="401">
        <f t="shared" si="388"/>
        <v>0</v>
      </c>
      <c r="BI258" s="401">
        <f t="shared" si="388"/>
        <v>0</v>
      </c>
      <c r="BJ258" s="401">
        <f t="shared" si="388"/>
        <v>0</v>
      </c>
      <c r="BK258" s="401">
        <f t="shared" si="388"/>
        <v>0</v>
      </c>
      <c r="BL258" s="401">
        <f t="shared" si="388"/>
        <v>0</v>
      </c>
      <c r="BM258" s="401">
        <f t="shared" si="388"/>
        <v>0</v>
      </c>
      <c r="BN258" s="401">
        <f t="shared" si="388"/>
        <v>0</v>
      </c>
      <c r="BO258" s="401">
        <f t="shared" si="388"/>
        <v>0</v>
      </c>
      <c r="BP258" s="401">
        <f t="shared" si="388"/>
        <v>0</v>
      </c>
    </row>
    <row r="259" spans="2:68" outlineLevel="1" x14ac:dyDescent="0.2">
      <c r="B259" s="20"/>
      <c r="C259" s="80"/>
      <c r="D259" s="81" t="str">
        <f>$D$175</f>
        <v>CESS</v>
      </c>
      <c r="E259" s="80"/>
      <c r="F259" s="80"/>
      <c r="G259" s="450"/>
      <c r="H259" s="83"/>
      <c r="I259" s="83"/>
      <c r="J259" s="85"/>
      <c r="K259" s="401"/>
      <c r="L259" s="80"/>
      <c r="M259" s="457"/>
      <c r="N259" s="455"/>
      <c r="O259" s="455"/>
      <c r="P259" s="455"/>
      <c r="Q259" s="455"/>
      <c r="R259" s="80"/>
      <c r="S259" s="80"/>
      <c r="T259" s="80"/>
      <c r="U259" s="80"/>
      <c r="V259" s="80"/>
      <c r="W259" s="80"/>
      <c r="X259" s="80"/>
      <c r="Y259" s="80"/>
      <c r="Z259" s="80"/>
      <c r="AA259" s="80"/>
      <c r="AB259" s="80"/>
      <c r="AC259" s="80"/>
      <c r="AD259" s="80"/>
      <c r="AE259" s="80"/>
      <c r="AF259" s="80"/>
      <c r="AG259" s="80"/>
      <c r="AH259" s="80"/>
      <c r="AI259" s="80"/>
      <c r="AJ259" s="80"/>
      <c r="AK259" s="80"/>
      <c r="AL259" s="80"/>
      <c r="AM259" s="80"/>
      <c r="AN259" s="80"/>
      <c r="AO259" s="80"/>
      <c r="AP259" s="80"/>
      <c r="AQ259" s="80"/>
      <c r="AR259" s="80"/>
      <c r="AS259" s="80"/>
      <c r="AT259" s="80"/>
      <c r="AU259" s="80"/>
      <c r="AV259" s="80"/>
      <c r="AW259" s="80"/>
      <c r="AX259" s="80"/>
      <c r="AY259" s="80"/>
      <c r="AZ259" s="80"/>
      <c r="BA259" s="80"/>
      <c r="BB259" s="80"/>
      <c r="BC259" s="80"/>
      <c r="BD259" s="80"/>
      <c r="BE259" s="80"/>
      <c r="BF259" s="80"/>
      <c r="BG259" s="80"/>
      <c r="BH259" s="80"/>
      <c r="BI259" s="80"/>
      <c r="BJ259" s="80"/>
      <c r="BK259" s="80"/>
      <c r="BL259" s="80"/>
      <c r="BM259" s="80"/>
      <c r="BN259" s="80"/>
      <c r="BO259" s="80"/>
      <c r="BP259" s="80"/>
    </row>
    <row r="260" spans="2:68" outlineLevel="1" x14ac:dyDescent="0.2">
      <c r="B260" s="20"/>
      <c r="C260" s="80"/>
      <c r="D260" s="92" t="s">
        <v>64</v>
      </c>
      <c r="E260" s="80"/>
      <c r="F260" s="80"/>
      <c r="G260" s="477">
        <f>Assumptions!$H$194</f>
        <v>1</v>
      </c>
      <c r="H260" s="477">
        <f>Assumptions!$I$194</f>
        <v>1</v>
      </c>
      <c r="I260" s="83"/>
      <c r="J260" s="486" t="str">
        <f>Assumptions!$K$194</f>
        <v>CESS</v>
      </c>
      <c r="K260" s="401"/>
      <c r="L260" s="436">
        <f>SUM(R260:BP260)</f>
        <v>0</v>
      </c>
      <c r="M260" s="457"/>
      <c r="N260" s="455"/>
      <c r="O260" s="455"/>
      <c r="P260" s="455"/>
      <c r="Q260" s="455"/>
      <c r="R260" s="401">
        <f t="shared" ref="R260:AW260" si="389">IF($L$217="On",R217*R176,R176)</f>
        <v>0</v>
      </c>
      <c r="S260" s="401">
        <f t="shared" si="389"/>
        <v>0</v>
      </c>
      <c r="T260" s="401">
        <f t="shared" si="389"/>
        <v>0</v>
      </c>
      <c r="U260" s="401">
        <f t="shared" si="389"/>
        <v>0</v>
      </c>
      <c r="V260" s="401">
        <f t="shared" si="389"/>
        <v>0</v>
      </c>
      <c r="W260" s="401">
        <f t="shared" si="389"/>
        <v>0</v>
      </c>
      <c r="X260" s="401">
        <f t="shared" si="389"/>
        <v>0</v>
      </c>
      <c r="Y260" s="401">
        <f t="shared" si="389"/>
        <v>0</v>
      </c>
      <c r="Z260" s="401">
        <f t="shared" si="389"/>
        <v>0</v>
      </c>
      <c r="AA260" s="401">
        <f t="shared" si="389"/>
        <v>0</v>
      </c>
      <c r="AB260" s="401">
        <f t="shared" si="389"/>
        <v>0</v>
      </c>
      <c r="AC260" s="401">
        <f t="shared" si="389"/>
        <v>0</v>
      </c>
      <c r="AD260" s="401">
        <f t="shared" si="389"/>
        <v>0</v>
      </c>
      <c r="AE260" s="401">
        <f t="shared" si="389"/>
        <v>0</v>
      </c>
      <c r="AF260" s="401">
        <f t="shared" si="389"/>
        <v>0</v>
      </c>
      <c r="AG260" s="401">
        <f t="shared" si="389"/>
        <v>0</v>
      </c>
      <c r="AH260" s="401">
        <f t="shared" si="389"/>
        <v>0</v>
      </c>
      <c r="AI260" s="401">
        <f t="shared" si="389"/>
        <v>0</v>
      </c>
      <c r="AJ260" s="401">
        <f t="shared" si="389"/>
        <v>0</v>
      </c>
      <c r="AK260" s="401">
        <f t="shared" si="389"/>
        <v>0</v>
      </c>
      <c r="AL260" s="401">
        <f t="shared" si="389"/>
        <v>0</v>
      </c>
      <c r="AM260" s="401">
        <f t="shared" si="389"/>
        <v>0</v>
      </c>
      <c r="AN260" s="401">
        <f t="shared" si="389"/>
        <v>0</v>
      </c>
      <c r="AO260" s="401">
        <f t="shared" si="389"/>
        <v>0</v>
      </c>
      <c r="AP260" s="401">
        <f t="shared" si="389"/>
        <v>0</v>
      </c>
      <c r="AQ260" s="401">
        <f t="shared" si="389"/>
        <v>0</v>
      </c>
      <c r="AR260" s="401">
        <f t="shared" si="389"/>
        <v>0</v>
      </c>
      <c r="AS260" s="401">
        <f t="shared" si="389"/>
        <v>0</v>
      </c>
      <c r="AT260" s="401">
        <f t="shared" si="389"/>
        <v>0</v>
      </c>
      <c r="AU260" s="401">
        <f t="shared" si="389"/>
        <v>0</v>
      </c>
      <c r="AV260" s="401">
        <f t="shared" si="389"/>
        <v>0</v>
      </c>
      <c r="AW260" s="401">
        <f t="shared" si="389"/>
        <v>0</v>
      </c>
      <c r="AX260" s="401">
        <f t="shared" ref="AX260:BP260" si="390">IF($L$217="On",AX217*AX176,AX176)</f>
        <v>0</v>
      </c>
      <c r="AY260" s="401">
        <f t="shared" si="390"/>
        <v>0</v>
      </c>
      <c r="AZ260" s="401">
        <f t="shared" si="390"/>
        <v>0</v>
      </c>
      <c r="BA260" s="401">
        <f t="shared" si="390"/>
        <v>0</v>
      </c>
      <c r="BB260" s="401">
        <f t="shared" si="390"/>
        <v>0</v>
      </c>
      <c r="BC260" s="401">
        <f t="shared" si="390"/>
        <v>0</v>
      </c>
      <c r="BD260" s="401">
        <f t="shared" si="390"/>
        <v>0</v>
      </c>
      <c r="BE260" s="401">
        <f t="shared" si="390"/>
        <v>0</v>
      </c>
      <c r="BF260" s="401">
        <f t="shared" si="390"/>
        <v>0</v>
      </c>
      <c r="BG260" s="401">
        <f t="shared" si="390"/>
        <v>0</v>
      </c>
      <c r="BH260" s="401">
        <f t="shared" si="390"/>
        <v>0</v>
      </c>
      <c r="BI260" s="401">
        <f t="shared" si="390"/>
        <v>0</v>
      </c>
      <c r="BJ260" s="401">
        <f t="shared" si="390"/>
        <v>0</v>
      </c>
      <c r="BK260" s="401">
        <f t="shared" si="390"/>
        <v>0</v>
      </c>
      <c r="BL260" s="401">
        <f t="shared" si="390"/>
        <v>0</v>
      </c>
      <c r="BM260" s="401">
        <f t="shared" si="390"/>
        <v>0</v>
      </c>
      <c r="BN260" s="401">
        <f t="shared" si="390"/>
        <v>0</v>
      </c>
      <c r="BO260" s="401">
        <f t="shared" si="390"/>
        <v>0</v>
      </c>
      <c r="BP260" s="401">
        <f t="shared" si="390"/>
        <v>0</v>
      </c>
    </row>
    <row r="261" spans="2:68" outlineLevel="1" x14ac:dyDescent="0.2">
      <c r="B261" s="20"/>
      <c r="C261" s="80"/>
      <c r="D261" s="92" t="s">
        <v>63</v>
      </c>
      <c r="E261" s="80"/>
      <c r="F261" s="80"/>
      <c r="G261" s="477">
        <f>Assumptions!$H$195</f>
        <v>1</v>
      </c>
      <c r="H261" s="477">
        <f>Assumptions!$I$195</f>
        <v>-1</v>
      </c>
      <c r="I261" s="83"/>
      <c r="J261" s="486" t="str">
        <f>Assumptions!$K$194</f>
        <v>CESS</v>
      </c>
      <c r="K261" s="401"/>
      <c r="L261" s="436">
        <f>SUM(R261:BP261)</f>
        <v>0</v>
      </c>
      <c r="M261" s="457"/>
      <c r="N261" s="455"/>
      <c r="O261" s="455"/>
      <c r="P261" s="455"/>
      <c r="Q261" s="455"/>
      <c r="R261" s="401">
        <f t="shared" ref="R261:AW261" si="391">IF($L$217="On",R217*R177,R177)</f>
        <v>0</v>
      </c>
      <c r="S261" s="401">
        <f t="shared" si="391"/>
        <v>0</v>
      </c>
      <c r="T261" s="401">
        <f t="shared" si="391"/>
        <v>0</v>
      </c>
      <c r="U261" s="401">
        <f t="shared" si="391"/>
        <v>0</v>
      </c>
      <c r="V261" s="401">
        <f t="shared" si="391"/>
        <v>0</v>
      </c>
      <c r="W261" s="401">
        <f t="shared" si="391"/>
        <v>0</v>
      </c>
      <c r="X261" s="401">
        <f t="shared" si="391"/>
        <v>0</v>
      </c>
      <c r="Y261" s="401">
        <f t="shared" si="391"/>
        <v>0</v>
      </c>
      <c r="Z261" s="401">
        <f t="shared" si="391"/>
        <v>0</v>
      </c>
      <c r="AA261" s="401">
        <f t="shared" si="391"/>
        <v>0</v>
      </c>
      <c r="AB261" s="401">
        <f t="shared" si="391"/>
        <v>0</v>
      </c>
      <c r="AC261" s="401">
        <f t="shared" si="391"/>
        <v>0</v>
      </c>
      <c r="AD261" s="401">
        <f t="shared" si="391"/>
        <v>0</v>
      </c>
      <c r="AE261" s="401">
        <f t="shared" si="391"/>
        <v>0</v>
      </c>
      <c r="AF261" s="401">
        <f t="shared" si="391"/>
        <v>0</v>
      </c>
      <c r="AG261" s="401">
        <f t="shared" si="391"/>
        <v>0</v>
      </c>
      <c r="AH261" s="401">
        <f t="shared" si="391"/>
        <v>0</v>
      </c>
      <c r="AI261" s="401">
        <f t="shared" si="391"/>
        <v>0</v>
      </c>
      <c r="AJ261" s="401">
        <f t="shared" si="391"/>
        <v>0</v>
      </c>
      <c r="AK261" s="401">
        <f t="shared" si="391"/>
        <v>0</v>
      </c>
      <c r="AL261" s="401">
        <f t="shared" si="391"/>
        <v>0</v>
      </c>
      <c r="AM261" s="401">
        <f t="shared" si="391"/>
        <v>0</v>
      </c>
      <c r="AN261" s="401">
        <f t="shared" si="391"/>
        <v>0</v>
      </c>
      <c r="AO261" s="401">
        <f t="shared" si="391"/>
        <v>0</v>
      </c>
      <c r="AP261" s="401">
        <f t="shared" si="391"/>
        <v>0</v>
      </c>
      <c r="AQ261" s="401">
        <f t="shared" si="391"/>
        <v>0</v>
      </c>
      <c r="AR261" s="401">
        <f t="shared" si="391"/>
        <v>0</v>
      </c>
      <c r="AS261" s="401">
        <f t="shared" si="391"/>
        <v>0</v>
      </c>
      <c r="AT261" s="401">
        <f t="shared" si="391"/>
        <v>0</v>
      </c>
      <c r="AU261" s="401">
        <f t="shared" si="391"/>
        <v>0</v>
      </c>
      <c r="AV261" s="401">
        <f t="shared" si="391"/>
        <v>0</v>
      </c>
      <c r="AW261" s="401">
        <f t="shared" si="391"/>
        <v>0</v>
      </c>
      <c r="AX261" s="401">
        <f t="shared" ref="AX261:BP261" si="392">IF($L$217="On",AX217*AX177,AX177)</f>
        <v>0</v>
      </c>
      <c r="AY261" s="401">
        <f t="shared" si="392"/>
        <v>0</v>
      </c>
      <c r="AZ261" s="401">
        <f t="shared" si="392"/>
        <v>0</v>
      </c>
      <c r="BA261" s="401">
        <f t="shared" si="392"/>
        <v>0</v>
      </c>
      <c r="BB261" s="401">
        <f t="shared" si="392"/>
        <v>0</v>
      </c>
      <c r="BC261" s="401">
        <f t="shared" si="392"/>
        <v>0</v>
      </c>
      <c r="BD261" s="401">
        <f t="shared" si="392"/>
        <v>0</v>
      </c>
      <c r="BE261" s="401">
        <f t="shared" si="392"/>
        <v>0</v>
      </c>
      <c r="BF261" s="401">
        <f t="shared" si="392"/>
        <v>0</v>
      </c>
      <c r="BG261" s="401">
        <f t="shared" si="392"/>
        <v>0</v>
      </c>
      <c r="BH261" s="401">
        <f t="shared" si="392"/>
        <v>0</v>
      </c>
      <c r="BI261" s="401">
        <f t="shared" si="392"/>
        <v>0</v>
      </c>
      <c r="BJ261" s="401">
        <f t="shared" si="392"/>
        <v>0</v>
      </c>
      <c r="BK261" s="401">
        <f t="shared" si="392"/>
        <v>0</v>
      </c>
      <c r="BL261" s="401">
        <f t="shared" si="392"/>
        <v>0</v>
      </c>
      <c r="BM261" s="401">
        <f t="shared" si="392"/>
        <v>0</v>
      </c>
      <c r="BN261" s="401">
        <f t="shared" si="392"/>
        <v>0</v>
      </c>
      <c r="BO261" s="401">
        <f t="shared" si="392"/>
        <v>0</v>
      </c>
      <c r="BP261" s="401">
        <f t="shared" si="392"/>
        <v>0</v>
      </c>
    </row>
    <row r="262" spans="2:68" outlineLevel="1" x14ac:dyDescent="0.2">
      <c r="B262" s="20"/>
      <c r="C262" s="80"/>
      <c r="D262" s="81" t="str">
        <f>$D$178</f>
        <v>DMIS</v>
      </c>
      <c r="E262" s="80"/>
      <c r="F262" s="80"/>
      <c r="G262" s="477">
        <f>Assumptions!$H$195</f>
        <v>1</v>
      </c>
      <c r="H262" s="477">
        <f>Assumptions!$I$195</f>
        <v>-1</v>
      </c>
      <c r="I262" s="83"/>
      <c r="J262" s="85" t="str">
        <f>Assumptions!$K$195</f>
        <v>DMIS</v>
      </c>
      <c r="K262" s="401"/>
      <c r="L262" s="436">
        <f>SUM(R262:BP262)</f>
        <v>0</v>
      </c>
      <c r="M262" s="457"/>
      <c r="N262" s="455"/>
      <c r="O262" s="455"/>
      <c r="P262" s="455"/>
      <c r="Q262" s="455"/>
      <c r="R262" s="401">
        <f t="shared" ref="R262:AW262" si="393">IF($L$217="On",R217*R178,R178)</f>
        <v>0</v>
      </c>
      <c r="S262" s="401">
        <f t="shared" si="393"/>
        <v>0</v>
      </c>
      <c r="T262" s="401">
        <f t="shared" si="393"/>
        <v>0</v>
      </c>
      <c r="U262" s="401">
        <f t="shared" si="393"/>
        <v>0</v>
      </c>
      <c r="V262" s="401">
        <f t="shared" si="393"/>
        <v>0</v>
      </c>
      <c r="W262" s="401">
        <f t="shared" si="393"/>
        <v>0</v>
      </c>
      <c r="X262" s="401">
        <f t="shared" si="393"/>
        <v>0</v>
      </c>
      <c r="Y262" s="401">
        <f t="shared" si="393"/>
        <v>0</v>
      </c>
      <c r="Z262" s="401">
        <f t="shared" si="393"/>
        <v>0</v>
      </c>
      <c r="AA262" s="401">
        <f t="shared" si="393"/>
        <v>0</v>
      </c>
      <c r="AB262" s="401">
        <f t="shared" si="393"/>
        <v>0</v>
      </c>
      <c r="AC262" s="401">
        <f t="shared" si="393"/>
        <v>0</v>
      </c>
      <c r="AD262" s="401">
        <f t="shared" si="393"/>
        <v>0</v>
      </c>
      <c r="AE262" s="401">
        <f t="shared" si="393"/>
        <v>0</v>
      </c>
      <c r="AF262" s="401">
        <f t="shared" si="393"/>
        <v>0</v>
      </c>
      <c r="AG262" s="401">
        <f t="shared" si="393"/>
        <v>0</v>
      </c>
      <c r="AH262" s="401">
        <f t="shared" si="393"/>
        <v>0</v>
      </c>
      <c r="AI262" s="401">
        <f t="shared" si="393"/>
        <v>0</v>
      </c>
      <c r="AJ262" s="401">
        <f t="shared" si="393"/>
        <v>0</v>
      </c>
      <c r="AK262" s="401">
        <f t="shared" si="393"/>
        <v>0</v>
      </c>
      <c r="AL262" s="401">
        <f t="shared" si="393"/>
        <v>0</v>
      </c>
      <c r="AM262" s="401">
        <f t="shared" si="393"/>
        <v>0</v>
      </c>
      <c r="AN262" s="401">
        <f t="shared" si="393"/>
        <v>0</v>
      </c>
      <c r="AO262" s="401">
        <f t="shared" si="393"/>
        <v>0</v>
      </c>
      <c r="AP262" s="401">
        <f t="shared" si="393"/>
        <v>0</v>
      </c>
      <c r="AQ262" s="401">
        <f t="shared" si="393"/>
        <v>0</v>
      </c>
      <c r="AR262" s="401">
        <f t="shared" si="393"/>
        <v>0</v>
      </c>
      <c r="AS262" s="401">
        <f t="shared" si="393"/>
        <v>0</v>
      </c>
      <c r="AT262" s="401">
        <f t="shared" si="393"/>
        <v>0</v>
      </c>
      <c r="AU262" s="401">
        <f t="shared" si="393"/>
        <v>0</v>
      </c>
      <c r="AV262" s="401">
        <f t="shared" si="393"/>
        <v>0</v>
      </c>
      <c r="AW262" s="401">
        <f t="shared" si="393"/>
        <v>0</v>
      </c>
      <c r="AX262" s="401">
        <f t="shared" ref="AX262:BP262" si="394">IF($L$217="On",AX217*AX178,AX178)</f>
        <v>0</v>
      </c>
      <c r="AY262" s="401">
        <f t="shared" si="394"/>
        <v>0</v>
      </c>
      <c r="AZ262" s="401">
        <f t="shared" si="394"/>
        <v>0</v>
      </c>
      <c r="BA262" s="401">
        <f t="shared" si="394"/>
        <v>0</v>
      </c>
      <c r="BB262" s="401">
        <f t="shared" si="394"/>
        <v>0</v>
      </c>
      <c r="BC262" s="401">
        <f t="shared" si="394"/>
        <v>0</v>
      </c>
      <c r="BD262" s="401">
        <f t="shared" si="394"/>
        <v>0</v>
      </c>
      <c r="BE262" s="401">
        <f t="shared" si="394"/>
        <v>0</v>
      </c>
      <c r="BF262" s="401">
        <f t="shared" si="394"/>
        <v>0</v>
      </c>
      <c r="BG262" s="401">
        <f t="shared" si="394"/>
        <v>0</v>
      </c>
      <c r="BH262" s="401">
        <f t="shared" si="394"/>
        <v>0</v>
      </c>
      <c r="BI262" s="401">
        <f t="shared" si="394"/>
        <v>0</v>
      </c>
      <c r="BJ262" s="401">
        <f t="shared" si="394"/>
        <v>0</v>
      </c>
      <c r="BK262" s="401">
        <f t="shared" si="394"/>
        <v>0</v>
      </c>
      <c r="BL262" s="401">
        <f t="shared" si="394"/>
        <v>0</v>
      </c>
      <c r="BM262" s="401">
        <f t="shared" si="394"/>
        <v>0</v>
      </c>
      <c r="BN262" s="401">
        <f t="shared" si="394"/>
        <v>0</v>
      </c>
      <c r="BO262" s="401">
        <f t="shared" si="394"/>
        <v>0</v>
      </c>
      <c r="BP262" s="401">
        <f t="shared" si="394"/>
        <v>0</v>
      </c>
    </row>
    <row r="263" spans="2:68" outlineLevel="1" x14ac:dyDescent="0.2">
      <c r="B263" s="20"/>
      <c r="C263" s="80"/>
      <c r="D263" s="81"/>
      <c r="E263" s="80"/>
      <c r="F263" s="80"/>
      <c r="G263" s="83"/>
      <c r="H263" s="83"/>
      <c r="I263" s="83"/>
      <c r="J263" s="85"/>
      <c r="K263" s="401"/>
      <c r="L263" s="436"/>
      <c r="M263" s="437"/>
      <c r="N263" s="401"/>
      <c r="O263" s="401"/>
      <c r="P263" s="401"/>
      <c r="Q263" s="401"/>
      <c r="R263" s="401"/>
      <c r="S263" s="401"/>
      <c r="T263" s="401"/>
      <c r="U263" s="401"/>
      <c r="V263" s="401"/>
      <c r="W263" s="401"/>
      <c r="X263" s="401"/>
      <c r="Y263" s="401"/>
      <c r="Z263" s="401"/>
      <c r="AA263" s="401"/>
      <c r="AB263" s="401"/>
      <c r="AC263" s="401"/>
      <c r="AD263" s="401"/>
      <c r="AE263" s="401"/>
      <c r="AF263" s="401"/>
      <c r="AG263" s="401"/>
      <c r="AH263" s="401"/>
      <c r="AI263" s="401"/>
      <c r="AJ263" s="401"/>
      <c r="AK263" s="401"/>
      <c r="AL263" s="401"/>
      <c r="AM263" s="401"/>
      <c r="AN263" s="401"/>
      <c r="AO263" s="401"/>
      <c r="AP263" s="401"/>
      <c r="AQ263" s="401"/>
      <c r="AR263" s="401"/>
      <c r="AS263" s="401"/>
      <c r="AT263" s="401"/>
      <c r="AU263" s="401"/>
      <c r="AV263" s="401"/>
      <c r="AW263" s="401"/>
      <c r="AX263" s="401"/>
      <c r="AY263" s="401"/>
      <c r="AZ263" s="401"/>
      <c r="BA263" s="401"/>
      <c r="BB263" s="401"/>
      <c r="BC263" s="401"/>
      <c r="BD263" s="401"/>
      <c r="BE263" s="401"/>
      <c r="BF263" s="401"/>
      <c r="BG263" s="401"/>
      <c r="BH263" s="401"/>
      <c r="BI263" s="401"/>
      <c r="BJ263" s="401"/>
      <c r="BK263" s="401"/>
      <c r="BL263" s="401"/>
      <c r="BM263" s="401"/>
      <c r="BN263" s="401"/>
      <c r="BO263" s="401"/>
      <c r="BP263" s="401"/>
    </row>
    <row r="264" spans="2:68" outlineLevel="1" x14ac:dyDescent="0.2">
      <c r="B264" s="20"/>
      <c r="C264" s="80"/>
      <c r="D264" s="32" t="str">
        <f>$D$183</f>
        <v>Probabilistic cost &amp; benefits</v>
      </c>
      <c r="E264" s="80"/>
      <c r="F264" s="80"/>
      <c r="G264" s="83"/>
      <c r="H264" s="83"/>
      <c r="I264" s="83"/>
      <c r="J264" s="85"/>
      <c r="K264" s="401"/>
      <c r="L264" s="436"/>
      <c r="M264" s="437"/>
      <c r="N264" s="401"/>
      <c r="O264" s="401"/>
      <c r="P264" s="401"/>
      <c r="Q264" s="401"/>
      <c r="R264" s="401"/>
      <c r="S264" s="35"/>
      <c r="T264" s="35"/>
      <c r="U264" s="35"/>
      <c r="V264" s="35"/>
      <c r="W264" s="35"/>
      <c r="X264" s="35"/>
      <c r="Y264" s="35"/>
      <c r="Z264" s="35"/>
      <c r="AA264" s="35"/>
      <c r="AB264" s="35"/>
      <c r="AC264" s="35"/>
      <c r="AD264" s="35"/>
      <c r="AE264" s="35"/>
      <c r="AF264" s="35"/>
      <c r="AG264" s="35"/>
      <c r="AH264" s="35"/>
      <c r="AI264" s="35"/>
      <c r="AJ264" s="35"/>
      <c r="AK264" s="35"/>
      <c r="AL264" s="35"/>
      <c r="AM264" s="35"/>
      <c r="AN264" s="35"/>
      <c r="AO264" s="35"/>
      <c r="AP264" s="35"/>
      <c r="AQ264" s="35"/>
      <c r="AR264" s="35"/>
      <c r="AS264" s="35"/>
      <c r="AT264" s="35"/>
      <c r="AU264" s="35"/>
      <c r="AV264" s="35"/>
      <c r="AW264" s="35"/>
      <c r="AX264" s="35"/>
      <c r="AY264" s="35"/>
      <c r="AZ264" s="35"/>
      <c r="BA264" s="35"/>
      <c r="BB264" s="35"/>
      <c r="BC264" s="35"/>
      <c r="BD264" s="35"/>
      <c r="BE264" s="35"/>
      <c r="BF264" s="35"/>
      <c r="BG264" s="35"/>
      <c r="BH264" s="35"/>
      <c r="BI264" s="35"/>
      <c r="BJ264" s="35"/>
      <c r="BK264" s="35"/>
      <c r="BL264" s="35"/>
      <c r="BM264" s="35"/>
      <c r="BN264" s="35"/>
      <c r="BO264" s="35"/>
      <c r="BP264" s="35"/>
    </row>
    <row r="265" spans="2:68" outlineLevel="1" x14ac:dyDescent="0.2">
      <c r="B265" s="20"/>
      <c r="C265" s="80"/>
      <c r="D265" s="81" t="str">
        <f>$D$184</f>
        <v>Safety risk</v>
      </c>
      <c r="E265" s="80"/>
      <c r="F265" s="80"/>
      <c r="G265" s="477">
        <f>Assumptions!$H$198</f>
        <v>0</v>
      </c>
      <c r="H265" s="477">
        <f>Assumptions!$I$198</f>
        <v>1</v>
      </c>
      <c r="I265" s="83"/>
      <c r="J265" s="85" t="str">
        <f>Assumptions!$K$198</f>
        <v>Safety risk</v>
      </c>
      <c r="K265" s="401"/>
      <c r="L265" s="436">
        <f>SUM(R265:BP265)</f>
        <v>24551006.651312798</v>
      </c>
      <c r="M265" s="457"/>
      <c r="N265" s="455"/>
      <c r="O265" s="455"/>
      <c r="P265" s="455"/>
      <c r="Q265" s="455"/>
      <c r="R265" s="401">
        <f t="shared" ref="R265:AW265" si="395">IF($L$217="On",R$217*R184,R184)</f>
        <v>0</v>
      </c>
      <c r="S265" s="401">
        <f t="shared" si="395"/>
        <v>0</v>
      </c>
      <c r="T265" s="401">
        <f t="shared" si="395"/>
        <v>0</v>
      </c>
      <c r="U265" s="401">
        <f t="shared" si="395"/>
        <v>4357421.4794582743</v>
      </c>
      <c r="V265" s="401">
        <f t="shared" si="395"/>
        <v>4421187.5671172729</v>
      </c>
      <c r="W265" s="401">
        <f t="shared" si="395"/>
        <v>4451034.2730616657</v>
      </c>
      <c r="X265" s="401">
        <f t="shared" si="395"/>
        <v>4454116.4275256703</v>
      </c>
      <c r="Y265" s="401">
        <f t="shared" si="395"/>
        <v>4521292.9927943535</v>
      </c>
      <c r="Z265" s="401">
        <f t="shared" si="395"/>
        <v>2345953.9113555606</v>
      </c>
      <c r="AA265" s="401">
        <f t="shared" si="395"/>
        <v>0</v>
      </c>
      <c r="AB265" s="401">
        <f t="shared" si="395"/>
        <v>0</v>
      </c>
      <c r="AC265" s="401">
        <f t="shared" si="395"/>
        <v>0</v>
      </c>
      <c r="AD265" s="401">
        <f t="shared" si="395"/>
        <v>0</v>
      </c>
      <c r="AE265" s="401">
        <f t="shared" si="395"/>
        <v>0</v>
      </c>
      <c r="AF265" s="401">
        <f t="shared" si="395"/>
        <v>0</v>
      </c>
      <c r="AG265" s="401">
        <f t="shared" si="395"/>
        <v>0</v>
      </c>
      <c r="AH265" s="401">
        <f t="shared" si="395"/>
        <v>0</v>
      </c>
      <c r="AI265" s="401">
        <f t="shared" si="395"/>
        <v>0</v>
      </c>
      <c r="AJ265" s="401">
        <f t="shared" si="395"/>
        <v>0</v>
      </c>
      <c r="AK265" s="401">
        <f t="shared" si="395"/>
        <v>0</v>
      </c>
      <c r="AL265" s="401">
        <f t="shared" si="395"/>
        <v>0</v>
      </c>
      <c r="AM265" s="401">
        <f t="shared" si="395"/>
        <v>0</v>
      </c>
      <c r="AN265" s="401">
        <f t="shared" si="395"/>
        <v>0</v>
      </c>
      <c r="AO265" s="401">
        <f t="shared" si="395"/>
        <v>0</v>
      </c>
      <c r="AP265" s="401">
        <f t="shared" si="395"/>
        <v>0</v>
      </c>
      <c r="AQ265" s="401">
        <f t="shared" si="395"/>
        <v>0</v>
      </c>
      <c r="AR265" s="401">
        <f t="shared" si="395"/>
        <v>0</v>
      </c>
      <c r="AS265" s="401">
        <f t="shared" si="395"/>
        <v>0</v>
      </c>
      <c r="AT265" s="401">
        <f t="shared" si="395"/>
        <v>0</v>
      </c>
      <c r="AU265" s="401">
        <f t="shared" si="395"/>
        <v>0</v>
      </c>
      <c r="AV265" s="401">
        <f t="shared" si="395"/>
        <v>0</v>
      </c>
      <c r="AW265" s="401">
        <f t="shared" si="395"/>
        <v>0</v>
      </c>
      <c r="AX265" s="401">
        <f t="shared" ref="AX265:BP265" si="396">IF($L$217="On",AX$217*AX184,AX184)</f>
        <v>0</v>
      </c>
      <c r="AY265" s="401">
        <f t="shared" si="396"/>
        <v>0</v>
      </c>
      <c r="AZ265" s="401">
        <f t="shared" si="396"/>
        <v>0</v>
      </c>
      <c r="BA265" s="401">
        <f t="shared" si="396"/>
        <v>0</v>
      </c>
      <c r="BB265" s="401">
        <f t="shared" si="396"/>
        <v>0</v>
      </c>
      <c r="BC265" s="401">
        <f t="shared" si="396"/>
        <v>0</v>
      </c>
      <c r="BD265" s="401">
        <f t="shared" si="396"/>
        <v>0</v>
      </c>
      <c r="BE265" s="401">
        <f t="shared" si="396"/>
        <v>0</v>
      </c>
      <c r="BF265" s="401">
        <f t="shared" si="396"/>
        <v>0</v>
      </c>
      <c r="BG265" s="401">
        <f t="shared" si="396"/>
        <v>0</v>
      </c>
      <c r="BH265" s="401">
        <f t="shared" si="396"/>
        <v>0</v>
      </c>
      <c r="BI265" s="401">
        <f t="shared" si="396"/>
        <v>0</v>
      </c>
      <c r="BJ265" s="401">
        <f t="shared" si="396"/>
        <v>0</v>
      </c>
      <c r="BK265" s="401">
        <f t="shared" si="396"/>
        <v>0</v>
      </c>
      <c r="BL265" s="401">
        <f t="shared" si="396"/>
        <v>0</v>
      </c>
      <c r="BM265" s="401">
        <f t="shared" si="396"/>
        <v>0</v>
      </c>
      <c r="BN265" s="401">
        <f t="shared" si="396"/>
        <v>0</v>
      </c>
      <c r="BO265" s="401">
        <f t="shared" si="396"/>
        <v>0</v>
      </c>
      <c r="BP265" s="401">
        <f t="shared" si="396"/>
        <v>0</v>
      </c>
    </row>
    <row r="266" spans="2:68" outlineLevel="1" x14ac:dyDescent="0.2">
      <c r="B266" s="20"/>
      <c r="C266" s="80"/>
      <c r="D266" s="81" t="str">
        <f>$D$185</f>
        <v>Fire risk</v>
      </c>
      <c r="E266" s="80"/>
      <c r="F266" s="80"/>
      <c r="G266" s="477">
        <f>Assumptions!$H$199</f>
        <v>0</v>
      </c>
      <c r="H266" s="477">
        <f>Assumptions!$I$199</f>
        <v>1</v>
      </c>
      <c r="I266" s="83"/>
      <c r="J266" s="85" t="str">
        <f>Assumptions!$K$199</f>
        <v>Fire risk</v>
      </c>
      <c r="K266" s="401"/>
      <c r="L266" s="436">
        <f t="shared" ref="L266:L290" si="397">SUM(R266:BP266)</f>
        <v>0</v>
      </c>
      <c r="M266" s="457"/>
      <c r="N266" s="455"/>
      <c r="O266" s="455"/>
      <c r="P266" s="455"/>
      <c r="Q266" s="455"/>
      <c r="R266" s="401">
        <f t="shared" ref="R266:AW266" si="398">IF($L$217="On",R$217*R185,R185)</f>
        <v>0</v>
      </c>
      <c r="S266" s="401">
        <f t="shared" si="398"/>
        <v>0</v>
      </c>
      <c r="T266" s="401">
        <f t="shared" si="398"/>
        <v>0</v>
      </c>
      <c r="U266" s="401">
        <f t="shared" si="398"/>
        <v>0</v>
      </c>
      <c r="V266" s="401">
        <f t="shared" si="398"/>
        <v>0</v>
      </c>
      <c r="W266" s="401">
        <f t="shared" si="398"/>
        <v>0</v>
      </c>
      <c r="X266" s="401">
        <f t="shared" si="398"/>
        <v>0</v>
      </c>
      <c r="Y266" s="401">
        <f t="shared" si="398"/>
        <v>0</v>
      </c>
      <c r="Z266" s="401">
        <f t="shared" si="398"/>
        <v>0</v>
      </c>
      <c r="AA266" s="401">
        <f t="shared" si="398"/>
        <v>0</v>
      </c>
      <c r="AB266" s="401">
        <f t="shared" si="398"/>
        <v>0</v>
      </c>
      <c r="AC266" s="401">
        <f t="shared" si="398"/>
        <v>0</v>
      </c>
      <c r="AD266" s="401">
        <f t="shared" si="398"/>
        <v>0</v>
      </c>
      <c r="AE266" s="401">
        <f t="shared" si="398"/>
        <v>0</v>
      </c>
      <c r="AF266" s="401">
        <f t="shared" si="398"/>
        <v>0</v>
      </c>
      <c r="AG266" s="401">
        <f t="shared" si="398"/>
        <v>0</v>
      </c>
      <c r="AH266" s="401">
        <f t="shared" si="398"/>
        <v>0</v>
      </c>
      <c r="AI266" s="401">
        <f t="shared" si="398"/>
        <v>0</v>
      </c>
      <c r="AJ266" s="401">
        <f t="shared" si="398"/>
        <v>0</v>
      </c>
      <c r="AK266" s="401">
        <f t="shared" si="398"/>
        <v>0</v>
      </c>
      <c r="AL266" s="401">
        <f t="shared" si="398"/>
        <v>0</v>
      </c>
      <c r="AM266" s="401">
        <f t="shared" si="398"/>
        <v>0</v>
      </c>
      <c r="AN266" s="401">
        <f t="shared" si="398"/>
        <v>0</v>
      </c>
      <c r="AO266" s="401">
        <f t="shared" si="398"/>
        <v>0</v>
      </c>
      <c r="AP266" s="401">
        <f t="shared" si="398"/>
        <v>0</v>
      </c>
      <c r="AQ266" s="401">
        <f t="shared" si="398"/>
        <v>0</v>
      </c>
      <c r="AR266" s="401">
        <f t="shared" si="398"/>
        <v>0</v>
      </c>
      <c r="AS266" s="401">
        <f t="shared" si="398"/>
        <v>0</v>
      </c>
      <c r="AT266" s="401">
        <f t="shared" si="398"/>
        <v>0</v>
      </c>
      <c r="AU266" s="401">
        <f t="shared" si="398"/>
        <v>0</v>
      </c>
      <c r="AV266" s="401">
        <f t="shared" si="398"/>
        <v>0</v>
      </c>
      <c r="AW266" s="401">
        <f t="shared" si="398"/>
        <v>0</v>
      </c>
      <c r="AX266" s="401">
        <f t="shared" ref="AX266:BP266" si="399">IF($L$217="On",AX$217*AX185,AX185)</f>
        <v>0</v>
      </c>
      <c r="AY266" s="401">
        <f t="shared" si="399"/>
        <v>0</v>
      </c>
      <c r="AZ266" s="401">
        <f t="shared" si="399"/>
        <v>0</v>
      </c>
      <c r="BA266" s="401">
        <f t="shared" si="399"/>
        <v>0</v>
      </c>
      <c r="BB266" s="401">
        <f t="shared" si="399"/>
        <v>0</v>
      </c>
      <c r="BC266" s="401">
        <f t="shared" si="399"/>
        <v>0</v>
      </c>
      <c r="BD266" s="401">
        <f t="shared" si="399"/>
        <v>0</v>
      </c>
      <c r="BE266" s="401">
        <f t="shared" si="399"/>
        <v>0</v>
      </c>
      <c r="BF266" s="401">
        <f t="shared" si="399"/>
        <v>0</v>
      </c>
      <c r="BG266" s="401">
        <f t="shared" si="399"/>
        <v>0</v>
      </c>
      <c r="BH266" s="401">
        <f t="shared" si="399"/>
        <v>0</v>
      </c>
      <c r="BI266" s="401">
        <f t="shared" si="399"/>
        <v>0</v>
      </c>
      <c r="BJ266" s="401">
        <f t="shared" si="399"/>
        <v>0</v>
      </c>
      <c r="BK266" s="401">
        <f t="shared" si="399"/>
        <v>0</v>
      </c>
      <c r="BL266" s="401">
        <f t="shared" si="399"/>
        <v>0</v>
      </c>
      <c r="BM266" s="401">
        <f t="shared" si="399"/>
        <v>0</v>
      </c>
      <c r="BN266" s="401">
        <f t="shared" si="399"/>
        <v>0</v>
      </c>
      <c r="BO266" s="401">
        <f t="shared" si="399"/>
        <v>0</v>
      </c>
      <c r="BP266" s="401">
        <f t="shared" si="399"/>
        <v>0</v>
      </c>
    </row>
    <row r="267" spans="2:68" outlineLevel="1" x14ac:dyDescent="0.2">
      <c r="B267" s="20"/>
      <c r="C267" s="80"/>
      <c r="D267" s="81" t="str">
        <f>$D$186</f>
        <v>Environment risk</v>
      </c>
      <c r="E267" s="80"/>
      <c r="F267" s="80"/>
      <c r="G267" s="477">
        <f>Assumptions!$H$200</f>
        <v>0</v>
      </c>
      <c r="H267" s="477">
        <f>Assumptions!$I$200</f>
        <v>1</v>
      </c>
      <c r="I267" s="83"/>
      <c r="J267" s="85" t="str">
        <f>Assumptions!$K$200</f>
        <v>Environment risk</v>
      </c>
      <c r="K267" s="401"/>
      <c r="L267" s="436">
        <f t="shared" si="397"/>
        <v>0</v>
      </c>
      <c r="M267" s="457"/>
      <c r="N267" s="455"/>
      <c r="O267" s="455"/>
      <c r="P267" s="455"/>
      <c r="Q267" s="455"/>
      <c r="R267" s="401">
        <f t="shared" ref="R267:AW267" si="400">IF($L$217="On",R$217*R186,R186)</f>
        <v>0</v>
      </c>
      <c r="S267" s="401">
        <f t="shared" si="400"/>
        <v>0</v>
      </c>
      <c r="T267" s="401">
        <f t="shared" si="400"/>
        <v>0</v>
      </c>
      <c r="U267" s="401">
        <f t="shared" si="400"/>
        <v>0</v>
      </c>
      <c r="V267" s="401">
        <f t="shared" si="400"/>
        <v>0</v>
      </c>
      <c r="W267" s="401">
        <f t="shared" si="400"/>
        <v>0</v>
      </c>
      <c r="X267" s="401">
        <f t="shared" si="400"/>
        <v>0</v>
      </c>
      <c r="Y267" s="401">
        <f t="shared" si="400"/>
        <v>0</v>
      </c>
      <c r="Z267" s="401">
        <f t="shared" si="400"/>
        <v>0</v>
      </c>
      <c r="AA267" s="401">
        <f t="shared" si="400"/>
        <v>0</v>
      </c>
      <c r="AB267" s="401">
        <f t="shared" si="400"/>
        <v>0</v>
      </c>
      <c r="AC267" s="401">
        <f t="shared" si="400"/>
        <v>0</v>
      </c>
      <c r="AD267" s="401">
        <f t="shared" si="400"/>
        <v>0</v>
      </c>
      <c r="AE267" s="401">
        <f t="shared" si="400"/>
        <v>0</v>
      </c>
      <c r="AF267" s="401">
        <f t="shared" si="400"/>
        <v>0</v>
      </c>
      <c r="AG267" s="401">
        <f t="shared" si="400"/>
        <v>0</v>
      </c>
      <c r="AH267" s="401">
        <f t="shared" si="400"/>
        <v>0</v>
      </c>
      <c r="AI267" s="401">
        <f t="shared" si="400"/>
        <v>0</v>
      </c>
      <c r="AJ267" s="401">
        <f t="shared" si="400"/>
        <v>0</v>
      </c>
      <c r="AK267" s="401">
        <f t="shared" si="400"/>
        <v>0</v>
      </c>
      <c r="AL267" s="401">
        <f t="shared" si="400"/>
        <v>0</v>
      </c>
      <c r="AM267" s="401">
        <f t="shared" si="400"/>
        <v>0</v>
      </c>
      <c r="AN267" s="401">
        <f t="shared" si="400"/>
        <v>0</v>
      </c>
      <c r="AO267" s="401">
        <f t="shared" si="400"/>
        <v>0</v>
      </c>
      <c r="AP267" s="401">
        <f t="shared" si="400"/>
        <v>0</v>
      </c>
      <c r="AQ267" s="401">
        <f t="shared" si="400"/>
        <v>0</v>
      </c>
      <c r="AR267" s="401">
        <f t="shared" si="400"/>
        <v>0</v>
      </c>
      <c r="AS267" s="401">
        <f t="shared" si="400"/>
        <v>0</v>
      </c>
      <c r="AT267" s="401">
        <f t="shared" si="400"/>
        <v>0</v>
      </c>
      <c r="AU267" s="401">
        <f t="shared" si="400"/>
        <v>0</v>
      </c>
      <c r="AV267" s="401">
        <f t="shared" si="400"/>
        <v>0</v>
      </c>
      <c r="AW267" s="401">
        <f t="shared" si="400"/>
        <v>0</v>
      </c>
      <c r="AX267" s="401">
        <f t="shared" ref="AX267:BP267" si="401">IF($L$217="On",AX$217*AX186,AX186)</f>
        <v>0</v>
      </c>
      <c r="AY267" s="401">
        <f t="shared" si="401"/>
        <v>0</v>
      </c>
      <c r="AZ267" s="401">
        <f t="shared" si="401"/>
        <v>0</v>
      </c>
      <c r="BA267" s="401">
        <f t="shared" si="401"/>
        <v>0</v>
      </c>
      <c r="BB267" s="401">
        <f t="shared" si="401"/>
        <v>0</v>
      </c>
      <c r="BC267" s="401">
        <f t="shared" si="401"/>
        <v>0</v>
      </c>
      <c r="BD267" s="401">
        <f t="shared" si="401"/>
        <v>0</v>
      </c>
      <c r="BE267" s="401">
        <f t="shared" si="401"/>
        <v>0</v>
      </c>
      <c r="BF267" s="401">
        <f t="shared" si="401"/>
        <v>0</v>
      </c>
      <c r="BG267" s="401">
        <f t="shared" si="401"/>
        <v>0</v>
      </c>
      <c r="BH267" s="401">
        <f t="shared" si="401"/>
        <v>0</v>
      </c>
      <c r="BI267" s="401">
        <f t="shared" si="401"/>
        <v>0</v>
      </c>
      <c r="BJ267" s="401">
        <f t="shared" si="401"/>
        <v>0</v>
      </c>
      <c r="BK267" s="401">
        <f t="shared" si="401"/>
        <v>0</v>
      </c>
      <c r="BL267" s="401">
        <f t="shared" si="401"/>
        <v>0</v>
      </c>
      <c r="BM267" s="401">
        <f t="shared" si="401"/>
        <v>0</v>
      </c>
      <c r="BN267" s="401">
        <f t="shared" si="401"/>
        <v>0</v>
      </c>
      <c r="BO267" s="401">
        <f t="shared" si="401"/>
        <v>0</v>
      </c>
      <c r="BP267" s="401">
        <f t="shared" si="401"/>
        <v>0</v>
      </c>
    </row>
    <row r="268" spans="2:68" outlineLevel="1" x14ac:dyDescent="0.2">
      <c r="B268" s="20"/>
      <c r="C268" s="80"/>
      <c r="D268" s="81" t="str">
        <f>$D$187</f>
        <v>Network asset failure EUE</v>
      </c>
      <c r="E268" s="80"/>
      <c r="F268" s="80"/>
      <c r="G268" s="477">
        <f>Assumptions!$H$201</f>
        <v>0</v>
      </c>
      <c r="H268" s="477">
        <f>Assumptions!$I$201</f>
        <v>1</v>
      </c>
      <c r="I268" s="83"/>
      <c r="J268" s="85" t="str">
        <f>Assumptions!$K$201</f>
        <v>Network asset failure EUE</v>
      </c>
      <c r="K268" s="401"/>
      <c r="L268" s="436">
        <f t="shared" si="397"/>
        <v>10652719.644212171</v>
      </c>
      <c r="M268" s="457"/>
      <c r="N268" s="455"/>
      <c r="O268" s="455"/>
      <c r="P268" s="455"/>
      <c r="Q268" s="455"/>
      <c r="R268" s="401">
        <f t="shared" ref="R268:AW268" si="402">IF($L$217="On",R$217*R187,R187)</f>
        <v>0</v>
      </c>
      <c r="S268" s="401">
        <f t="shared" si="402"/>
        <v>0</v>
      </c>
      <c r="T268" s="401">
        <f t="shared" si="402"/>
        <v>0</v>
      </c>
      <c r="U268" s="401">
        <f t="shared" si="402"/>
        <v>1601352.3937009159</v>
      </c>
      <c r="V268" s="401">
        <f t="shared" si="402"/>
        <v>1624786.4309155978</v>
      </c>
      <c r="W268" s="401">
        <f t="shared" si="402"/>
        <v>1635755.0953501621</v>
      </c>
      <c r="X268" s="401">
        <f t="shared" si="402"/>
        <v>1636887.7871156838</v>
      </c>
      <c r="Y268" s="401">
        <f t="shared" si="402"/>
        <v>1661575.1748519249</v>
      </c>
      <c r="Z268" s="401">
        <f t="shared" si="402"/>
        <v>830787.58742596244</v>
      </c>
      <c r="AA268" s="401">
        <f t="shared" si="402"/>
        <v>830787.58742596244</v>
      </c>
      <c r="AB268" s="401">
        <f t="shared" si="402"/>
        <v>830787.58742596244</v>
      </c>
      <c r="AC268" s="401">
        <f t="shared" si="402"/>
        <v>0</v>
      </c>
      <c r="AD268" s="401">
        <f t="shared" si="402"/>
        <v>0</v>
      </c>
      <c r="AE268" s="401">
        <f t="shared" si="402"/>
        <v>0</v>
      </c>
      <c r="AF268" s="401">
        <f t="shared" si="402"/>
        <v>0</v>
      </c>
      <c r="AG268" s="401">
        <f t="shared" si="402"/>
        <v>0</v>
      </c>
      <c r="AH268" s="401">
        <f t="shared" si="402"/>
        <v>0</v>
      </c>
      <c r="AI268" s="401">
        <f t="shared" si="402"/>
        <v>0</v>
      </c>
      <c r="AJ268" s="401">
        <f t="shared" si="402"/>
        <v>0</v>
      </c>
      <c r="AK268" s="401">
        <f t="shared" si="402"/>
        <v>0</v>
      </c>
      <c r="AL268" s="401">
        <f t="shared" si="402"/>
        <v>0</v>
      </c>
      <c r="AM268" s="401">
        <f t="shared" si="402"/>
        <v>0</v>
      </c>
      <c r="AN268" s="401">
        <f t="shared" si="402"/>
        <v>0</v>
      </c>
      <c r="AO268" s="401">
        <f t="shared" si="402"/>
        <v>0</v>
      </c>
      <c r="AP268" s="401">
        <f t="shared" si="402"/>
        <v>0</v>
      </c>
      <c r="AQ268" s="401">
        <f t="shared" si="402"/>
        <v>0</v>
      </c>
      <c r="AR268" s="401">
        <f t="shared" si="402"/>
        <v>0</v>
      </c>
      <c r="AS268" s="401">
        <f t="shared" si="402"/>
        <v>0</v>
      </c>
      <c r="AT268" s="401">
        <f t="shared" si="402"/>
        <v>0</v>
      </c>
      <c r="AU268" s="401">
        <f t="shared" si="402"/>
        <v>0</v>
      </c>
      <c r="AV268" s="401">
        <f t="shared" si="402"/>
        <v>0</v>
      </c>
      <c r="AW268" s="401">
        <f t="shared" si="402"/>
        <v>0</v>
      </c>
      <c r="AX268" s="401">
        <f t="shared" ref="AX268:BP268" si="403">IF($L$217="On",AX$217*AX187,AX187)</f>
        <v>0</v>
      </c>
      <c r="AY268" s="401">
        <f t="shared" si="403"/>
        <v>0</v>
      </c>
      <c r="AZ268" s="401">
        <f t="shared" si="403"/>
        <v>0</v>
      </c>
      <c r="BA268" s="401">
        <f t="shared" si="403"/>
        <v>0</v>
      </c>
      <c r="BB268" s="401">
        <f t="shared" si="403"/>
        <v>0</v>
      </c>
      <c r="BC268" s="401">
        <f t="shared" si="403"/>
        <v>0</v>
      </c>
      <c r="BD268" s="401">
        <f t="shared" si="403"/>
        <v>0</v>
      </c>
      <c r="BE268" s="401">
        <f t="shared" si="403"/>
        <v>0</v>
      </c>
      <c r="BF268" s="401">
        <f t="shared" si="403"/>
        <v>0</v>
      </c>
      <c r="BG268" s="401">
        <f t="shared" si="403"/>
        <v>0</v>
      </c>
      <c r="BH268" s="401">
        <f t="shared" si="403"/>
        <v>0</v>
      </c>
      <c r="BI268" s="401">
        <f t="shared" si="403"/>
        <v>0</v>
      </c>
      <c r="BJ268" s="401">
        <f t="shared" si="403"/>
        <v>0</v>
      </c>
      <c r="BK268" s="401">
        <f t="shared" si="403"/>
        <v>0</v>
      </c>
      <c r="BL268" s="401">
        <f t="shared" si="403"/>
        <v>0</v>
      </c>
      <c r="BM268" s="401">
        <f t="shared" si="403"/>
        <v>0</v>
      </c>
      <c r="BN268" s="401">
        <f t="shared" si="403"/>
        <v>0</v>
      </c>
      <c r="BO268" s="401">
        <f t="shared" si="403"/>
        <v>0</v>
      </c>
      <c r="BP268" s="401">
        <f t="shared" si="403"/>
        <v>0</v>
      </c>
    </row>
    <row r="269" spans="2:68" outlineLevel="1" x14ac:dyDescent="0.2">
      <c r="B269" s="20"/>
      <c r="C269" s="80"/>
      <c r="D269" s="81" t="str">
        <f>$D$188</f>
        <v>Reactive replacement cost</v>
      </c>
      <c r="E269" s="80"/>
      <c r="F269" s="80"/>
      <c r="G269" s="477">
        <f>Assumptions!$H$202</f>
        <v>0</v>
      </c>
      <c r="H269" s="477">
        <f>Assumptions!$I$202</f>
        <v>1</v>
      </c>
      <c r="I269" s="83"/>
      <c r="J269" s="85" t="str">
        <f>Assumptions!$K$202</f>
        <v>Reactive replacement cost</v>
      </c>
      <c r="K269" s="401"/>
      <c r="L269" s="436">
        <f t="shared" si="397"/>
        <v>0</v>
      </c>
      <c r="M269" s="457"/>
      <c r="N269" s="455"/>
      <c r="O269" s="455"/>
      <c r="P269" s="455"/>
      <c r="Q269" s="455"/>
      <c r="R269" s="401">
        <f t="shared" ref="R269:AW269" si="404">IF($L$217="On",R$217*R188,R188)</f>
        <v>0</v>
      </c>
      <c r="S269" s="401">
        <f t="shared" si="404"/>
        <v>0</v>
      </c>
      <c r="T269" s="401">
        <f t="shared" si="404"/>
        <v>0</v>
      </c>
      <c r="U269" s="401">
        <f t="shared" si="404"/>
        <v>0</v>
      </c>
      <c r="V269" s="401">
        <f t="shared" si="404"/>
        <v>0</v>
      </c>
      <c r="W269" s="401">
        <f t="shared" si="404"/>
        <v>0</v>
      </c>
      <c r="X269" s="401">
        <f t="shared" si="404"/>
        <v>0</v>
      </c>
      <c r="Y269" s="401">
        <f t="shared" si="404"/>
        <v>0</v>
      </c>
      <c r="Z269" s="401">
        <f t="shared" si="404"/>
        <v>0</v>
      </c>
      <c r="AA269" s="401">
        <f t="shared" si="404"/>
        <v>0</v>
      </c>
      <c r="AB269" s="401">
        <f t="shared" si="404"/>
        <v>0</v>
      </c>
      <c r="AC269" s="401">
        <f t="shared" si="404"/>
        <v>0</v>
      </c>
      <c r="AD269" s="401">
        <f t="shared" si="404"/>
        <v>0</v>
      </c>
      <c r="AE269" s="401">
        <f t="shared" si="404"/>
        <v>0</v>
      </c>
      <c r="AF269" s="401">
        <f t="shared" si="404"/>
        <v>0</v>
      </c>
      <c r="AG269" s="401">
        <f t="shared" si="404"/>
        <v>0</v>
      </c>
      <c r="AH269" s="401">
        <f t="shared" si="404"/>
        <v>0</v>
      </c>
      <c r="AI269" s="401">
        <f t="shared" si="404"/>
        <v>0</v>
      </c>
      <c r="AJ269" s="401">
        <f t="shared" si="404"/>
        <v>0</v>
      </c>
      <c r="AK269" s="401">
        <f t="shared" si="404"/>
        <v>0</v>
      </c>
      <c r="AL269" s="401">
        <f t="shared" si="404"/>
        <v>0</v>
      </c>
      <c r="AM269" s="401">
        <f t="shared" si="404"/>
        <v>0</v>
      </c>
      <c r="AN269" s="401">
        <f t="shared" si="404"/>
        <v>0</v>
      </c>
      <c r="AO269" s="401">
        <f t="shared" si="404"/>
        <v>0</v>
      </c>
      <c r="AP269" s="401">
        <f t="shared" si="404"/>
        <v>0</v>
      </c>
      <c r="AQ269" s="401">
        <f t="shared" si="404"/>
        <v>0</v>
      </c>
      <c r="AR269" s="401">
        <f t="shared" si="404"/>
        <v>0</v>
      </c>
      <c r="AS269" s="401">
        <f t="shared" si="404"/>
        <v>0</v>
      </c>
      <c r="AT269" s="401">
        <f t="shared" si="404"/>
        <v>0</v>
      </c>
      <c r="AU269" s="401">
        <f t="shared" si="404"/>
        <v>0</v>
      </c>
      <c r="AV269" s="401">
        <f t="shared" si="404"/>
        <v>0</v>
      </c>
      <c r="AW269" s="401">
        <f t="shared" si="404"/>
        <v>0</v>
      </c>
      <c r="AX269" s="401">
        <f t="shared" ref="AX269:BP269" si="405">IF($L$217="On",AX$217*AX188,AX188)</f>
        <v>0</v>
      </c>
      <c r="AY269" s="401">
        <f t="shared" si="405"/>
        <v>0</v>
      </c>
      <c r="AZ269" s="401">
        <f t="shared" si="405"/>
        <v>0</v>
      </c>
      <c r="BA269" s="401">
        <f t="shared" si="405"/>
        <v>0</v>
      </c>
      <c r="BB269" s="401">
        <f t="shared" si="405"/>
        <v>0</v>
      </c>
      <c r="BC269" s="401">
        <f t="shared" si="405"/>
        <v>0</v>
      </c>
      <c r="BD269" s="401">
        <f t="shared" si="405"/>
        <v>0</v>
      </c>
      <c r="BE269" s="401">
        <f t="shared" si="405"/>
        <v>0</v>
      </c>
      <c r="BF269" s="401">
        <f t="shared" si="405"/>
        <v>0</v>
      </c>
      <c r="BG269" s="401">
        <f t="shared" si="405"/>
        <v>0</v>
      </c>
      <c r="BH269" s="401">
        <f t="shared" si="405"/>
        <v>0</v>
      </c>
      <c r="BI269" s="401">
        <f t="shared" si="405"/>
        <v>0</v>
      </c>
      <c r="BJ269" s="401">
        <f t="shared" si="405"/>
        <v>0</v>
      </c>
      <c r="BK269" s="401">
        <f t="shared" si="405"/>
        <v>0</v>
      </c>
      <c r="BL269" s="401">
        <f t="shared" si="405"/>
        <v>0</v>
      </c>
      <c r="BM269" s="401">
        <f t="shared" si="405"/>
        <v>0</v>
      </c>
      <c r="BN269" s="401">
        <f t="shared" si="405"/>
        <v>0</v>
      </c>
      <c r="BO269" s="401">
        <f t="shared" si="405"/>
        <v>0</v>
      </c>
      <c r="BP269" s="401">
        <f t="shared" si="405"/>
        <v>0</v>
      </c>
    </row>
    <row r="270" spans="2:68" outlineLevel="1" x14ac:dyDescent="0.2">
      <c r="B270" s="20"/>
      <c r="C270" s="80"/>
      <c r="D270" s="81" t="str">
        <f>$D$189</f>
        <v>3rd party property damage risk</v>
      </c>
      <c r="E270" s="80"/>
      <c r="F270" s="80"/>
      <c r="G270" s="477">
        <f>Assumptions!$H$203</f>
        <v>1</v>
      </c>
      <c r="H270" s="477">
        <f>Assumptions!$I$203</f>
        <v>0</v>
      </c>
      <c r="I270" s="83"/>
      <c r="J270" s="85" t="str">
        <f>Assumptions!$K$203</f>
        <v>3rd party property damage risk</v>
      </c>
      <c r="K270" s="401"/>
      <c r="L270" s="436">
        <f t="shared" si="397"/>
        <v>0</v>
      </c>
      <c r="M270" s="457"/>
      <c r="N270" s="455"/>
      <c r="O270" s="455"/>
      <c r="P270" s="455"/>
      <c r="Q270" s="455"/>
      <c r="R270" s="401">
        <f t="shared" ref="R270:AW270" si="406">IF($L$217="On",R$217*R189,R189)</f>
        <v>0</v>
      </c>
      <c r="S270" s="401">
        <f t="shared" si="406"/>
        <v>0</v>
      </c>
      <c r="T270" s="401">
        <f t="shared" si="406"/>
        <v>0</v>
      </c>
      <c r="U270" s="401">
        <f t="shared" si="406"/>
        <v>0</v>
      </c>
      <c r="V270" s="401">
        <f t="shared" si="406"/>
        <v>0</v>
      </c>
      <c r="W270" s="401">
        <f t="shared" si="406"/>
        <v>0</v>
      </c>
      <c r="X270" s="401">
        <f t="shared" si="406"/>
        <v>0</v>
      </c>
      <c r="Y270" s="401">
        <f t="shared" si="406"/>
        <v>0</v>
      </c>
      <c r="Z270" s="401">
        <f t="shared" si="406"/>
        <v>0</v>
      </c>
      <c r="AA270" s="401">
        <f t="shared" si="406"/>
        <v>0</v>
      </c>
      <c r="AB270" s="401">
        <f t="shared" si="406"/>
        <v>0</v>
      </c>
      <c r="AC270" s="401">
        <f t="shared" si="406"/>
        <v>0</v>
      </c>
      <c r="AD270" s="401">
        <f t="shared" si="406"/>
        <v>0</v>
      </c>
      <c r="AE270" s="401">
        <f t="shared" si="406"/>
        <v>0</v>
      </c>
      <c r="AF270" s="401">
        <f t="shared" si="406"/>
        <v>0</v>
      </c>
      <c r="AG270" s="401">
        <f t="shared" si="406"/>
        <v>0</v>
      </c>
      <c r="AH270" s="401">
        <f t="shared" si="406"/>
        <v>0</v>
      </c>
      <c r="AI270" s="401">
        <f t="shared" si="406"/>
        <v>0</v>
      </c>
      <c r="AJ270" s="401">
        <f t="shared" si="406"/>
        <v>0</v>
      </c>
      <c r="AK270" s="401">
        <f t="shared" si="406"/>
        <v>0</v>
      </c>
      <c r="AL270" s="401">
        <f t="shared" si="406"/>
        <v>0</v>
      </c>
      <c r="AM270" s="401">
        <f t="shared" si="406"/>
        <v>0</v>
      </c>
      <c r="AN270" s="401">
        <f t="shared" si="406"/>
        <v>0</v>
      </c>
      <c r="AO270" s="401">
        <f t="shared" si="406"/>
        <v>0</v>
      </c>
      <c r="AP270" s="401">
        <f t="shared" si="406"/>
        <v>0</v>
      </c>
      <c r="AQ270" s="401">
        <f t="shared" si="406"/>
        <v>0</v>
      </c>
      <c r="AR270" s="401">
        <f t="shared" si="406"/>
        <v>0</v>
      </c>
      <c r="AS270" s="401">
        <f t="shared" si="406"/>
        <v>0</v>
      </c>
      <c r="AT270" s="401">
        <f t="shared" si="406"/>
        <v>0</v>
      </c>
      <c r="AU270" s="401">
        <f t="shared" si="406"/>
        <v>0</v>
      </c>
      <c r="AV270" s="401">
        <f t="shared" si="406"/>
        <v>0</v>
      </c>
      <c r="AW270" s="401">
        <f t="shared" si="406"/>
        <v>0</v>
      </c>
      <c r="AX270" s="401">
        <f t="shared" ref="AX270:BP270" si="407">IF($L$217="On",AX$217*AX189,AX189)</f>
        <v>0</v>
      </c>
      <c r="AY270" s="401">
        <f t="shared" si="407"/>
        <v>0</v>
      </c>
      <c r="AZ270" s="401">
        <f t="shared" si="407"/>
        <v>0</v>
      </c>
      <c r="BA270" s="401">
        <f t="shared" si="407"/>
        <v>0</v>
      </c>
      <c r="BB270" s="401">
        <f t="shared" si="407"/>
        <v>0</v>
      </c>
      <c r="BC270" s="401">
        <f t="shared" si="407"/>
        <v>0</v>
      </c>
      <c r="BD270" s="401">
        <f t="shared" si="407"/>
        <v>0</v>
      </c>
      <c r="BE270" s="401">
        <f t="shared" si="407"/>
        <v>0</v>
      </c>
      <c r="BF270" s="401">
        <f t="shared" si="407"/>
        <v>0</v>
      </c>
      <c r="BG270" s="401">
        <f t="shared" si="407"/>
        <v>0</v>
      </c>
      <c r="BH270" s="401">
        <f t="shared" si="407"/>
        <v>0</v>
      </c>
      <c r="BI270" s="401">
        <f t="shared" si="407"/>
        <v>0</v>
      </c>
      <c r="BJ270" s="401">
        <f t="shared" si="407"/>
        <v>0</v>
      </c>
      <c r="BK270" s="401">
        <f t="shared" si="407"/>
        <v>0</v>
      </c>
      <c r="BL270" s="401">
        <f t="shared" si="407"/>
        <v>0</v>
      </c>
      <c r="BM270" s="401">
        <f t="shared" si="407"/>
        <v>0</v>
      </c>
      <c r="BN270" s="401">
        <f t="shared" si="407"/>
        <v>0</v>
      </c>
      <c r="BO270" s="401">
        <f t="shared" si="407"/>
        <v>0</v>
      </c>
      <c r="BP270" s="401">
        <f t="shared" si="407"/>
        <v>0</v>
      </c>
    </row>
    <row r="271" spans="2:68" outlineLevel="1" x14ac:dyDescent="0.2">
      <c r="B271" s="20"/>
      <c r="C271" s="80"/>
      <c r="D271" s="81" t="str">
        <f>$D$190</f>
        <v>Construction EUE risk</v>
      </c>
      <c r="E271" s="80"/>
      <c r="F271" s="80"/>
      <c r="G271" s="477">
        <f>Assumptions!$H$204</f>
        <v>0</v>
      </c>
      <c r="H271" s="477">
        <f>Assumptions!$I$204</f>
        <v>1</v>
      </c>
      <c r="I271" s="83"/>
      <c r="J271" s="85" t="str">
        <f>Assumptions!$K$204</f>
        <v>Construction EUE risk</v>
      </c>
      <c r="K271" s="401"/>
      <c r="L271" s="436">
        <f t="shared" si="397"/>
        <v>0</v>
      </c>
      <c r="M271" s="457"/>
      <c r="N271" s="455"/>
      <c r="O271" s="455"/>
      <c r="P271" s="455"/>
      <c r="Q271" s="455"/>
      <c r="R271" s="401">
        <f t="shared" ref="R271:AW271" si="408">IF($L$217="On",R$217*R190,R190)</f>
        <v>0</v>
      </c>
      <c r="S271" s="401">
        <f t="shared" si="408"/>
        <v>0</v>
      </c>
      <c r="T271" s="401">
        <f t="shared" si="408"/>
        <v>0</v>
      </c>
      <c r="U271" s="401">
        <f t="shared" si="408"/>
        <v>0</v>
      </c>
      <c r="V271" s="401">
        <f t="shared" si="408"/>
        <v>0</v>
      </c>
      <c r="W271" s="401">
        <f t="shared" si="408"/>
        <v>0</v>
      </c>
      <c r="X271" s="401">
        <f t="shared" si="408"/>
        <v>0</v>
      </c>
      <c r="Y271" s="401">
        <f t="shared" si="408"/>
        <v>0</v>
      </c>
      <c r="Z271" s="401">
        <f t="shared" si="408"/>
        <v>0</v>
      </c>
      <c r="AA271" s="401">
        <f t="shared" si="408"/>
        <v>0</v>
      </c>
      <c r="AB271" s="401">
        <f t="shared" si="408"/>
        <v>0</v>
      </c>
      <c r="AC271" s="401">
        <f t="shared" si="408"/>
        <v>0</v>
      </c>
      <c r="AD271" s="401">
        <f t="shared" si="408"/>
        <v>0</v>
      </c>
      <c r="AE271" s="401">
        <f t="shared" si="408"/>
        <v>0</v>
      </c>
      <c r="AF271" s="401">
        <f t="shared" si="408"/>
        <v>0</v>
      </c>
      <c r="AG271" s="401">
        <f t="shared" si="408"/>
        <v>0</v>
      </c>
      <c r="AH271" s="401">
        <f t="shared" si="408"/>
        <v>0</v>
      </c>
      <c r="AI271" s="401">
        <f t="shared" si="408"/>
        <v>0</v>
      </c>
      <c r="AJ271" s="401">
        <f t="shared" si="408"/>
        <v>0</v>
      </c>
      <c r="AK271" s="401">
        <f t="shared" si="408"/>
        <v>0</v>
      </c>
      <c r="AL271" s="401">
        <f t="shared" si="408"/>
        <v>0</v>
      </c>
      <c r="AM271" s="401">
        <f t="shared" si="408"/>
        <v>0</v>
      </c>
      <c r="AN271" s="401">
        <f t="shared" si="408"/>
        <v>0</v>
      </c>
      <c r="AO271" s="401">
        <f t="shared" si="408"/>
        <v>0</v>
      </c>
      <c r="AP271" s="401">
        <f t="shared" si="408"/>
        <v>0</v>
      </c>
      <c r="AQ271" s="401">
        <f t="shared" si="408"/>
        <v>0</v>
      </c>
      <c r="AR271" s="401">
        <f t="shared" si="408"/>
        <v>0</v>
      </c>
      <c r="AS271" s="401">
        <f t="shared" si="408"/>
        <v>0</v>
      </c>
      <c r="AT271" s="401">
        <f t="shared" si="408"/>
        <v>0</v>
      </c>
      <c r="AU271" s="401">
        <f t="shared" si="408"/>
        <v>0</v>
      </c>
      <c r="AV271" s="401">
        <f t="shared" si="408"/>
        <v>0</v>
      </c>
      <c r="AW271" s="401">
        <f t="shared" si="408"/>
        <v>0</v>
      </c>
      <c r="AX271" s="401">
        <f t="shared" ref="AX271:BP271" si="409">IF($L$217="On",AX$217*AX190,AX190)</f>
        <v>0</v>
      </c>
      <c r="AY271" s="401">
        <f t="shared" si="409"/>
        <v>0</v>
      </c>
      <c r="AZ271" s="401">
        <f t="shared" si="409"/>
        <v>0</v>
      </c>
      <c r="BA271" s="401">
        <f t="shared" si="409"/>
        <v>0</v>
      </c>
      <c r="BB271" s="401">
        <f t="shared" si="409"/>
        <v>0</v>
      </c>
      <c r="BC271" s="401">
        <f t="shared" si="409"/>
        <v>0</v>
      </c>
      <c r="BD271" s="401">
        <f t="shared" si="409"/>
        <v>0</v>
      </c>
      <c r="BE271" s="401">
        <f t="shared" si="409"/>
        <v>0</v>
      </c>
      <c r="BF271" s="401">
        <f t="shared" si="409"/>
        <v>0</v>
      </c>
      <c r="BG271" s="401">
        <f t="shared" si="409"/>
        <v>0</v>
      </c>
      <c r="BH271" s="401">
        <f t="shared" si="409"/>
        <v>0</v>
      </c>
      <c r="BI271" s="401">
        <f t="shared" si="409"/>
        <v>0</v>
      </c>
      <c r="BJ271" s="401">
        <f t="shared" si="409"/>
        <v>0</v>
      </c>
      <c r="BK271" s="401">
        <f t="shared" si="409"/>
        <v>0</v>
      </c>
      <c r="BL271" s="401">
        <f t="shared" si="409"/>
        <v>0</v>
      </c>
      <c r="BM271" s="401">
        <f t="shared" si="409"/>
        <v>0</v>
      </c>
      <c r="BN271" s="401">
        <f t="shared" si="409"/>
        <v>0</v>
      </c>
      <c r="BO271" s="401">
        <f t="shared" si="409"/>
        <v>0</v>
      </c>
      <c r="BP271" s="401">
        <f t="shared" si="409"/>
        <v>0</v>
      </c>
    </row>
    <row r="272" spans="2:68" outlineLevel="1" x14ac:dyDescent="0.2">
      <c r="B272" s="20"/>
      <c r="C272" s="80"/>
      <c r="D272" s="81" t="str">
        <f>$D$191</f>
        <v>Carbon emissions</v>
      </c>
      <c r="E272" s="80"/>
      <c r="F272" s="80"/>
      <c r="G272" s="477">
        <f>Assumptions!$H$205</f>
        <v>0</v>
      </c>
      <c r="H272" s="477">
        <f>Assumptions!$I$205</f>
        <v>1</v>
      </c>
      <c r="I272" s="83"/>
      <c r="J272" s="85" t="str">
        <f>Assumptions!$K$205</f>
        <v>Carbon emissions</v>
      </c>
      <c r="K272" s="401"/>
      <c r="L272" s="436">
        <f t="shared" si="397"/>
        <v>0</v>
      </c>
      <c r="M272" s="457"/>
      <c r="N272" s="455"/>
      <c r="O272" s="455"/>
      <c r="P272" s="455"/>
      <c r="Q272" s="455"/>
      <c r="R272" s="401">
        <f t="shared" ref="R272:AW272" si="410">IF($L$217="On",R$217*R191,R191)</f>
        <v>0</v>
      </c>
      <c r="S272" s="401">
        <f t="shared" si="410"/>
        <v>0</v>
      </c>
      <c r="T272" s="401">
        <f t="shared" si="410"/>
        <v>0</v>
      </c>
      <c r="U272" s="401">
        <f t="shared" si="410"/>
        <v>0</v>
      </c>
      <c r="V272" s="401">
        <f t="shared" si="410"/>
        <v>0</v>
      </c>
      <c r="W272" s="401">
        <f t="shared" si="410"/>
        <v>0</v>
      </c>
      <c r="X272" s="401">
        <f t="shared" si="410"/>
        <v>0</v>
      </c>
      <c r="Y272" s="401">
        <f t="shared" si="410"/>
        <v>0</v>
      </c>
      <c r="Z272" s="401">
        <f t="shared" si="410"/>
        <v>0</v>
      </c>
      <c r="AA272" s="401">
        <f t="shared" si="410"/>
        <v>0</v>
      </c>
      <c r="AB272" s="401">
        <f t="shared" si="410"/>
        <v>0</v>
      </c>
      <c r="AC272" s="401">
        <f t="shared" si="410"/>
        <v>0</v>
      </c>
      <c r="AD272" s="401">
        <f t="shared" si="410"/>
        <v>0</v>
      </c>
      <c r="AE272" s="401">
        <f t="shared" si="410"/>
        <v>0</v>
      </c>
      <c r="AF272" s="401">
        <f t="shared" si="410"/>
        <v>0</v>
      </c>
      <c r="AG272" s="401">
        <f t="shared" si="410"/>
        <v>0</v>
      </c>
      <c r="AH272" s="401">
        <f t="shared" si="410"/>
        <v>0</v>
      </c>
      <c r="AI272" s="401">
        <f t="shared" si="410"/>
        <v>0</v>
      </c>
      <c r="AJ272" s="401">
        <f t="shared" si="410"/>
        <v>0</v>
      </c>
      <c r="AK272" s="401">
        <f t="shared" si="410"/>
        <v>0</v>
      </c>
      <c r="AL272" s="401">
        <f t="shared" si="410"/>
        <v>0</v>
      </c>
      <c r="AM272" s="401">
        <f t="shared" si="410"/>
        <v>0</v>
      </c>
      <c r="AN272" s="401">
        <f t="shared" si="410"/>
        <v>0</v>
      </c>
      <c r="AO272" s="401">
        <f t="shared" si="410"/>
        <v>0</v>
      </c>
      <c r="AP272" s="401">
        <f t="shared" si="410"/>
        <v>0</v>
      </c>
      <c r="AQ272" s="401">
        <f t="shared" si="410"/>
        <v>0</v>
      </c>
      <c r="AR272" s="401">
        <f t="shared" si="410"/>
        <v>0</v>
      </c>
      <c r="AS272" s="401">
        <f t="shared" si="410"/>
        <v>0</v>
      </c>
      <c r="AT272" s="401">
        <f t="shared" si="410"/>
        <v>0</v>
      </c>
      <c r="AU272" s="401">
        <f t="shared" si="410"/>
        <v>0</v>
      </c>
      <c r="AV272" s="401">
        <f t="shared" si="410"/>
        <v>0</v>
      </c>
      <c r="AW272" s="401">
        <f t="shared" si="410"/>
        <v>0</v>
      </c>
      <c r="AX272" s="401">
        <f t="shared" ref="AX272:BP272" si="411">IF($L$217="On",AX$217*AX191,AX191)</f>
        <v>0</v>
      </c>
      <c r="AY272" s="401">
        <f t="shared" si="411"/>
        <v>0</v>
      </c>
      <c r="AZ272" s="401">
        <f t="shared" si="411"/>
        <v>0</v>
      </c>
      <c r="BA272" s="401">
        <f t="shared" si="411"/>
        <v>0</v>
      </c>
      <c r="BB272" s="401">
        <f t="shared" si="411"/>
        <v>0</v>
      </c>
      <c r="BC272" s="401">
        <f t="shared" si="411"/>
        <v>0</v>
      </c>
      <c r="BD272" s="401">
        <f t="shared" si="411"/>
        <v>0</v>
      </c>
      <c r="BE272" s="401">
        <f t="shared" si="411"/>
        <v>0</v>
      </c>
      <c r="BF272" s="401">
        <f t="shared" si="411"/>
        <v>0</v>
      </c>
      <c r="BG272" s="401">
        <f t="shared" si="411"/>
        <v>0</v>
      </c>
      <c r="BH272" s="401">
        <f t="shared" si="411"/>
        <v>0</v>
      </c>
      <c r="BI272" s="401">
        <f t="shared" si="411"/>
        <v>0</v>
      </c>
      <c r="BJ272" s="401">
        <f t="shared" si="411"/>
        <v>0</v>
      </c>
      <c r="BK272" s="401">
        <f t="shared" si="411"/>
        <v>0</v>
      </c>
      <c r="BL272" s="401">
        <f t="shared" si="411"/>
        <v>0</v>
      </c>
      <c r="BM272" s="401">
        <f t="shared" si="411"/>
        <v>0</v>
      </c>
      <c r="BN272" s="401">
        <f t="shared" si="411"/>
        <v>0</v>
      </c>
      <c r="BO272" s="401">
        <f t="shared" si="411"/>
        <v>0</v>
      </c>
      <c r="BP272" s="401">
        <f t="shared" si="411"/>
        <v>0</v>
      </c>
    </row>
    <row r="273" spans="2:68" outlineLevel="1" x14ac:dyDescent="0.2">
      <c r="B273" s="20"/>
      <c r="C273" s="80"/>
      <c r="D273" s="81" t="str">
        <f>$D$192</f>
        <v>Protective security risk</v>
      </c>
      <c r="E273" s="80"/>
      <c r="F273" s="80"/>
      <c r="G273" s="83"/>
      <c r="H273" s="83"/>
      <c r="I273" s="83"/>
      <c r="J273" s="85"/>
      <c r="K273" s="401"/>
      <c r="L273" s="436"/>
      <c r="M273" s="457"/>
      <c r="N273" s="455"/>
      <c r="O273" s="455"/>
      <c r="P273" s="455"/>
      <c r="Q273" s="455"/>
      <c r="R273" s="455"/>
      <c r="S273" s="455"/>
      <c r="T273" s="455"/>
      <c r="U273" s="455"/>
      <c r="V273" s="455"/>
      <c r="W273" s="455"/>
      <c r="X273" s="455"/>
      <c r="Y273" s="455"/>
      <c r="Z273" s="455"/>
      <c r="AA273" s="455"/>
      <c r="AB273" s="455"/>
      <c r="AC273" s="455"/>
      <c r="AD273" s="455"/>
      <c r="AE273" s="455"/>
      <c r="AF273" s="455"/>
      <c r="AG273" s="455"/>
      <c r="AH273" s="455"/>
      <c r="AI273" s="455"/>
      <c r="AJ273" s="455"/>
      <c r="AK273" s="455"/>
      <c r="AL273" s="455"/>
      <c r="AM273" s="455"/>
      <c r="AN273" s="455"/>
      <c r="AO273" s="455"/>
      <c r="AP273" s="455"/>
      <c r="AQ273" s="455"/>
      <c r="AR273" s="455"/>
      <c r="AS273" s="455"/>
      <c r="AT273" s="455"/>
      <c r="AU273" s="455"/>
      <c r="AV273" s="455"/>
      <c r="AW273" s="455"/>
      <c r="AX273" s="455"/>
      <c r="AY273" s="455"/>
      <c r="AZ273" s="455"/>
      <c r="BA273" s="455"/>
      <c r="BB273" s="455"/>
      <c r="BC273" s="455"/>
      <c r="BD273" s="455"/>
      <c r="BE273" s="455"/>
      <c r="BF273" s="455"/>
      <c r="BG273" s="455"/>
      <c r="BH273" s="455"/>
      <c r="BI273" s="455"/>
      <c r="BJ273" s="455"/>
      <c r="BK273" s="455"/>
      <c r="BL273" s="455"/>
      <c r="BM273" s="455"/>
      <c r="BN273" s="455"/>
      <c r="BO273" s="455"/>
      <c r="BP273" s="455"/>
    </row>
    <row r="274" spans="2:68" outlineLevel="1" x14ac:dyDescent="0.2">
      <c r="B274" s="20"/>
      <c r="C274" s="80"/>
      <c r="D274" s="402" t="str">
        <f>$D$193</f>
        <v>Cost to respond to crisis</v>
      </c>
      <c r="E274" s="80"/>
      <c r="F274" s="80"/>
      <c r="G274" s="477">
        <f>Assumptions!$H$207</f>
        <v>1</v>
      </c>
      <c r="H274" s="477">
        <f>Assumptions!$I$207</f>
        <v>0</v>
      </c>
      <c r="I274" s="83"/>
      <c r="J274" s="85" t="str">
        <f>Assumptions!$K$207</f>
        <v>Protective security risk</v>
      </c>
      <c r="K274" s="401"/>
      <c r="L274" s="436">
        <f t="shared" si="397"/>
        <v>0</v>
      </c>
      <c r="M274" s="457"/>
      <c r="N274" s="455"/>
      <c r="O274" s="455"/>
      <c r="P274" s="455"/>
      <c r="Q274" s="455"/>
      <c r="R274" s="401">
        <f t="shared" ref="R274:AW274" si="412">IF($L$217="On",R$217*R193,R193)</f>
        <v>0</v>
      </c>
      <c r="S274" s="401">
        <f t="shared" si="412"/>
        <v>0</v>
      </c>
      <c r="T274" s="401">
        <f t="shared" si="412"/>
        <v>0</v>
      </c>
      <c r="U274" s="401">
        <f t="shared" si="412"/>
        <v>0</v>
      </c>
      <c r="V274" s="401">
        <f t="shared" si="412"/>
        <v>0</v>
      </c>
      <c r="W274" s="401">
        <f t="shared" si="412"/>
        <v>0</v>
      </c>
      <c r="X274" s="401">
        <f t="shared" si="412"/>
        <v>0</v>
      </c>
      <c r="Y274" s="401">
        <f t="shared" si="412"/>
        <v>0</v>
      </c>
      <c r="Z274" s="401">
        <f t="shared" si="412"/>
        <v>0</v>
      </c>
      <c r="AA274" s="401">
        <f t="shared" si="412"/>
        <v>0</v>
      </c>
      <c r="AB274" s="401">
        <f t="shared" si="412"/>
        <v>0</v>
      </c>
      <c r="AC274" s="401">
        <f t="shared" si="412"/>
        <v>0</v>
      </c>
      <c r="AD274" s="401">
        <f t="shared" si="412"/>
        <v>0</v>
      </c>
      <c r="AE274" s="401">
        <f t="shared" si="412"/>
        <v>0</v>
      </c>
      <c r="AF274" s="401">
        <f t="shared" si="412"/>
        <v>0</v>
      </c>
      <c r="AG274" s="401">
        <f t="shared" si="412"/>
        <v>0</v>
      </c>
      <c r="AH274" s="401">
        <f t="shared" si="412"/>
        <v>0</v>
      </c>
      <c r="AI274" s="401">
        <f t="shared" si="412"/>
        <v>0</v>
      </c>
      <c r="AJ274" s="401">
        <f t="shared" si="412"/>
        <v>0</v>
      </c>
      <c r="AK274" s="401">
        <f t="shared" si="412"/>
        <v>0</v>
      </c>
      <c r="AL274" s="401">
        <f t="shared" si="412"/>
        <v>0</v>
      </c>
      <c r="AM274" s="401">
        <f t="shared" si="412"/>
        <v>0</v>
      </c>
      <c r="AN274" s="401">
        <f t="shared" si="412"/>
        <v>0</v>
      </c>
      <c r="AO274" s="401">
        <f t="shared" si="412"/>
        <v>0</v>
      </c>
      <c r="AP274" s="401">
        <f t="shared" si="412"/>
        <v>0</v>
      </c>
      <c r="AQ274" s="401">
        <f t="shared" si="412"/>
        <v>0</v>
      </c>
      <c r="AR274" s="401">
        <f t="shared" si="412"/>
        <v>0</v>
      </c>
      <c r="AS274" s="401">
        <f t="shared" si="412"/>
        <v>0</v>
      </c>
      <c r="AT274" s="401">
        <f t="shared" si="412"/>
        <v>0</v>
      </c>
      <c r="AU274" s="401">
        <f t="shared" si="412"/>
        <v>0</v>
      </c>
      <c r="AV274" s="401">
        <f t="shared" si="412"/>
        <v>0</v>
      </c>
      <c r="AW274" s="401">
        <f t="shared" si="412"/>
        <v>0</v>
      </c>
      <c r="AX274" s="401">
        <f t="shared" ref="AX274:BP274" si="413">IF($L$217="On",AX$217*AX193,AX193)</f>
        <v>0</v>
      </c>
      <c r="AY274" s="401">
        <f t="shared" si="413"/>
        <v>0</v>
      </c>
      <c r="AZ274" s="401">
        <f t="shared" si="413"/>
        <v>0</v>
      </c>
      <c r="BA274" s="401">
        <f t="shared" si="413"/>
        <v>0</v>
      </c>
      <c r="BB274" s="401">
        <f t="shared" si="413"/>
        <v>0</v>
      </c>
      <c r="BC274" s="401">
        <f t="shared" si="413"/>
        <v>0</v>
      </c>
      <c r="BD274" s="401">
        <f t="shared" si="413"/>
        <v>0</v>
      </c>
      <c r="BE274" s="401">
        <f t="shared" si="413"/>
        <v>0</v>
      </c>
      <c r="BF274" s="401">
        <f t="shared" si="413"/>
        <v>0</v>
      </c>
      <c r="BG274" s="401">
        <f t="shared" si="413"/>
        <v>0</v>
      </c>
      <c r="BH274" s="401">
        <f t="shared" si="413"/>
        <v>0</v>
      </c>
      <c r="BI274" s="401">
        <f t="shared" si="413"/>
        <v>0</v>
      </c>
      <c r="BJ274" s="401">
        <f t="shared" si="413"/>
        <v>0</v>
      </c>
      <c r="BK274" s="401">
        <f t="shared" si="413"/>
        <v>0</v>
      </c>
      <c r="BL274" s="401">
        <f t="shared" si="413"/>
        <v>0</v>
      </c>
      <c r="BM274" s="401">
        <f t="shared" si="413"/>
        <v>0</v>
      </c>
      <c r="BN274" s="401">
        <f t="shared" si="413"/>
        <v>0</v>
      </c>
      <c r="BO274" s="401">
        <f t="shared" si="413"/>
        <v>0</v>
      </c>
      <c r="BP274" s="401">
        <f t="shared" si="413"/>
        <v>0</v>
      </c>
    </row>
    <row r="275" spans="2:68" outlineLevel="1" x14ac:dyDescent="0.2">
      <c r="B275" s="20"/>
      <c r="C275" s="80"/>
      <c r="D275" s="402" t="str">
        <f>$D$194</f>
        <v>Loss productive time</v>
      </c>
      <c r="E275" s="80"/>
      <c r="F275" s="80"/>
      <c r="G275" s="83"/>
      <c r="H275" s="83"/>
      <c r="I275" s="83"/>
      <c r="J275" s="85"/>
      <c r="K275" s="401"/>
      <c r="L275" s="436"/>
      <c r="M275" s="457"/>
      <c r="N275" s="455"/>
      <c r="O275" s="455"/>
      <c r="P275" s="455"/>
      <c r="Q275" s="455"/>
      <c r="R275" s="455"/>
      <c r="S275" s="455"/>
      <c r="T275" s="455"/>
      <c r="U275" s="455"/>
      <c r="V275" s="455"/>
      <c r="W275" s="455"/>
      <c r="X275" s="455"/>
      <c r="Y275" s="455"/>
      <c r="Z275" s="455"/>
      <c r="AA275" s="455"/>
      <c r="AB275" s="455"/>
      <c r="AC275" s="455"/>
      <c r="AD275" s="455"/>
      <c r="AE275" s="455"/>
      <c r="AF275" s="455"/>
      <c r="AG275" s="455"/>
      <c r="AH275" s="455"/>
      <c r="AI275" s="455"/>
      <c r="AJ275" s="455"/>
      <c r="AK275" s="455"/>
      <c r="AL275" s="455"/>
      <c r="AM275" s="455"/>
      <c r="AN275" s="455"/>
      <c r="AO275" s="455"/>
      <c r="AP275" s="455"/>
      <c r="AQ275" s="455"/>
      <c r="AR275" s="455"/>
      <c r="AS275" s="455"/>
      <c r="AT275" s="455"/>
      <c r="AU275" s="455"/>
      <c r="AV275" s="455"/>
      <c r="AW275" s="455"/>
      <c r="AX275" s="455"/>
      <c r="AY275" s="455"/>
      <c r="AZ275" s="455"/>
      <c r="BA275" s="455"/>
      <c r="BB275" s="455"/>
      <c r="BC275" s="455"/>
      <c r="BD275" s="455"/>
      <c r="BE275" s="455"/>
      <c r="BF275" s="455"/>
      <c r="BG275" s="455"/>
      <c r="BH275" s="455"/>
      <c r="BI275" s="455"/>
      <c r="BJ275" s="455"/>
      <c r="BK275" s="455"/>
      <c r="BL275" s="455"/>
      <c r="BM275" s="455"/>
      <c r="BN275" s="455"/>
      <c r="BO275" s="455"/>
      <c r="BP275" s="455"/>
    </row>
    <row r="276" spans="2:68" outlineLevel="1" x14ac:dyDescent="0.2">
      <c r="B276" s="20"/>
      <c r="C276" s="80"/>
      <c r="D276" s="403" t="str">
        <f>$D$195</f>
        <v>Additional capex completed without additional labour cost</v>
      </c>
      <c r="E276" s="80"/>
      <c r="F276" s="80"/>
      <c r="G276" s="477">
        <f>Assumptions!$H$209</f>
        <v>1</v>
      </c>
      <c r="H276" s="477">
        <f>Assumptions!$I$209</f>
        <v>0</v>
      </c>
      <c r="I276" s="83"/>
      <c r="J276" s="85" t="str">
        <f>Assumptions!$K$209</f>
        <v>Protective security risk</v>
      </c>
      <c r="K276" s="401"/>
      <c r="L276" s="436">
        <f t="shared" si="397"/>
        <v>0</v>
      </c>
      <c r="M276" s="457"/>
      <c r="N276" s="455"/>
      <c r="O276" s="455"/>
      <c r="P276" s="455"/>
      <c r="Q276" s="455"/>
      <c r="R276" s="401">
        <f t="shared" ref="R276:AW276" si="414">IF($L$217="On",R$217*R195,R195)</f>
        <v>0</v>
      </c>
      <c r="S276" s="401">
        <f t="shared" si="414"/>
        <v>0</v>
      </c>
      <c r="T276" s="401">
        <f t="shared" si="414"/>
        <v>0</v>
      </c>
      <c r="U276" s="401">
        <f t="shared" si="414"/>
        <v>0</v>
      </c>
      <c r="V276" s="401">
        <f t="shared" si="414"/>
        <v>0</v>
      </c>
      <c r="W276" s="401">
        <f t="shared" si="414"/>
        <v>0</v>
      </c>
      <c r="X276" s="401">
        <f t="shared" si="414"/>
        <v>0</v>
      </c>
      <c r="Y276" s="401">
        <f t="shared" si="414"/>
        <v>0</v>
      </c>
      <c r="Z276" s="401">
        <f t="shared" si="414"/>
        <v>0</v>
      </c>
      <c r="AA276" s="401">
        <f t="shared" si="414"/>
        <v>0</v>
      </c>
      <c r="AB276" s="401">
        <f t="shared" si="414"/>
        <v>0</v>
      </c>
      <c r="AC276" s="401">
        <f t="shared" si="414"/>
        <v>0</v>
      </c>
      <c r="AD276" s="401">
        <f t="shared" si="414"/>
        <v>0</v>
      </c>
      <c r="AE276" s="401">
        <f t="shared" si="414"/>
        <v>0</v>
      </c>
      <c r="AF276" s="401">
        <f t="shared" si="414"/>
        <v>0</v>
      </c>
      <c r="AG276" s="401">
        <f t="shared" si="414"/>
        <v>0</v>
      </c>
      <c r="AH276" s="401">
        <f t="shared" si="414"/>
        <v>0</v>
      </c>
      <c r="AI276" s="401">
        <f t="shared" si="414"/>
        <v>0</v>
      </c>
      <c r="AJ276" s="401">
        <f t="shared" si="414"/>
        <v>0</v>
      </c>
      <c r="AK276" s="401">
        <f t="shared" si="414"/>
        <v>0</v>
      </c>
      <c r="AL276" s="401">
        <f t="shared" si="414"/>
        <v>0</v>
      </c>
      <c r="AM276" s="401">
        <f t="shared" si="414"/>
        <v>0</v>
      </c>
      <c r="AN276" s="401">
        <f t="shared" si="414"/>
        <v>0</v>
      </c>
      <c r="AO276" s="401">
        <f t="shared" si="414"/>
        <v>0</v>
      </c>
      <c r="AP276" s="401">
        <f t="shared" si="414"/>
        <v>0</v>
      </c>
      <c r="AQ276" s="401">
        <f t="shared" si="414"/>
        <v>0</v>
      </c>
      <c r="AR276" s="401">
        <f t="shared" si="414"/>
        <v>0</v>
      </c>
      <c r="AS276" s="401">
        <f t="shared" si="414"/>
        <v>0</v>
      </c>
      <c r="AT276" s="401">
        <f t="shared" si="414"/>
        <v>0</v>
      </c>
      <c r="AU276" s="401">
        <f t="shared" si="414"/>
        <v>0</v>
      </c>
      <c r="AV276" s="401">
        <f t="shared" si="414"/>
        <v>0</v>
      </c>
      <c r="AW276" s="401">
        <f t="shared" si="414"/>
        <v>0</v>
      </c>
      <c r="AX276" s="401">
        <f t="shared" ref="AX276:BP276" si="415">IF($L$217="On",AX$217*AX195,AX195)</f>
        <v>0</v>
      </c>
      <c r="AY276" s="401">
        <f t="shared" si="415"/>
        <v>0</v>
      </c>
      <c r="AZ276" s="401">
        <f t="shared" si="415"/>
        <v>0</v>
      </c>
      <c r="BA276" s="401">
        <f t="shared" si="415"/>
        <v>0</v>
      </c>
      <c r="BB276" s="401">
        <f t="shared" si="415"/>
        <v>0</v>
      </c>
      <c r="BC276" s="401">
        <f t="shared" si="415"/>
        <v>0</v>
      </c>
      <c r="BD276" s="401">
        <f t="shared" si="415"/>
        <v>0</v>
      </c>
      <c r="BE276" s="401">
        <f t="shared" si="415"/>
        <v>0</v>
      </c>
      <c r="BF276" s="401">
        <f t="shared" si="415"/>
        <v>0</v>
      </c>
      <c r="BG276" s="401">
        <f t="shared" si="415"/>
        <v>0</v>
      </c>
      <c r="BH276" s="401">
        <f t="shared" si="415"/>
        <v>0</v>
      </c>
      <c r="BI276" s="401">
        <f t="shared" si="415"/>
        <v>0</v>
      </c>
      <c r="BJ276" s="401">
        <f t="shared" si="415"/>
        <v>0</v>
      </c>
      <c r="BK276" s="401">
        <f t="shared" si="415"/>
        <v>0</v>
      </c>
      <c r="BL276" s="401">
        <f t="shared" si="415"/>
        <v>0</v>
      </c>
      <c r="BM276" s="401">
        <f t="shared" si="415"/>
        <v>0</v>
      </c>
      <c r="BN276" s="401">
        <f t="shared" si="415"/>
        <v>0</v>
      </c>
      <c r="BO276" s="401">
        <f t="shared" si="415"/>
        <v>0</v>
      </c>
      <c r="BP276" s="401">
        <f t="shared" si="415"/>
        <v>0</v>
      </c>
    </row>
    <row r="277" spans="2:68" outlineLevel="1" x14ac:dyDescent="0.2">
      <c r="B277" s="20"/>
      <c r="C277" s="80"/>
      <c r="D277" s="403" t="str">
        <f>$D$196</f>
        <v>Decrease in opex costs</v>
      </c>
      <c r="E277" s="80"/>
      <c r="F277" s="80"/>
      <c r="G277" s="477">
        <f>Assumptions!$H$210</f>
        <v>1</v>
      </c>
      <c r="H277" s="477">
        <f>Assumptions!$I$210</f>
        <v>1</v>
      </c>
      <c r="I277" s="83"/>
      <c r="J277" s="85" t="str">
        <f>Assumptions!$K$210</f>
        <v>Protective security risk</v>
      </c>
      <c r="K277" s="401"/>
      <c r="L277" s="436">
        <f t="shared" si="397"/>
        <v>0</v>
      </c>
      <c r="M277" s="457"/>
      <c r="N277" s="455"/>
      <c r="O277" s="455"/>
      <c r="P277" s="455"/>
      <c r="Q277" s="455"/>
      <c r="R277" s="401">
        <f t="shared" ref="R277:AW277" si="416">IF($L$217="On",R$217*R196,R196)</f>
        <v>0</v>
      </c>
      <c r="S277" s="401">
        <f t="shared" si="416"/>
        <v>0</v>
      </c>
      <c r="T277" s="401">
        <f t="shared" si="416"/>
        <v>0</v>
      </c>
      <c r="U277" s="401">
        <f t="shared" si="416"/>
        <v>0</v>
      </c>
      <c r="V277" s="401">
        <f t="shared" si="416"/>
        <v>0</v>
      </c>
      <c r="W277" s="401">
        <f t="shared" si="416"/>
        <v>0</v>
      </c>
      <c r="X277" s="401">
        <f t="shared" si="416"/>
        <v>0</v>
      </c>
      <c r="Y277" s="401">
        <f t="shared" si="416"/>
        <v>0</v>
      </c>
      <c r="Z277" s="401">
        <f t="shared" si="416"/>
        <v>0</v>
      </c>
      <c r="AA277" s="401">
        <f t="shared" si="416"/>
        <v>0</v>
      </c>
      <c r="AB277" s="401">
        <f t="shared" si="416"/>
        <v>0</v>
      </c>
      <c r="AC277" s="401">
        <f t="shared" si="416"/>
        <v>0</v>
      </c>
      <c r="AD277" s="401">
        <f t="shared" si="416"/>
        <v>0</v>
      </c>
      <c r="AE277" s="401">
        <f t="shared" si="416"/>
        <v>0</v>
      </c>
      <c r="AF277" s="401">
        <f t="shared" si="416"/>
        <v>0</v>
      </c>
      <c r="AG277" s="401">
        <f t="shared" si="416"/>
        <v>0</v>
      </c>
      <c r="AH277" s="401">
        <f t="shared" si="416"/>
        <v>0</v>
      </c>
      <c r="AI277" s="401">
        <f t="shared" si="416"/>
        <v>0</v>
      </c>
      <c r="AJ277" s="401">
        <f t="shared" si="416"/>
        <v>0</v>
      </c>
      <c r="AK277" s="401">
        <f t="shared" si="416"/>
        <v>0</v>
      </c>
      <c r="AL277" s="401">
        <f t="shared" si="416"/>
        <v>0</v>
      </c>
      <c r="AM277" s="401">
        <f t="shared" si="416"/>
        <v>0</v>
      </c>
      <c r="AN277" s="401">
        <f t="shared" si="416"/>
        <v>0</v>
      </c>
      <c r="AO277" s="401">
        <f t="shared" si="416"/>
        <v>0</v>
      </c>
      <c r="AP277" s="401">
        <f t="shared" si="416"/>
        <v>0</v>
      </c>
      <c r="AQ277" s="401">
        <f t="shared" si="416"/>
        <v>0</v>
      </c>
      <c r="AR277" s="401">
        <f t="shared" si="416"/>
        <v>0</v>
      </c>
      <c r="AS277" s="401">
        <f t="shared" si="416"/>
        <v>0</v>
      </c>
      <c r="AT277" s="401">
        <f t="shared" si="416"/>
        <v>0</v>
      </c>
      <c r="AU277" s="401">
        <f t="shared" si="416"/>
        <v>0</v>
      </c>
      <c r="AV277" s="401">
        <f t="shared" si="416"/>
        <v>0</v>
      </c>
      <c r="AW277" s="401">
        <f t="shared" si="416"/>
        <v>0</v>
      </c>
      <c r="AX277" s="401">
        <f t="shared" ref="AX277:BP277" si="417">IF($L$217="On",AX$217*AX196,AX196)</f>
        <v>0</v>
      </c>
      <c r="AY277" s="401">
        <f t="shared" si="417"/>
        <v>0</v>
      </c>
      <c r="AZ277" s="401">
        <f t="shared" si="417"/>
        <v>0</v>
      </c>
      <c r="BA277" s="401">
        <f t="shared" si="417"/>
        <v>0</v>
      </c>
      <c r="BB277" s="401">
        <f t="shared" si="417"/>
        <v>0</v>
      </c>
      <c r="BC277" s="401">
        <f t="shared" si="417"/>
        <v>0</v>
      </c>
      <c r="BD277" s="401">
        <f t="shared" si="417"/>
        <v>0</v>
      </c>
      <c r="BE277" s="401">
        <f t="shared" si="417"/>
        <v>0</v>
      </c>
      <c r="BF277" s="401">
        <f t="shared" si="417"/>
        <v>0</v>
      </c>
      <c r="BG277" s="401">
        <f t="shared" si="417"/>
        <v>0</v>
      </c>
      <c r="BH277" s="401">
        <f t="shared" si="417"/>
        <v>0</v>
      </c>
      <c r="BI277" s="401">
        <f t="shared" si="417"/>
        <v>0</v>
      </c>
      <c r="BJ277" s="401">
        <f t="shared" si="417"/>
        <v>0</v>
      </c>
      <c r="BK277" s="401">
        <f t="shared" si="417"/>
        <v>0</v>
      </c>
      <c r="BL277" s="401">
        <f t="shared" si="417"/>
        <v>0</v>
      </c>
      <c r="BM277" s="401">
        <f t="shared" si="417"/>
        <v>0</v>
      </c>
      <c r="BN277" s="401">
        <f t="shared" si="417"/>
        <v>0</v>
      </c>
      <c r="BO277" s="401">
        <f t="shared" si="417"/>
        <v>0</v>
      </c>
      <c r="BP277" s="401">
        <f t="shared" si="417"/>
        <v>0</v>
      </c>
    </row>
    <row r="278" spans="2:68" outlineLevel="1" x14ac:dyDescent="0.2">
      <c r="B278" s="20"/>
      <c r="C278" s="80"/>
      <c r="D278" s="402" t="str">
        <f>$D$198</f>
        <v>Fines and penalties</v>
      </c>
      <c r="E278" s="80"/>
      <c r="F278" s="80"/>
      <c r="G278" s="477">
        <f>Assumptions!$H$211</f>
        <v>1</v>
      </c>
      <c r="H278" s="477">
        <f>Assumptions!$I$211</f>
        <v>0</v>
      </c>
      <c r="I278" s="83"/>
      <c r="J278" s="85" t="str">
        <f>Assumptions!$K$211</f>
        <v>Protective security risk</v>
      </c>
      <c r="K278" s="401"/>
      <c r="L278" s="436">
        <f t="shared" si="397"/>
        <v>0</v>
      </c>
      <c r="M278" s="457"/>
      <c r="N278" s="455"/>
      <c r="O278" s="455"/>
      <c r="P278" s="455"/>
      <c r="Q278" s="455"/>
      <c r="R278" s="401">
        <f t="shared" ref="R278:AW278" si="418">IF($L$217="On",R$217*R198,R198)</f>
        <v>0</v>
      </c>
      <c r="S278" s="401">
        <f t="shared" si="418"/>
        <v>0</v>
      </c>
      <c r="T278" s="401">
        <f t="shared" si="418"/>
        <v>0</v>
      </c>
      <c r="U278" s="401">
        <f t="shared" si="418"/>
        <v>0</v>
      </c>
      <c r="V278" s="401">
        <f t="shared" si="418"/>
        <v>0</v>
      </c>
      <c r="W278" s="401">
        <f t="shared" si="418"/>
        <v>0</v>
      </c>
      <c r="X278" s="401">
        <f t="shared" si="418"/>
        <v>0</v>
      </c>
      <c r="Y278" s="401">
        <f t="shared" si="418"/>
        <v>0</v>
      </c>
      <c r="Z278" s="401">
        <f t="shared" si="418"/>
        <v>0</v>
      </c>
      <c r="AA278" s="401">
        <f t="shared" si="418"/>
        <v>0</v>
      </c>
      <c r="AB278" s="401">
        <f t="shared" si="418"/>
        <v>0</v>
      </c>
      <c r="AC278" s="401">
        <f t="shared" si="418"/>
        <v>0</v>
      </c>
      <c r="AD278" s="401">
        <f t="shared" si="418"/>
        <v>0</v>
      </c>
      <c r="AE278" s="401">
        <f t="shared" si="418"/>
        <v>0</v>
      </c>
      <c r="AF278" s="401">
        <f t="shared" si="418"/>
        <v>0</v>
      </c>
      <c r="AG278" s="401">
        <f t="shared" si="418"/>
        <v>0</v>
      </c>
      <c r="AH278" s="401">
        <f t="shared" si="418"/>
        <v>0</v>
      </c>
      <c r="AI278" s="401">
        <f t="shared" si="418"/>
        <v>0</v>
      </c>
      <c r="AJ278" s="401">
        <f t="shared" si="418"/>
        <v>0</v>
      </c>
      <c r="AK278" s="401">
        <f t="shared" si="418"/>
        <v>0</v>
      </c>
      <c r="AL278" s="401">
        <f t="shared" si="418"/>
        <v>0</v>
      </c>
      <c r="AM278" s="401">
        <f t="shared" si="418"/>
        <v>0</v>
      </c>
      <c r="AN278" s="401">
        <f t="shared" si="418"/>
        <v>0</v>
      </c>
      <c r="AO278" s="401">
        <f t="shared" si="418"/>
        <v>0</v>
      </c>
      <c r="AP278" s="401">
        <f t="shared" si="418"/>
        <v>0</v>
      </c>
      <c r="AQ278" s="401">
        <f t="shared" si="418"/>
        <v>0</v>
      </c>
      <c r="AR278" s="401">
        <f t="shared" si="418"/>
        <v>0</v>
      </c>
      <c r="AS278" s="401">
        <f t="shared" si="418"/>
        <v>0</v>
      </c>
      <c r="AT278" s="401">
        <f t="shared" si="418"/>
        <v>0</v>
      </c>
      <c r="AU278" s="401">
        <f t="shared" si="418"/>
        <v>0</v>
      </c>
      <c r="AV278" s="401">
        <f t="shared" si="418"/>
        <v>0</v>
      </c>
      <c r="AW278" s="401">
        <f t="shared" si="418"/>
        <v>0</v>
      </c>
      <c r="AX278" s="401">
        <f t="shared" ref="AX278:BP278" si="419">IF($L$217="On",AX$217*AX198,AX198)</f>
        <v>0</v>
      </c>
      <c r="AY278" s="401">
        <f t="shared" si="419"/>
        <v>0</v>
      </c>
      <c r="AZ278" s="401">
        <f t="shared" si="419"/>
        <v>0</v>
      </c>
      <c r="BA278" s="401">
        <f t="shared" si="419"/>
        <v>0</v>
      </c>
      <c r="BB278" s="401">
        <f t="shared" si="419"/>
        <v>0</v>
      </c>
      <c r="BC278" s="401">
        <f t="shared" si="419"/>
        <v>0</v>
      </c>
      <c r="BD278" s="401">
        <f t="shared" si="419"/>
        <v>0</v>
      </c>
      <c r="BE278" s="401">
        <f t="shared" si="419"/>
        <v>0</v>
      </c>
      <c r="BF278" s="401">
        <f t="shared" si="419"/>
        <v>0</v>
      </c>
      <c r="BG278" s="401">
        <f t="shared" si="419"/>
        <v>0</v>
      </c>
      <c r="BH278" s="401">
        <f t="shared" si="419"/>
        <v>0</v>
      </c>
      <c r="BI278" s="401">
        <f t="shared" si="419"/>
        <v>0</v>
      </c>
      <c r="BJ278" s="401">
        <f t="shared" si="419"/>
        <v>0</v>
      </c>
      <c r="BK278" s="401">
        <f t="shared" si="419"/>
        <v>0</v>
      </c>
      <c r="BL278" s="401">
        <f t="shared" si="419"/>
        <v>0</v>
      </c>
      <c r="BM278" s="401">
        <f t="shared" si="419"/>
        <v>0</v>
      </c>
      <c r="BN278" s="401">
        <f t="shared" si="419"/>
        <v>0</v>
      </c>
      <c r="BO278" s="401">
        <f t="shared" si="419"/>
        <v>0</v>
      </c>
      <c r="BP278" s="401">
        <f t="shared" si="419"/>
        <v>0</v>
      </c>
    </row>
    <row r="279" spans="2:68" outlineLevel="1" x14ac:dyDescent="0.2">
      <c r="B279" s="20"/>
      <c r="C279" s="80"/>
      <c r="D279" s="402" t="str">
        <f>$D$199</f>
        <v>Damage / theft of assets</v>
      </c>
      <c r="E279" s="80"/>
      <c r="F279" s="80"/>
      <c r="G279" s="477">
        <f>Assumptions!$H$212</f>
        <v>1</v>
      </c>
      <c r="H279" s="477">
        <f>Assumptions!$I$212</f>
        <v>0</v>
      </c>
      <c r="I279" s="83"/>
      <c r="J279" s="85" t="str">
        <f>Assumptions!$K$212</f>
        <v>Protective security risk</v>
      </c>
      <c r="K279" s="401"/>
      <c r="L279" s="436">
        <f t="shared" si="397"/>
        <v>0</v>
      </c>
      <c r="M279" s="457"/>
      <c r="N279" s="455"/>
      <c r="O279" s="455"/>
      <c r="P279" s="455"/>
      <c r="Q279" s="455"/>
      <c r="R279" s="401">
        <f t="shared" ref="R279:AW279" si="420">IF($L$217="On",R$217*R199,R199)</f>
        <v>0</v>
      </c>
      <c r="S279" s="401">
        <f t="shared" si="420"/>
        <v>0</v>
      </c>
      <c r="T279" s="401">
        <f t="shared" si="420"/>
        <v>0</v>
      </c>
      <c r="U279" s="401">
        <f t="shared" si="420"/>
        <v>0</v>
      </c>
      <c r="V279" s="401">
        <f t="shared" si="420"/>
        <v>0</v>
      </c>
      <c r="W279" s="401">
        <f t="shared" si="420"/>
        <v>0</v>
      </c>
      <c r="X279" s="401">
        <f t="shared" si="420"/>
        <v>0</v>
      </c>
      <c r="Y279" s="401">
        <f t="shared" si="420"/>
        <v>0</v>
      </c>
      <c r="Z279" s="401">
        <f t="shared" si="420"/>
        <v>0</v>
      </c>
      <c r="AA279" s="401">
        <f t="shared" si="420"/>
        <v>0</v>
      </c>
      <c r="AB279" s="401">
        <f t="shared" si="420"/>
        <v>0</v>
      </c>
      <c r="AC279" s="401">
        <f t="shared" si="420"/>
        <v>0</v>
      </c>
      <c r="AD279" s="401">
        <f t="shared" si="420"/>
        <v>0</v>
      </c>
      <c r="AE279" s="401">
        <f t="shared" si="420"/>
        <v>0</v>
      </c>
      <c r="AF279" s="401">
        <f t="shared" si="420"/>
        <v>0</v>
      </c>
      <c r="AG279" s="401">
        <f t="shared" si="420"/>
        <v>0</v>
      </c>
      <c r="AH279" s="401">
        <f t="shared" si="420"/>
        <v>0</v>
      </c>
      <c r="AI279" s="401">
        <f t="shared" si="420"/>
        <v>0</v>
      </c>
      <c r="AJ279" s="401">
        <f t="shared" si="420"/>
        <v>0</v>
      </c>
      <c r="AK279" s="401">
        <f t="shared" si="420"/>
        <v>0</v>
      </c>
      <c r="AL279" s="401">
        <f t="shared" si="420"/>
        <v>0</v>
      </c>
      <c r="AM279" s="401">
        <f t="shared" si="420"/>
        <v>0</v>
      </c>
      <c r="AN279" s="401">
        <f t="shared" si="420"/>
        <v>0</v>
      </c>
      <c r="AO279" s="401">
        <f t="shared" si="420"/>
        <v>0</v>
      </c>
      <c r="AP279" s="401">
        <f t="shared" si="420"/>
        <v>0</v>
      </c>
      <c r="AQ279" s="401">
        <f t="shared" si="420"/>
        <v>0</v>
      </c>
      <c r="AR279" s="401">
        <f t="shared" si="420"/>
        <v>0</v>
      </c>
      <c r="AS279" s="401">
        <f t="shared" si="420"/>
        <v>0</v>
      </c>
      <c r="AT279" s="401">
        <f t="shared" si="420"/>
        <v>0</v>
      </c>
      <c r="AU279" s="401">
        <f t="shared" si="420"/>
        <v>0</v>
      </c>
      <c r="AV279" s="401">
        <f t="shared" si="420"/>
        <v>0</v>
      </c>
      <c r="AW279" s="401">
        <f t="shared" si="420"/>
        <v>0</v>
      </c>
      <c r="AX279" s="401">
        <f t="shared" ref="AX279:BP279" si="421">IF($L$217="On",AX$217*AX199,AX199)</f>
        <v>0</v>
      </c>
      <c r="AY279" s="401">
        <f t="shared" si="421"/>
        <v>0</v>
      </c>
      <c r="AZ279" s="401">
        <f t="shared" si="421"/>
        <v>0</v>
      </c>
      <c r="BA279" s="401">
        <f t="shared" si="421"/>
        <v>0</v>
      </c>
      <c r="BB279" s="401">
        <f t="shared" si="421"/>
        <v>0</v>
      </c>
      <c r="BC279" s="401">
        <f t="shared" si="421"/>
        <v>0</v>
      </c>
      <c r="BD279" s="401">
        <f t="shared" si="421"/>
        <v>0</v>
      </c>
      <c r="BE279" s="401">
        <f t="shared" si="421"/>
        <v>0</v>
      </c>
      <c r="BF279" s="401">
        <f t="shared" si="421"/>
        <v>0</v>
      </c>
      <c r="BG279" s="401">
        <f t="shared" si="421"/>
        <v>0</v>
      </c>
      <c r="BH279" s="401">
        <f t="shared" si="421"/>
        <v>0</v>
      </c>
      <c r="BI279" s="401">
        <f t="shared" si="421"/>
        <v>0</v>
      </c>
      <c r="BJ279" s="401">
        <f t="shared" si="421"/>
        <v>0</v>
      </c>
      <c r="BK279" s="401">
        <f t="shared" si="421"/>
        <v>0</v>
      </c>
      <c r="BL279" s="401">
        <f t="shared" si="421"/>
        <v>0</v>
      </c>
      <c r="BM279" s="401">
        <f t="shared" si="421"/>
        <v>0</v>
      </c>
      <c r="BN279" s="401">
        <f t="shared" si="421"/>
        <v>0</v>
      </c>
      <c r="BO279" s="401">
        <f t="shared" si="421"/>
        <v>0</v>
      </c>
      <c r="BP279" s="401">
        <f t="shared" si="421"/>
        <v>0</v>
      </c>
    </row>
    <row r="280" spans="2:68" outlineLevel="1" x14ac:dyDescent="0.2">
      <c r="B280" s="20"/>
      <c r="C280" s="80"/>
      <c r="D280" s="402" t="str">
        <f>$D$200</f>
        <v>Loss of data</v>
      </c>
      <c r="E280" s="80"/>
      <c r="F280" s="80"/>
      <c r="G280" s="477">
        <f>Assumptions!$H$213</f>
        <v>0</v>
      </c>
      <c r="H280" s="477">
        <f>Assumptions!$I$213</f>
        <v>1</v>
      </c>
      <c r="I280" s="83"/>
      <c r="J280" s="85" t="str">
        <f>Assumptions!$K$213</f>
        <v>Protective security risk</v>
      </c>
      <c r="K280" s="401"/>
      <c r="L280" s="436">
        <f t="shared" si="397"/>
        <v>0</v>
      </c>
      <c r="M280" s="457"/>
      <c r="N280" s="455"/>
      <c r="O280" s="455"/>
      <c r="P280" s="455"/>
      <c r="Q280" s="455"/>
      <c r="R280" s="401">
        <f t="shared" ref="R280:AW280" si="422">IF($L$217="On",R$217*R200,R200)</f>
        <v>0</v>
      </c>
      <c r="S280" s="401">
        <f t="shared" si="422"/>
        <v>0</v>
      </c>
      <c r="T280" s="401">
        <f t="shared" si="422"/>
        <v>0</v>
      </c>
      <c r="U280" s="401">
        <f t="shared" si="422"/>
        <v>0</v>
      </c>
      <c r="V280" s="401">
        <f t="shared" si="422"/>
        <v>0</v>
      </c>
      <c r="W280" s="401">
        <f t="shared" si="422"/>
        <v>0</v>
      </c>
      <c r="X280" s="401">
        <f t="shared" si="422"/>
        <v>0</v>
      </c>
      <c r="Y280" s="401">
        <f t="shared" si="422"/>
        <v>0</v>
      </c>
      <c r="Z280" s="401">
        <f t="shared" si="422"/>
        <v>0</v>
      </c>
      <c r="AA280" s="401">
        <f t="shared" si="422"/>
        <v>0</v>
      </c>
      <c r="AB280" s="401">
        <f t="shared" si="422"/>
        <v>0</v>
      </c>
      <c r="AC280" s="401">
        <f t="shared" si="422"/>
        <v>0</v>
      </c>
      <c r="AD280" s="401">
        <f t="shared" si="422"/>
        <v>0</v>
      </c>
      <c r="AE280" s="401">
        <f t="shared" si="422"/>
        <v>0</v>
      </c>
      <c r="AF280" s="401">
        <f t="shared" si="422"/>
        <v>0</v>
      </c>
      <c r="AG280" s="401">
        <f t="shared" si="422"/>
        <v>0</v>
      </c>
      <c r="AH280" s="401">
        <f t="shared" si="422"/>
        <v>0</v>
      </c>
      <c r="AI280" s="401">
        <f t="shared" si="422"/>
        <v>0</v>
      </c>
      <c r="AJ280" s="401">
        <f t="shared" si="422"/>
        <v>0</v>
      </c>
      <c r="AK280" s="401">
        <f t="shared" si="422"/>
        <v>0</v>
      </c>
      <c r="AL280" s="401">
        <f t="shared" si="422"/>
        <v>0</v>
      </c>
      <c r="AM280" s="401">
        <f t="shared" si="422"/>
        <v>0</v>
      </c>
      <c r="AN280" s="401">
        <f t="shared" si="422"/>
        <v>0</v>
      </c>
      <c r="AO280" s="401">
        <f t="shared" si="422"/>
        <v>0</v>
      </c>
      <c r="AP280" s="401">
        <f t="shared" si="422"/>
        <v>0</v>
      </c>
      <c r="AQ280" s="401">
        <f t="shared" si="422"/>
        <v>0</v>
      </c>
      <c r="AR280" s="401">
        <f t="shared" si="422"/>
        <v>0</v>
      </c>
      <c r="AS280" s="401">
        <f t="shared" si="422"/>
        <v>0</v>
      </c>
      <c r="AT280" s="401">
        <f t="shared" si="422"/>
        <v>0</v>
      </c>
      <c r="AU280" s="401">
        <f t="shared" si="422"/>
        <v>0</v>
      </c>
      <c r="AV280" s="401">
        <f t="shared" si="422"/>
        <v>0</v>
      </c>
      <c r="AW280" s="401">
        <f t="shared" si="422"/>
        <v>0</v>
      </c>
      <c r="AX280" s="401">
        <f t="shared" ref="AX280:BP280" si="423">IF($L$217="On",AX$217*AX200,AX200)</f>
        <v>0</v>
      </c>
      <c r="AY280" s="401">
        <f t="shared" si="423"/>
        <v>0</v>
      </c>
      <c r="AZ280" s="401">
        <f t="shared" si="423"/>
        <v>0</v>
      </c>
      <c r="BA280" s="401">
        <f t="shared" si="423"/>
        <v>0</v>
      </c>
      <c r="BB280" s="401">
        <f t="shared" si="423"/>
        <v>0</v>
      </c>
      <c r="BC280" s="401">
        <f t="shared" si="423"/>
        <v>0</v>
      </c>
      <c r="BD280" s="401">
        <f t="shared" si="423"/>
        <v>0</v>
      </c>
      <c r="BE280" s="401">
        <f t="shared" si="423"/>
        <v>0</v>
      </c>
      <c r="BF280" s="401">
        <f t="shared" si="423"/>
        <v>0</v>
      </c>
      <c r="BG280" s="401">
        <f t="shared" si="423"/>
        <v>0</v>
      </c>
      <c r="BH280" s="401">
        <f t="shared" si="423"/>
        <v>0</v>
      </c>
      <c r="BI280" s="401">
        <f t="shared" si="423"/>
        <v>0</v>
      </c>
      <c r="BJ280" s="401">
        <f t="shared" si="423"/>
        <v>0</v>
      </c>
      <c r="BK280" s="401">
        <f t="shared" si="423"/>
        <v>0</v>
      </c>
      <c r="BL280" s="401">
        <f t="shared" si="423"/>
        <v>0</v>
      </c>
      <c r="BM280" s="401">
        <f t="shared" si="423"/>
        <v>0</v>
      </c>
      <c r="BN280" s="401">
        <f t="shared" si="423"/>
        <v>0</v>
      </c>
      <c r="BO280" s="401">
        <f t="shared" si="423"/>
        <v>0</v>
      </c>
      <c r="BP280" s="401">
        <f t="shared" si="423"/>
        <v>0</v>
      </c>
    </row>
    <row r="281" spans="2:68" outlineLevel="1" x14ac:dyDescent="0.2">
      <c r="B281" s="20"/>
      <c r="C281" s="80"/>
      <c r="D281" s="81" t="str">
        <f>$D$201</f>
        <v>ICT/OT hardware or software failure risk</v>
      </c>
      <c r="E281" s="80"/>
      <c r="F281" s="80"/>
      <c r="G281" s="83"/>
      <c r="H281" s="83"/>
      <c r="I281" s="83"/>
      <c r="J281" s="85"/>
      <c r="K281" s="401"/>
      <c r="L281" s="436"/>
      <c r="M281" s="457"/>
      <c r="N281" s="455"/>
      <c r="O281" s="455"/>
      <c r="P281" s="455"/>
      <c r="Q281" s="455"/>
      <c r="R281" s="455"/>
      <c r="S281" s="455"/>
      <c r="T281" s="455"/>
      <c r="U281" s="455"/>
      <c r="V281" s="455"/>
      <c r="W281" s="455"/>
      <c r="X281" s="455"/>
      <c r="Y281" s="455"/>
      <c r="Z281" s="455"/>
      <c r="AA281" s="455"/>
      <c r="AB281" s="455"/>
      <c r="AC281" s="455"/>
      <c r="AD281" s="455"/>
      <c r="AE281" s="455"/>
      <c r="AF281" s="455"/>
      <c r="AG281" s="455"/>
      <c r="AH281" s="455"/>
      <c r="AI281" s="455"/>
      <c r="AJ281" s="455"/>
      <c r="AK281" s="455"/>
      <c r="AL281" s="455"/>
      <c r="AM281" s="455"/>
      <c r="AN281" s="455"/>
      <c r="AO281" s="455"/>
      <c r="AP281" s="455"/>
      <c r="AQ281" s="455"/>
      <c r="AR281" s="455"/>
      <c r="AS281" s="455"/>
      <c r="AT281" s="455"/>
      <c r="AU281" s="455"/>
      <c r="AV281" s="455"/>
      <c r="AW281" s="455"/>
      <c r="AX281" s="455"/>
      <c r="AY281" s="455"/>
      <c r="AZ281" s="455"/>
      <c r="BA281" s="455"/>
      <c r="BB281" s="455"/>
      <c r="BC281" s="455"/>
      <c r="BD281" s="455"/>
      <c r="BE281" s="455"/>
      <c r="BF281" s="455"/>
      <c r="BG281" s="455"/>
      <c r="BH281" s="455"/>
      <c r="BI281" s="455"/>
      <c r="BJ281" s="455"/>
      <c r="BK281" s="455"/>
      <c r="BL281" s="455"/>
      <c r="BM281" s="455"/>
      <c r="BN281" s="455"/>
      <c r="BO281" s="455"/>
      <c r="BP281" s="455"/>
    </row>
    <row r="282" spans="2:68" outlineLevel="1" x14ac:dyDescent="0.2">
      <c r="B282" s="20"/>
      <c r="C282" s="80"/>
      <c r="D282" s="402" t="str">
        <f>$D$202</f>
        <v>Cost of manual intervention</v>
      </c>
      <c r="E282" s="80"/>
      <c r="F282" s="80"/>
      <c r="G282" s="477">
        <f>Assumptions!$H$215</f>
        <v>1</v>
      </c>
      <c r="H282" s="477">
        <f>Assumptions!$I$215</f>
        <v>0</v>
      </c>
      <c r="I282" s="83"/>
      <c r="J282" s="85" t="str">
        <f>Assumptions!$K$215</f>
        <v>ICT/OT hardware or software failure risk</v>
      </c>
      <c r="K282" s="401"/>
      <c r="L282" s="436">
        <f t="shared" si="397"/>
        <v>0</v>
      </c>
      <c r="M282" s="457"/>
      <c r="N282" s="455"/>
      <c r="O282" s="455"/>
      <c r="P282" s="455"/>
      <c r="Q282" s="455"/>
      <c r="R282" s="401">
        <f t="shared" ref="R282:AW282" si="424">IF($L$217="On",R$217*R202,R202)</f>
        <v>0</v>
      </c>
      <c r="S282" s="401">
        <f t="shared" si="424"/>
        <v>0</v>
      </c>
      <c r="T282" s="401">
        <f t="shared" si="424"/>
        <v>0</v>
      </c>
      <c r="U282" s="401">
        <f t="shared" si="424"/>
        <v>0</v>
      </c>
      <c r="V282" s="401">
        <f t="shared" si="424"/>
        <v>0</v>
      </c>
      <c r="W282" s="401">
        <f t="shared" si="424"/>
        <v>0</v>
      </c>
      <c r="X282" s="401">
        <f t="shared" si="424"/>
        <v>0</v>
      </c>
      <c r="Y282" s="401">
        <f t="shared" si="424"/>
        <v>0</v>
      </c>
      <c r="Z282" s="401">
        <f t="shared" si="424"/>
        <v>0</v>
      </c>
      <c r="AA282" s="401">
        <f t="shared" si="424"/>
        <v>0</v>
      </c>
      <c r="AB282" s="401">
        <f t="shared" si="424"/>
        <v>0</v>
      </c>
      <c r="AC282" s="401">
        <f t="shared" si="424"/>
        <v>0</v>
      </c>
      <c r="AD282" s="401">
        <f t="shared" si="424"/>
        <v>0</v>
      </c>
      <c r="AE282" s="401">
        <f t="shared" si="424"/>
        <v>0</v>
      </c>
      <c r="AF282" s="401">
        <f t="shared" si="424"/>
        <v>0</v>
      </c>
      <c r="AG282" s="401">
        <f t="shared" si="424"/>
        <v>0</v>
      </c>
      <c r="AH282" s="401">
        <f t="shared" si="424"/>
        <v>0</v>
      </c>
      <c r="AI282" s="401">
        <f t="shared" si="424"/>
        <v>0</v>
      </c>
      <c r="AJ282" s="401">
        <f t="shared" si="424"/>
        <v>0</v>
      </c>
      <c r="AK282" s="401">
        <f t="shared" si="424"/>
        <v>0</v>
      </c>
      <c r="AL282" s="401">
        <f t="shared" si="424"/>
        <v>0</v>
      </c>
      <c r="AM282" s="401">
        <f t="shared" si="424"/>
        <v>0</v>
      </c>
      <c r="AN282" s="401">
        <f t="shared" si="424"/>
        <v>0</v>
      </c>
      <c r="AO282" s="401">
        <f t="shared" si="424"/>
        <v>0</v>
      </c>
      <c r="AP282" s="401">
        <f t="shared" si="424"/>
        <v>0</v>
      </c>
      <c r="AQ282" s="401">
        <f t="shared" si="424"/>
        <v>0</v>
      </c>
      <c r="AR282" s="401">
        <f t="shared" si="424"/>
        <v>0</v>
      </c>
      <c r="AS282" s="401">
        <f t="shared" si="424"/>
        <v>0</v>
      </c>
      <c r="AT282" s="401">
        <f t="shared" si="424"/>
        <v>0</v>
      </c>
      <c r="AU282" s="401">
        <f t="shared" si="424"/>
        <v>0</v>
      </c>
      <c r="AV282" s="401">
        <f t="shared" si="424"/>
        <v>0</v>
      </c>
      <c r="AW282" s="401">
        <f t="shared" si="424"/>
        <v>0</v>
      </c>
      <c r="AX282" s="401">
        <f t="shared" ref="AX282:BP282" si="425">IF($L$217="On",AX$217*AX202,AX202)</f>
        <v>0</v>
      </c>
      <c r="AY282" s="401">
        <f t="shared" si="425"/>
        <v>0</v>
      </c>
      <c r="AZ282" s="401">
        <f t="shared" si="425"/>
        <v>0</v>
      </c>
      <c r="BA282" s="401">
        <f t="shared" si="425"/>
        <v>0</v>
      </c>
      <c r="BB282" s="401">
        <f t="shared" si="425"/>
        <v>0</v>
      </c>
      <c r="BC282" s="401">
        <f t="shared" si="425"/>
        <v>0</v>
      </c>
      <c r="BD282" s="401">
        <f t="shared" si="425"/>
        <v>0</v>
      </c>
      <c r="BE282" s="401">
        <f t="shared" si="425"/>
        <v>0</v>
      </c>
      <c r="BF282" s="401">
        <f t="shared" si="425"/>
        <v>0</v>
      </c>
      <c r="BG282" s="401">
        <f t="shared" si="425"/>
        <v>0</v>
      </c>
      <c r="BH282" s="401">
        <f t="shared" si="425"/>
        <v>0</v>
      </c>
      <c r="BI282" s="401">
        <f t="shared" si="425"/>
        <v>0</v>
      </c>
      <c r="BJ282" s="401">
        <f t="shared" si="425"/>
        <v>0</v>
      </c>
      <c r="BK282" s="401">
        <f t="shared" si="425"/>
        <v>0</v>
      </c>
      <c r="BL282" s="401">
        <f t="shared" si="425"/>
        <v>0</v>
      </c>
      <c r="BM282" s="401">
        <f t="shared" si="425"/>
        <v>0</v>
      </c>
      <c r="BN282" s="401">
        <f t="shared" si="425"/>
        <v>0</v>
      </c>
      <c r="BO282" s="401">
        <f t="shared" si="425"/>
        <v>0</v>
      </c>
      <c r="BP282" s="401">
        <f t="shared" si="425"/>
        <v>0</v>
      </c>
    </row>
    <row r="283" spans="2:68" outlineLevel="1" x14ac:dyDescent="0.2">
      <c r="B283" s="20"/>
      <c r="C283" s="80"/>
      <c r="D283" s="402" t="str">
        <f>$D$203</f>
        <v>Loss productive time</v>
      </c>
      <c r="E283" s="80"/>
      <c r="F283" s="80"/>
      <c r="G283" s="83"/>
      <c r="H283" s="83"/>
      <c r="I283" s="83"/>
      <c r="J283" s="85"/>
      <c r="K283" s="401"/>
      <c r="L283" s="436"/>
      <c r="M283" s="457"/>
      <c r="N283" s="455"/>
      <c r="O283" s="455"/>
      <c r="P283" s="455"/>
      <c r="Q283" s="455"/>
      <c r="R283" s="455"/>
      <c r="S283" s="455"/>
      <c r="T283" s="455"/>
      <c r="U283" s="455"/>
      <c r="V283" s="455"/>
      <c r="W283" s="455"/>
      <c r="X283" s="455"/>
      <c r="Y283" s="455"/>
      <c r="Z283" s="455"/>
      <c r="AA283" s="455"/>
      <c r="AB283" s="455"/>
      <c r="AC283" s="455"/>
      <c r="AD283" s="455"/>
      <c r="AE283" s="455"/>
      <c r="AF283" s="455"/>
      <c r="AG283" s="455"/>
      <c r="AH283" s="455"/>
      <c r="AI283" s="455"/>
      <c r="AJ283" s="455"/>
      <c r="AK283" s="455"/>
      <c r="AL283" s="455"/>
      <c r="AM283" s="455"/>
      <c r="AN283" s="455"/>
      <c r="AO283" s="455"/>
      <c r="AP283" s="455"/>
      <c r="AQ283" s="455"/>
      <c r="AR283" s="455"/>
      <c r="AS283" s="455"/>
      <c r="AT283" s="455"/>
      <c r="AU283" s="455"/>
      <c r="AV283" s="455"/>
      <c r="AW283" s="455"/>
      <c r="AX283" s="455"/>
      <c r="AY283" s="455"/>
      <c r="AZ283" s="455"/>
      <c r="BA283" s="455"/>
      <c r="BB283" s="455"/>
      <c r="BC283" s="455"/>
      <c r="BD283" s="455"/>
      <c r="BE283" s="455"/>
      <c r="BF283" s="455"/>
      <c r="BG283" s="455"/>
      <c r="BH283" s="455"/>
      <c r="BI283" s="455"/>
      <c r="BJ283" s="455"/>
      <c r="BK283" s="455"/>
      <c r="BL283" s="455"/>
      <c r="BM283" s="455"/>
      <c r="BN283" s="455"/>
      <c r="BO283" s="455"/>
      <c r="BP283" s="455"/>
    </row>
    <row r="284" spans="2:68" outlineLevel="1" x14ac:dyDescent="0.2">
      <c r="B284" s="20"/>
      <c r="C284" s="80"/>
      <c r="D284" s="403" t="str">
        <f>$D$204</f>
        <v>Additional capex completed without additional labour cost</v>
      </c>
      <c r="E284" s="80"/>
      <c r="F284" s="80"/>
      <c r="G284" s="477">
        <f>Assumptions!$H$217</f>
        <v>1</v>
      </c>
      <c r="H284" s="477">
        <f>Assumptions!$I$217</f>
        <v>0</v>
      </c>
      <c r="I284" s="83"/>
      <c r="J284" s="85" t="str">
        <f>Assumptions!$K$217</f>
        <v>ICT/OT hardware or software failure risk</v>
      </c>
      <c r="K284" s="401"/>
      <c r="L284" s="436">
        <f t="shared" si="397"/>
        <v>0</v>
      </c>
      <c r="M284" s="457"/>
      <c r="N284" s="455"/>
      <c r="O284" s="455"/>
      <c r="P284" s="455"/>
      <c r="Q284" s="455"/>
      <c r="R284" s="401">
        <f t="shared" ref="R284:AW284" si="426">IF($L$217="On",R$217*R204,R204)</f>
        <v>0</v>
      </c>
      <c r="S284" s="401">
        <f t="shared" si="426"/>
        <v>0</v>
      </c>
      <c r="T284" s="401">
        <f t="shared" si="426"/>
        <v>0</v>
      </c>
      <c r="U284" s="401">
        <f t="shared" si="426"/>
        <v>0</v>
      </c>
      <c r="V284" s="401">
        <f t="shared" si="426"/>
        <v>0</v>
      </c>
      <c r="W284" s="401">
        <f t="shared" si="426"/>
        <v>0</v>
      </c>
      <c r="X284" s="401">
        <f t="shared" si="426"/>
        <v>0</v>
      </c>
      <c r="Y284" s="401">
        <f t="shared" si="426"/>
        <v>0</v>
      </c>
      <c r="Z284" s="401">
        <f t="shared" si="426"/>
        <v>0</v>
      </c>
      <c r="AA284" s="401">
        <f t="shared" si="426"/>
        <v>0</v>
      </c>
      <c r="AB284" s="401">
        <f t="shared" si="426"/>
        <v>0</v>
      </c>
      <c r="AC284" s="401">
        <f t="shared" si="426"/>
        <v>0</v>
      </c>
      <c r="AD284" s="401">
        <f t="shared" si="426"/>
        <v>0</v>
      </c>
      <c r="AE284" s="401">
        <f t="shared" si="426"/>
        <v>0</v>
      </c>
      <c r="AF284" s="401">
        <f t="shared" si="426"/>
        <v>0</v>
      </c>
      <c r="AG284" s="401">
        <f t="shared" si="426"/>
        <v>0</v>
      </c>
      <c r="AH284" s="401">
        <f t="shared" si="426"/>
        <v>0</v>
      </c>
      <c r="AI284" s="401">
        <f t="shared" si="426"/>
        <v>0</v>
      </c>
      <c r="AJ284" s="401">
        <f t="shared" si="426"/>
        <v>0</v>
      </c>
      <c r="AK284" s="401">
        <f t="shared" si="426"/>
        <v>0</v>
      </c>
      <c r="AL284" s="401">
        <f t="shared" si="426"/>
        <v>0</v>
      </c>
      <c r="AM284" s="401">
        <f t="shared" si="426"/>
        <v>0</v>
      </c>
      <c r="AN284" s="401">
        <f t="shared" si="426"/>
        <v>0</v>
      </c>
      <c r="AO284" s="401">
        <f t="shared" si="426"/>
        <v>0</v>
      </c>
      <c r="AP284" s="401">
        <f t="shared" si="426"/>
        <v>0</v>
      </c>
      <c r="AQ284" s="401">
        <f t="shared" si="426"/>
        <v>0</v>
      </c>
      <c r="AR284" s="401">
        <f t="shared" si="426"/>
        <v>0</v>
      </c>
      <c r="AS284" s="401">
        <f t="shared" si="426"/>
        <v>0</v>
      </c>
      <c r="AT284" s="401">
        <f t="shared" si="426"/>
        <v>0</v>
      </c>
      <c r="AU284" s="401">
        <f t="shared" si="426"/>
        <v>0</v>
      </c>
      <c r="AV284" s="401">
        <f t="shared" si="426"/>
        <v>0</v>
      </c>
      <c r="AW284" s="401">
        <f t="shared" si="426"/>
        <v>0</v>
      </c>
      <c r="AX284" s="401">
        <f t="shared" ref="AX284:BP284" si="427">IF($L$217="On",AX$217*AX204,AX204)</f>
        <v>0</v>
      </c>
      <c r="AY284" s="401">
        <f t="shared" si="427"/>
        <v>0</v>
      </c>
      <c r="AZ284" s="401">
        <f t="shared" si="427"/>
        <v>0</v>
      </c>
      <c r="BA284" s="401">
        <f t="shared" si="427"/>
        <v>0</v>
      </c>
      <c r="BB284" s="401">
        <f t="shared" si="427"/>
        <v>0</v>
      </c>
      <c r="BC284" s="401">
        <f t="shared" si="427"/>
        <v>0</v>
      </c>
      <c r="BD284" s="401">
        <f t="shared" si="427"/>
        <v>0</v>
      </c>
      <c r="BE284" s="401">
        <f t="shared" si="427"/>
        <v>0</v>
      </c>
      <c r="BF284" s="401">
        <f t="shared" si="427"/>
        <v>0</v>
      </c>
      <c r="BG284" s="401">
        <f t="shared" si="427"/>
        <v>0</v>
      </c>
      <c r="BH284" s="401">
        <f t="shared" si="427"/>
        <v>0</v>
      </c>
      <c r="BI284" s="401">
        <f t="shared" si="427"/>
        <v>0</v>
      </c>
      <c r="BJ284" s="401">
        <f t="shared" si="427"/>
        <v>0</v>
      </c>
      <c r="BK284" s="401">
        <f t="shared" si="427"/>
        <v>0</v>
      </c>
      <c r="BL284" s="401">
        <f t="shared" si="427"/>
        <v>0</v>
      </c>
      <c r="BM284" s="401">
        <f t="shared" si="427"/>
        <v>0</v>
      </c>
      <c r="BN284" s="401">
        <f t="shared" si="427"/>
        <v>0</v>
      </c>
      <c r="BO284" s="401">
        <f t="shared" si="427"/>
        <v>0</v>
      </c>
      <c r="BP284" s="401">
        <f t="shared" si="427"/>
        <v>0</v>
      </c>
    </row>
    <row r="285" spans="2:68" outlineLevel="1" x14ac:dyDescent="0.2">
      <c r="B285" s="20"/>
      <c r="C285" s="80"/>
      <c r="D285" s="403" t="str">
        <f>$D$205</f>
        <v>Decrease in opex costs</v>
      </c>
      <c r="E285" s="80"/>
      <c r="F285" s="80"/>
      <c r="G285" s="477">
        <f>Assumptions!$H$218</f>
        <v>1</v>
      </c>
      <c r="H285" s="477">
        <f>Assumptions!$I$218</f>
        <v>1</v>
      </c>
      <c r="I285" s="83"/>
      <c r="J285" s="85" t="str">
        <f>Assumptions!$K$218</f>
        <v>ICT/OT hardware or software failure risk</v>
      </c>
      <c r="K285" s="401"/>
      <c r="L285" s="436">
        <f t="shared" si="397"/>
        <v>0</v>
      </c>
      <c r="M285" s="457"/>
      <c r="N285" s="455"/>
      <c r="O285" s="455"/>
      <c r="P285" s="455"/>
      <c r="Q285" s="455"/>
      <c r="R285" s="401">
        <f t="shared" ref="R285:AW285" si="428">IF($L$217="On",R$217*R205,R205)</f>
        <v>0</v>
      </c>
      <c r="S285" s="401">
        <f t="shared" si="428"/>
        <v>0</v>
      </c>
      <c r="T285" s="401">
        <f t="shared" si="428"/>
        <v>0</v>
      </c>
      <c r="U285" s="401">
        <f t="shared" si="428"/>
        <v>0</v>
      </c>
      <c r="V285" s="401">
        <f t="shared" si="428"/>
        <v>0</v>
      </c>
      <c r="W285" s="401">
        <f t="shared" si="428"/>
        <v>0</v>
      </c>
      <c r="X285" s="401">
        <f t="shared" si="428"/>
        <v>0</v>
      </c>
      <c r="Y285" s="401">
        <f t="shared" si="428"/>
        <v>0</v>
      </c>
      <c r="Z285" s="401">
        <f t="shared" si="428"/>
        <v>0</v>
      </c>
      <c r="AA285" s="401">
        <f t="shared" si="428"/>
        <v>0</v>
      </c>
      <c r="AB285" s="401">
        <f t="shared" si="428"/>
        <v>0</v>
      </c>
      <c r="AC285" s="401">
        <f t="shared" si="428"/>
        <v>0</v>
      </c>
      <c r="AD285" s="401">
        <f t="shared" si="428"/>
        <v>0</v>
      </c>
      <c r="AE285" s="401">
        <f t="shared" si="428"/>
        <v>0</v>
      </c>
      <c r="AF285" s="401">
        <f t="shared" si="428"/>
        <v>0</v>
      </c>
      <c r="AG285" s="401">
        <f t="shared" si="428"/>
        <v>0</v>
      </c>
      <c r="AH285" s="401">
        <f t="shared" si="428"/>
        <v>0</v>
      </c>
      <c r="AI285" s="401">
        <f t="shared" si="428"/>
        <v>0</v>
      </c>
      <c r="AJ285" s="401">
        <f t="shared" si="428"/>
        <v>0</v>
      </c>
      <c r="AK285" s="401">
        <f t="shared" si="428"/>
        <v>0</v>
      </c>
      <c r="AL285" s="401">
        <f t="shared" si="428"/>
        <v>0</v>
      </c>
      <c r="AM285" s="401">
        <f t="shared" si="428"/>
        <v>0</v>
      </c>
      <c r="AN285" s="401">
        <f t="shared" si="428"/>
        <v>0</v>
      </c>
      <c r="AO285" s="401">
        <f t="shared" si="428"/>
        <v>0</v>
      </c>
      <c r="AP285" s="401">
        <f t="shared" si="428"/>
        <v>0</v>
      </c>
      <c r="AQ285" s="401">
        <f t="shared" si="428"/>
        <v>0</v>
      </c>
      <c r="AR285" s="401">
        <f t="shared" si="428"/>
        <v>0</v>
      </c>
      <c r="AS285" s="401">
        <f t="shared" si="428"/>
        <v>0</v>
      </c>
      <c r="AT285" s="401">
        <f t="shared" si="428"/>
        <v>0</v>
      </c>
      <c r="AU285" s="401">
        <f t="shared" si="428"/>
        <v>0</v>
      </c>
      <c r="AV285" s="401">
        <f t="shared" si="428"/>
        <v>0</v>
      </c>
      <c r="AW285" s="401">
        <f t="shared" si="428"/>
        <v>0</v>
      </c>
      <c r="AX285" s="401">
        <f t="shared" ref="AX285:BP285" si="429">IF($L$217="On",AX$217*AX205,AX205)</f>
        <v>0</v>
      </c>
      <c r="AY285" s="401">
        <f t="shared" si="429"/>
        <v>0</v>
      </c>
      <c r="AZ285" s="401">
        <f t="shared" si="429"/>
        <v>0</v>
      </c>
      <c r="BA285" s="401">
        <f t="shared" si="429"/>
        <v>0</v>
      </c>
      <c r="BB285" s="401">
        <f t="shared" si="429"/>
        <v>0</v>
      </c>
      <c r="BC285" s="401">
        <f t="shared" si="429"/>
        <v>0</v>
      </c>
      <c r="BD285" s="401">
        <f t="shared" si="429"/>
        <v>0</v>
      </c>
      <c r="BE285" s="401">
        <f t="shared" si="429"/>
        <v>0</v>
      </c>
      <c r="BF285" s="401">
        <f t="shared" si="429"/>
        <v>0</v>
      </c>
      <c r="BG285" s="401">
        <f t="shared" si="429"/>
        <v>0</v>
      </c>
      <c r="BH285" s="401">
        <f t="shared" si="429"/>
        <v>0</v>
      </c>
      <c r="BI285" s="401">
        <f t="shared" si="429"/>
        <v>0</v>
      </c>
      <c r="BJ285" s="401">
        <f t="shared" si="429"/>
        <v>0</v>
      </c>
      <c r="BK285" s="401">
        <f t="shared" si="429"/>
        <v>0</v>
      </c>
      <c r="BL285" s="401">
        <f t="shared" si="429"/>
        <v>0</v>
      </c>
      <c r="BM285" s="401">
        <f t="shared" si="429"/>
        <v>0</v>
      </c>
      <c r="BN285" s="401">
        <f t="shared" si="429"/>
        <v>0</v>
      </c>
      <c r="BO285" s="401">
        <f t="shared" si="429"/>
        <v>0</v>
      </c>
      <c r="BP285" s="401">
        <f t="shared" si="429"/>
        <v>0</v>
      </c>
    </row>
    <row r="286" spans="2:68" outlineLevel="1" x14ac:dyDescent="0.2">
      <c r="B286" s="20"/>
      <c r="C286" s="80"/>
      <c r="D286" s="402" t="str">
        <f>$D$207</f>
        <v>Safety risk</v>
      </c>
      <c r="E286" s="80"/>
      <c r="F286" s="80"/>
      <c r="G286" s="477">
        <f>Assumptions!$H$219</f>
        <v>0</v>
      </c>
      <c r="H286" s="477">
        <f>Assumptions!$I$219</f>
        <v>1</v>
      </c>
      <c r="I286" s="83"/>
      <c r="J286" s="85" t="str">
        <f>Assumptions!$K$219</f>
        <v>ICT/OT hardware or software failure risk</v>
      </c>
      <c r="K286" s="401"/>
      <c r="L286" s="436">
        <f t="shared" si="397"/>
        <v>0</v>
      </c>
      <c r="M286" s="457"/>
      <c r="N286" s="455"/>
      <c r="O286" s="455"/>
      <c r="P286" s="455"/>
      <c r="Q286" s="455"/>
      <c r="R286" s="401">
        <f t="shared" ref="R286:AW286" si="430">IF($L$217="On",R$217*R207,R207)</f>
        <v>0</v>
      </c>
      <c r="S286" s="401">
        <f t="shared" si="430"/>
        <v>0</v>
      </c>
      <c r="T286" s="401">
        <f t="shared" si="430"/>
        <v>0</v>
      </c>
      <c r="U286" s="401">
        <f t="shared" si="430"/>
        <v>0</v>
      </c>
      <c r="V286" s="401">
        <f t="shared" si="430"/>
        <v>0</v>
      </c>
      <c r="W286" s="401">
        <f t="shared" si="430"/>
        <v>0</v>
      </c>
      <c r="X286" s="401">
        <f t="shared" si="430"/>
        <v>0</v>
      </c>
      <c r="Y286" s="401">
        <f t="shared" si="430"/>
        <v>0</v>
      </c>
      <c r="Z286" s="401">
        <f t="shared" si="430"/>
        <v>0</v>
      </c>
      <c r="AA286" s="401">
        <f t="shared" si="430"/>
        <v>0</v>
      </c>
      <c r="AB286" s="401">
        <f t="shared" si="430"/>
        <v>0</v>
      </c>
      <c r="AC286" s="401">
        <f t="shared" si="430"/>
        <v>0</v>
      </c>
      <c r="AD286" s="401">
        <f t="shared" si="430"/>
        <v>0</v>
      </c>
      <c r="AE286" s="401">
        <f t="shared" si="430"/>
        <v>0</v>
      </c>
      <c r="AF286" s="401">
        <f t="shared" si="430"/>
        <v>0</v>
      </c>
      <c r="AG286" s="401">
        <f t="shared" si="430"/>
        <v>0</v>
      </c>
      <c r="AH286" s="401">
        <f t="shared" si="430"/>
        <v>0</v>
      </c>
      <c r="AI286" s="401">
        <f t="shared" si="430"/>
        <v>0</v>
      </c>
      <c r="AJ286" s="401">
        <f t="shared" si="430"/>
        <v>0</v>
      </c>
      <c r="AK286" s="401">
        <f t="shared" si="430"/>
        <v>0</v>
      </c>
      <c r="AL286" s="401">
        <f t="shared" si="430"/>
        <v>0</v>
      </c>
      <c r="AM286" s="401">
        <f t="shared" si="430"/>
        <v>0</v>
      </c>
      <c r="AN286" s="401">
        <f t="shared" si="430"/>
        <v>0</v>
      </c>
      <c r="AO286" s="401">
        <f t="shared" si="430"/>
        <v>0</v>
      </c>
      <c r="AP286" s="401">
        <f t="shared" si="430"/>
        <v>0</v>
      </c>
      <c r="AQ286" s="401">
        <f t="shared" si="430"/>
        <v>0</v>
      </c>
      <c r="AR286" s="401">
        <f t="shared" si="430"/>
        <v>0</v>
      </c>
      <c r="AS286" s="401">
        <f t="shared" si="430"/>
        <v>0</v>
      </c>
      <c r="AT286" s="401">
        <f t="shared" si="430"/>
        <v>0</v>
      </c>
      <c r="AU286" s="401">
        <f t="shared" si="430"/>
        <v>0</v>
      </c>
      <c r="AV286" s="401">
        <f t="shared" si="430"/>
        <v>0</v>
      </c>
      <c r="AW286" s="401">
        <f t="shared" si="430"/>
        <v>0</v>
      </c>
      <c r="AX286" s="401">
        <f t="shared" ref="AX286:BP286" si="431">IF($L$217="On",AX$217*AX207,AX207)</f>
        <v>0</v>
      </c>
      <c r="AY286" s="401">
        <f t="shared" si="431"/>
        <v>0</v>
      </c>
      <c r="AZ286" s="401">
        <f t="shared" si="431"/>
        <v>0</v>
      </c>
      <c r="BA286" s="401">
        <f t="shared" si="431"/>
        <v>0</v>
      </c>
      <c r="BB286" s="401">
        <f t="shared" si="431"/>
        <v>0</v>
      </c>
      <c r="BC286" s="401">
        <f t="shared" si="431"/>
        <v>0</v>
      </c>
      <c r="BD286" s="401">
        <f t="shared" si="431"/>
        <v>0</v>
      </c>
      <c r="BE286" s="401">
        <f t="shared" si="431"/>
        <v>0</v>
      </c>
      <c r="BF286" s="401">
        <f t="shared" si="431"/>
        <v>0</v>
      </c>
      <c r="BG286" s="401">
        <f t="shared" si="431"/>
        <v>0</v>
      </c>
      <c r="BH286" s="401">
        <f t="shared" si="431"/>
        <v>0</v>
      </c>
      <c r="BI286" s="401">
        <f t="shared" si="431"/>
        <v>0</v>
      </c>
      <c r="BJ286" s="401">
        <f t="shared" si="431"/>
        <v>0</v>
      </c>
      <c r="BK286" s="401">
        <f t="shared" si="431"/>
        <v>0</v>
      </c>
      <c r="BL286" s="401">
        <f t="shared" si="431"/>
        <v>0</v>
      </c>
      <c r="BM286" s="401">
        <f t="shared" si="431"/>
        <v>0</v>
      </c>
      <c r="BN286" s="401">
        <f t="shared" si="431"/>
        <v>0</v>
      </c>
      <c r="BO286" s="401">
        <f t="shared" si="431"/>
        <v>0</v>
      </c>
      <c r="BP286" s="401">
        <f t="shared" si="431"/>
        <v>0</v>
      </c>
    </row>
    <row r="287" spans="2:68" outlineLevel="1" x14ac:dyDescent="0.2">
      <c r="B287" s="20"/>
      <c r="C287" s="80"/>
      <c r="D287" s="81" t="str">
        <f>$D$208</f>
        <v>Employee engagement</v>
      </c>
      <c r="E287" s="80"/>
      <c r="F287" s="80"/>
      <c r="G287" s="83"/>
      <c r="H287" s="83"/>
      <c r="I287" s="83"/>
      <c r="J287" s="85"/>
      <c r="K287" s="401"/>
      <c r="L287" s="436"/>
      <c r="M287" s="457"/>
      <c r="N287" s="455"/>
      <c r="O287" s="455"/>
      <c r="P287" s="455"/>
      <c r="Q287" s="455"/>
      <c r="R287" s="455"/>
      <c r="S287" s="455"/>
      <c r="T287" s="455"/>
      <c r="U287" s="455"/>
      <c r="V287" s="455"/>
      <c r="W287" s="455"/>
      <c r="X287" s="455"/>
      <c r="Y287" s="455"/>
      <c r="Z287" s="455"/>
      <c r="AA287" s="455"/>
      <c r="AB287" s="455"/>
      <c r="AC287" s="455"/>
      <c r="AD287" s="455"/>
      <c r="AE287" s="455"/>
      <c r="AF287" s="455"/>
      <c r="AG287" s="455"/>
      <c r="AH287" s="455"/>
      <c r="AI287" s="455"/>
      <c r="AJ287" s="455"/>
      <c r="AK287" s="455"/>
      <c r="AL287" s="455"/>
      <c r="AM287" s="455"/>
      <c r="AN287" s="455"/>
      <c r="AO287" s="455"/>
      <c r="AP287" s="455"/>
      <c r="AQ287" s="455"/>
      <c r="AR287" s="455"/>
      <c r="AS287" s="455"/>
      <c r="AT287" s="455"/>
      <c r="AU287" s="455"/>
      <c r="AV287" s="455"/>
      <c r="AW287" s="455"/>
      <c r="AX287" s="455"/>
      <c r="AY287" s="455"/>
      <c r="AZ287" s="455"/>
      <c r="BA287" s="455"/>
      <c r="BB287" s="455"/>
      <c r="BC287" s="455"/>
      <c r="BD287" s="455"/>
      <c r="BE287" s="455"/>
      <c r="BF287" s="455"/>
      <c r="BG287" s="455"/>
      <c r="BH287" s="455"/>
      <c r="BI287" s="455"/>
      <c r="BJ287" s="455"/>
      <c r="BK287" s="455"/>
      <c r="BL287" s="455"/>
      <c r="BM287" s="455"/>
      <c r="BN287" s="455"/>
      <c r="BO287" s="455"/>
      <c r="BP287" s="455"/>
    </row>
    <row r="288" spans="2:68" outlineLevel="1" x14ac:dyDescent="0.2">
      <c r="B288" s="20"/>
      <c r="C288" s="80"/>
      <c r="D288" s="403" t="str">
        <f>$D$209</f>
        <v>Additional capex completed without additional labour cost</v>
      </c>
      <c r="E288" s="80"/>
      <c r="F288" s="80"/>
      <c r="G288" s="477">
        <f>Assumptions!$H$221</f>
        <v>1</v>
      </c>
      <c r="H288" s="477">
        <f>Assumptions!$I$221</f>
        <v>0</v>
      </c>
      <c r="I288" s="83"/>
      <c r="J288" s="85" t="str">
        <f>Assumptions!$K$221</f>
        <v>Employee engagement</v>
      </c>
      <c r="K288" s="401"/>
      <c r="L288" s="436">
        <f t="shared" si="397"/>
        <v>0</v>
      </c>
      <c r="M288" s="457"/>
      <c r="N288" s="455"/>
      <c r="O288" s="455"/>
      <c r="P288" s="455"/>
      <c r="Q288" s="455"/>
      <c r="R288" s="401">
        <f t="shared" ref="R288:AW288" si="432">IF($L$217="On",R$217*R209,R209)</f>
        <v>0</v>
      </c>
      <c r="S288" s="401">
        <f t="shared" si="432"/>
        <v>0</v>
      </c>
      <c r="T288" s="401">
        <f t="shared" si="432"/>
        <v>0</v>
      </c>
      <c r="U288" s="401">
        <f t="shared" si="432"/>
        <v>0</v>
      </c>
      <c r="V288" s="401">
        <f t="shared" si="432"/>
        <v>0</v>
      </c>
      <c r="W288" s="401">
        <f t="shared" si="432"/>
        <v>0</v>
      </c>
      <c r="X288" s="401">
        <f t="shared" si="432"/>
        <v>0</v>
      </c>
      <c r="Y288" s="401">
        <f t="shared" si="432"/>
        <v>0</v>
      </c>
      <c r="Z288" s="401">
        <f t="shared" si="432"/>
        <v>0</v>
      </c>
      <c r="AA288" s="401">
        <f t="shared" si="432"/>
        <v>0</v>
      </c>
      <c r="AB288" s="401">
        <f t="shared" si="432"/>
        <v>0</v>
      </c>
      <c r="AC288" s="401">
        <f t="shared" si="432"/>
        <v>0</v>
      </c>
      <c r="AD288" s="401">
        <f t="shared" si="432"/>
        <v>0</v>
      </c>
      <c r="AE288" s="401">
        <f t="shared" si="432"/>
        <v>0</v>
      </c>
      <c r="AF288" s="401">
        <f t="shared" si="432"/>
        <v>0</v>
      </c>
      <c r="AG288" s="401">
        <f t="shared" si="432"/>
        <v>0</v>
      </c>
      <c r="AH288" s="401">
        <f t="shared" si="432"/>
        <v>0</v>
      </c>
      <c r="AI288" s="401">
        <f t="shared" si="432"/>
        <v>0</v>
      </c>
      <c r="AJ288" s="401">
        <f t="shared" si="432"/>
        <v>0</v>
      </c>
      <c r="AK288" s="401">
        <f t="shared" si="432"/>
        <v>0</v>
      </c>
      <c r="AL288" s="401">
        <f t="shared" si="432"/>
        <v>0</v>
      </c>
      <c r="AM288" s="401">
        <f t="shared" si="432"/>
        <v>0</v>
      </c>
      <c r="AN288" s="401">
        <f t="shared" si="432"/>
        <v>0</v>
      </c>
      <c r="AO288" s="401">
        <f t="shared" si="432"/>
        <v>0</v>
      </c>
      <c r="AP288" s="401">
        <f t="shared" si="432"/>
        <v>0</v>
      </c>
      <c r="AQ288" s="401">
        <f t="shared" si="432"/>
        <v>0</v>
      </c>
      <c r="AR288" s="401">
        <f t="shared" si="432"/>
        <v>0</v>
      </c>
      <c r="AS288" s="401">
        <f t="shared" si="432"/>
        <v>0</v>
      </c>
      <c r="AT288" s="401">
        <f t="shared" si="432"/>
        <v>0</v>
      </c>
      <c r="AU288" s="401">
        <f t="shared" si="432"/>
        <v>0</v>
      </c>
      <c r="AV288" s="401">
        <f t="shared" si="432"/>
        <v>0</v>
      </c>
      <c r="AW288" s="401">
        <f t="shared" si="432"/>
        <v>0</v>
      </c>
      <c r="AX288" s="401">
        <f t="shared" ref="AX288:BP288" si="433">IF($L$217="On",AX$217*AX209,AX209)</f>
        <v>0</v>
      </c>
      <c r="AY288" s="401">
        <f t="shared" si="433"/>
        <v>0</v>
      </c>
      <c r="AZ288" s="401">
        <f t="shared" si="433"/>
        <v>0</v>
      </c>
      <c r="BA288" s="401">
        <f t="shared" si="433"/>
        <v>0</v>
      </c>
      <c r="BB288" s="401">
        <f t="shared" si="433"/>
        <v>0</v>
      </c>
      <c r="BC288" s="401">
        <f t="shared" si="433"/>
        <v>0</v>
      </c>
      <c r="BD288" s="401">
        <f t="shared" si="433"/>
        <v>0</v>
      </c>
      <c r="BE288" s="401">
        <f t="shared" si="433"/>
        <v>0</v>
      </c>
      <c r="BF288" s="401">
        <f t="shared" si="433"/>
        <v>0</v>
      </c>
      <c r="BG288" s="401">
        <f t="shared" si="433"/>
        <v>0</v>
      </c>
      <c r="BH288" s="401">
        <f t="shared" si="433"/>
        <v>0</v>
      </c>
      <c r="BI288" s="401">
        <f t="shared" si="433"/>
        <v>0</v>
      </c>
      <c r="BJ288" s="401">
        <f t="shared" si="433"/>
        <v>0</v>
      </c>
      <c r="BK288" s="401">
        <f t="shared" si="433"/>
        <v>0</v>
      </c>
      <c r="BL288" s="401">
        <f t="shared" si="433"/>
        <v>0</v>
      </c>
      <c r="BM288" s="401">
        <f t="shared" si="433"/>
        <v>0</v>
      </c>
      <c r="BN288" s="401">
        <f t="shared" si="433"/>
        <v>0</v>
      </c>
      <c r="BO288" s="401">
        <f t="shared" si="433"/>
        <v>0</v>
      </c>
      <c r="BP288" s="401">
        <f t="shared" si="433"/>
        <v>0</v>
      </c>
    </row>
    <row r="289" spans="1:68" outlineLevel="1" x14ac:dyDescent="0.2">
      <c r="A289" s="80"/>
      <c r="B289" s="20"/>
      <c r="C289" s="80"/>
      <c r="D289" s="403" t="str">
        <f>$D$210</f>
        <v>Decrease in opex costs</v>
      </c>
      <c r="E289" s="80"/>
      <c r="F289" s="80"/>
      <c r="G289" s="477">
        <f>Assumptions!$H$222</f>
        <v>1</v>
      </c>
      <c r="H289" s="477">
        <f>Assumptions!$I$222</f>
        <v>1</v>
      </c>
      <c r="I289" s="83"/>
      <c r="J289" s="85" t="str">
        <f>Assumptions!$K$222</f>
        <v>Employee engagement</v>
      </c>
      <c r="K289" s="401"/>
      <c r="L289" s="436">
        <f t="shared" si="397"/>
        <v>0</v>
      </c>
      <c r="M289" s="457"/>
      <c r="N289" s="455"/>
      <c r="O289" s="455"/>
      <c r="P289" s="455"/>
      <c r="Q289" s="455"/>
      <c r="R289" s="401">
        <f t="shared" ref="R289:AW289" si="434">IF($L$217="On",R$217*R210,R210)</f>
        <v>0</v>
      </c>
      <c r="S289" s="401">
        <f t="shared" si="434"/>
        <v>0</v>
      </c>
      <c r="T289" s="401">
        <f t="shared" si="434"/>
        <v>0</v>
      </c>
      <c r="U289" s="401">
        <f t="shared" si="434"/>
        <v>0</v>
      </c>
      <c r="V289" s="401">
        <f t="shared" si="434"/>
        <v>0</v>
      </c>
      <c r="W289" s="401">
        <f t="shared" si="434"/>
        <v>0</v>
      </c>
      <c r="X289" s="401">
        <f t="shared" si="434"/>
        <v>0</v>
      </c>
      <c r="Y289" s="401">
        <f t="shared" si="434"/>
        <v>0</v>
      </c>
      <c r="Z289" s="401">
        <f t="shared" si="434"/>
        <v>0</v>
      </c>
      <c r="AA289" s="401">
        <f t="shared" si="434"/>
        <v>0</v>
      </c>
      <c r="AB289" s="401">
        <f t="shared" si="434"/>
        <v>0</v>
      </c>
      <c r="AC289" s="401">
        <f t="shared" si="434"/>
        <v>0</v>
      </c>
      <c r="AD289" s="401">
        <f t="shared" si="434"/>
        <v>0</v>
      </c>
      <c r="AE289" s="401">
        <f t="shared" si="434"/>
        <v>0</v>
      </c>
      <c r="AF289" s="401">
        <f t="shared" si="434"/>
        <v>0</v>
      </c>
      <c r="AG289" s="401">
        <f t="shared" si="434"/>
        <v>0</v>
      </c>
      <c r="AH289" s="401">
        <f t="shared" si="434"/>
        <v>0</v>
      </c>
      <c r="AI289" s="401">
        <f t="shared" si="434"/>
        <v>0</v>
      </c>
      <c r="AJ289" s="401">
        <f t="shared" si="434"/>
        <v>0</v>
      </c>
      <c r="AK289" s="401">
        <f t="shared" si="434"/>
        <v>0</v>
      </c>
      <c r="AL289" s="401">
        <f t="shared" si="434"/>
        <v>0</v>
      </c>
      <c r="AM289" s="401">
        <f t="shared" si="434"/>
        <v>0</v>
      </c>
      <c r="AN289" s="401">
        <f t="shared" si="434"/>
        <v>0</v>
      </c>
      <c r="AO289" s="401">
        <f t="shared" si="434"/>
        <v>0</v>
      </c>
      <c r="AP289" s="401">
        <f t="shared" si="434"/>
        <v>0</v>
      </c>
      <c r="AQ289" s="401">
        <f t="shared" si="434"/>
        <v>0</v>
      </c>
      <c r="AR289" s="401">
        <f t="shared" si="434"/>
        <v>0</v>
      </c>
      <c r="AS289" s="401">
        <f t="shared" si="434"/>
        <v>0</v>
      </c>
      <c r="AT289" s="401">
        <f t="shared" si="434"/>
        <v>0</v>
      </c>
      <c r="AU289" s="401">
        <f t="shared" si="434"/>
        <v>0</v>
      </c>
      <c r="AV289" s="401">
        <f t="shared" si="434"/>
        <v>0</v>
      </c>
      <c r="AW289" s="401">
        <f t="shared" si="434"/>
        <v>0</v>
      </c>
      <c r="AX289" s="401">
        <f t="shared" ref="AX289:BP289" si="435">IF($L$217="On",AX$217*AX210,AX210)</f>
        <v>0</v>
      </c>
      <c r="AY289" s="401">
        <f t="shared" si="435"/>
        <v>0</v>
      </c>
      <c r="AZ289" s="401">
        <f t="shared" si="435"/>
        <v>0</v>
      </c>
      <c r="BA289" s="401">
        <f t="shared" si="435"/>
        <v>0</v>
      </c>
      <c r="BB289" s="401">
        <f t="shared" si="435"/>
        <v>0</v>
      </c>
      <c r="BC289" s="401">
        <f t="shared" si="435"/>
        <v>0</v>
      </c>
      <c r="BD289" s="401">
        <f t="shared" si="435"/>
        <v>0</v>
      </c>
      <c r="BE289" s="401">
        <f t="shared" si="435"/>
        <v>0</v>
      </c>
      <c r="BF289" s="401">
        <f t="shared" si="435"/>
        <v>0</v>
      </c>
      <c r="BG289" s="401">
        <f t="shared" si="435"/>
        <v>0</v>
      </c>
      <c r="BH289" s="401">
        <f t="shared" si="435"/>
        <v>0</v>
      </c>
      <c r="BI289" s="401">
        <f t="shared" si="435"/>
        <v>0</v>
      </c>
      <c r="BJ289" s="401">
        <f t="shared" si="435"/>
        <v>0</v>
      </c>
      <c r="BK289" s="401">
        <f t="shared" si="435"/>
        <v>0</v>
      </c>
      <c r="BL289" s="401">
        <f t="shared" si="435"/>
        <v>0</v>
      </c>
      <c r="BM289" s="401">
        <f t="shared" si="435"/>
        <v>0</v>
      </c>
      <c r="BN289" s="401">
        <f t="shared" si="435"/>
        <v>0</v>
      </c>
      <c r="BO289" s="401">
        <f t="shared" si="435"/>
        <v>0</v>
      </c>
      <c r="BP289" s="401">
        <f t="shared" si="435"/>
        <v>0</v>
      </c>
    </row>
    <row r="290" spans="1:68" outlineLevel="1" x14ac:dyDescent="0.2">
      <c r="A290" s="80"/>
      <c r="B290" s="20"/>
      <c r="C290" s="80"/>
      <c r="D290" s="81" t="str">
        <f>$D$212</f>
        <v>Customer value</v>
      </c>
      <c r="E290" s="80"/>
      <c r="F290" s="80"/>
      <c r="G290" s="477">
        <f>Assumptions!$H$223</f>
        <v>0</v>
      </c>
      <c r="H290" s="477">
        <f>Assumptions!$I$223</f>
        <v>1</v>
      </c>
      <c r="I290" s="83"/>
      <c r="J290" s="85" t="str">
        <f>Assumptions!$K$223</f>
        <v>Customer value</v>
      </c>
      <c r="K290" s="401"/>
      <c r="L290" s="436">
        <f t="shared" si="397"/>
        <v>4792464.8588140327</v>
      </c>
      <c r="M290" s="457"/>
      <c r="N290" s="455"/>
      <c r="O290" s="455"/>
      <c r="P290" s="455"/>
      <c r="Q290" s="455"/>
      <c r="R290" s="401">
        <f t="shared" ref="R290:AW290" si="436">IF($L$217="On",R$217*R212,R212)</f>
        <v>0</v>
      </c>
      <c r="S290" s="401">
        <f t="shared" si="436"/>
        <v>0</v>
      </c>
      <c r="T290" s="401">
        <f t="shared" si="436"/>
        <v>0</v>
      </c>
      <c r="U290" s="401">
        <f t="shared" si="436"/>
        <v>760493.3714148876</v>
      </c>
      <c r="V290" s="401">
        <f t="shared" si="436"/>
        <v>771622.35841197695</v>
      </c>
      <c r="W290" s="401">
        <f t="shared" si="436"/>
        <v>776831.45331736619</v>
      </c>
      <c r="X290" s="401">
        <f t="shared" si="436"/>
        <v>777369.37650212168</v>
      </c>
      <c r="Y290" s="401">
        <f t="shared" si="436"/>
        <v>789093.58836505224</v>
      </c>
      <c r="Z290" s="401">
        <f t="shared" si="436"/>
        <v>789093.58836505224</v>
      </c>
      <c r="AA290" s="401">
        <f t="shared" si="436"/>
        <v>63980.561218788018</v>
      </c>
      <c r="AB290" s="401">
        <f t="shared" si="436"/>
        <v>63980.561218788018</v>
      </c>
      <c r="AC290" s="401">
        <f t="shared" si="436"/>
        <v>0</v>
      </c>
      <c r="AD290" s="401">
        <f t="shared" si="436"/>
        <v>0</v>
      </c>
      <c r="AE290" s="401">
        <f t="shared" si="436"/>
        <v>0</v>
      </c>
      <c r="AF290" s="401">
        <f t="shared" si="436"/>
        <v>0</v>
      </c>
      <c r="AG290" s="401">
        <f t="shared" si="436"/>
        <v>0</v>
      </c>
      <c r="AH290" s="401">
        <f t="shared" si="436"/>
        <v>0</v>
      </c>
      <c r="AI290" s="401">
        <f t="shared" si="436"/>
        <v>0</v>
      </c>
      <c r="AJ290" s="401">
        <f t="shared" si="436"/>
        <v>0</v>
      </c>
      <c r="AK290" s="401">
        <f t="shared" si="436"/>
        <v>0</v>
      </c>
      <c r="AL290" s="401">
        <f t="shared" si="436"/>
        <v>0</v>
      </c>
      <c r="AM290" s="401">
        <f t="shared" si="436"/>
        <v>0</v>
      </c>
      <c r="AN290" s="401">
        <f t="shared" si="436"/>
        <v>0</v>
      </c>
      <c r="AO290" s="401">
        <f t="shared" si="436"/>
        <v>0</v>
      </c>
      <c r="AP290" s="401">
        <f t="shared" si="436"/>
        <v>0</v>
      </c>
      <c r="AQ290" s="401">
        <f t="shared" si="436"/>
        <v>0</v>
      </c>
      <c r="AR290" s="401">
        <f t="shared" si="436"/>
        <v>0</v>
      </c>
      <c r="AS290" s="401">
        <f t="shared" si="436"/>
        <v>0</v>
      </c>
      <c r="AT290" s="401">
        <f t="shared" si="436"/>
        <v>0</v>
      </c>
      <c r="AU290" s="401">
        <f t="shared" si="436"/>
        <v>0</v>
      </c>
      <c r="AV290" s="401">
        <f t="shared" si="436"/>
        <v>0</v>
      </c>
      <c r="AW290" s="401">
        <f t="shared" si="436"/>
        <v>0</v>
      </c>
      <c r="AX290" s="401">
        <f t="shared" ref="AX290:BP290" si="437">IF($L$217="On",AX$217*AX212,AX212)</f>
        <v>0</v>
      </c>
      <c r="AY290" s="401">
        <f t="shared" si="437"/>
        <v>0</v>
      </c>
      <c r="AZ290" s="401">
        <f t="shared" si="437"/>
        <v>0</v>
      </c>
      <c r="BA290" s="401">
        <f t="shared" si="437"/>
        <v>0</v>
      </c>
      <c r="BB290" s="401">
        <f t="shared" si="437"/>
        <v>0</v>
      </c>
      <c r="BC290" s="401">
        <f t="shared" si="437"/>
        <v>0</v>
      </c>
      <c r="BD290" s="401">
        <f t="shared" si="437"/>
        <v>0</v>
      </c>
      <c r="BE290" s="401">
        <f t="shared" si="437"/>
        <v>0</v>
      </c>
      <c r="BF290" s="401">
        <f t="shared" si="437"/>
        <v>0</v>
      </c>
      <c r="BG290" s="401">
        <f t="shared" si="437"/>
        <v>0</v>
      </c>
      <c r="BH290" s="401">
        <f t="shared" si="437"/>
        <v>0</v>
      </c>
      <c r="BI290" s="401">
        <f t="shared" si="437"/>
        <v>0</v>
      </c>
      <c r="BJ290" s="401">
        <f t="shared" si="437"/>
        <v>0</v>
      </c>
      <c r="BK290" s="401">
        <f t="shared" si="437"/>
        <v>0</v>
      </c>
      <c r="BL290" s="401">
        <f t="shared" si="437"/>
        <v>0</v>
      </c>
      <c r="BM290" s="401">
        <f t="shared" si="437"/>
        <v>0</v>
      </c>
      <c r="BN290" s="401">
        <f t="shared" si="437"/>
        <v>0</v>
      </c>
      <c r="BO290" s="401">
        <f t="shared" si="437"/>
        <v>0</v>
      </c>
      <c r="BP290" s="401">
        <f t="shared" si="437"/>
        <v>0</v>
      </c>
    </row>
    <row r="291" spans="1:68" ht="10.8" outlineLevel="1" thickBot="1" x14ac:dyDescent="0.25">
      <c r="A291" s="80"/>
      <c r="B291" s="20"/>
      <c r="C291" s="80"/>
      <c r="D291" s="85"/>
      <c r="E291" s="80"/>
      <c r="F291" s="80"/>
      <c r="G291" s="80"/>
      <c r="H291" s="80"/>
      <c r="I291" s="80"/>
      <c r="J291" s="80"/>
      <c r="K291" s="79"/>
      <c r="L291" s="424"/>
      <c r="M291" s="425"/>
      <c r="N291" s="83"/>
      <c r="O291" s="83"/>
      <c r="P291" s="83"/>
      <c r="Q291" s="83"/>
      <c r="R291" s="35"/>
      <c r="S291" s="35"/>
      <c r="T291" s="35"/>
      <c r="U291" s="35"/>
      <c r="V291" s="35"/>
      <c r="W291" s="35"/>
      <c r="X291" s="35"/>
      <c r="Y291" s="35"/>
      <c r="Z291" s="35"/>
      <c r="AA291" s="35"/>
      <c r="AB291" s="35"/>
      <c r="AC291" s="35"/>
      <c r="AD291" s="35"/>
      <c r="AE291" s="35"/>
      <c r="AF291" s="35"/>
      <c r="AG291" s="35"/>
      <c r="AH291" s="35"/>
      <c r="AI291" s="35"/>
      <c r="AJ291" s="35"/>
      <c r="AK291" s="35"/>
      <c r="AL291" s="35"/>
      <c r="AM291" s="35"/>
      <c r="AN291" s="35"/>
      <c r="AO291" s="35"/>
      <c r="AP291" s="35"/>
      <c r="AQ291" s="35"/>
      <c r="AR291" s="35"/>
      <c r="AS291" s="35"/>
      <c r="AT291" s="35"/>
      <c r="AU291" s="35"/>
      <c r="AV291" s="35"/>
      <c r="AW291" s="35"/>
      <c r="AX291" s="35"/>
      <c r="AY291" s="35"/>
      <c r="AZ291" s="35"/>
      <c r="BA291" s="35"/>
      <c r="BB291" s="35"/>
      <c r="BC291" s="35"/>
      <c r="BD291" s="35"/>
      <c r="BE291" s="35"/>
      <c r="BF291" s="35"/>
      <c r="BG291" s="35"/>
      <c r="BH291" s="35"/>
      <c r="BI291" s="35"/>
      <c r="BJ291" s="35"/>
      <c r="BK291" s="35"/>
      <c r="BL291" s="35"/>
      <c r="BM291" s="35"/>
      <c r="BN291" s="35"/>
      <c r="BO291" s="35"/>
      <c r="BP291" s="35"/>
    </row>
    <row r="292" spans="1:68" ht="10.8" outlineLevel="1" thickTop="1" x14ac:dyDescent="0.2">
      <c r="A292" s="80"/>
      <c r="B292" s="20"/>
      <c r="C292" s="80"/>
      <c r="D292" s="40" t="s">
        <v>66</v>
      </c>
      <c r="E292" s="487"/>
      <c r="F292" s="487"/>
      <c r="G292" s="487"/>
      <c r="H292" s="487"/>
      <c r="I292" s="487"/>
      <c r="J292" s="487"/>
      <c r="K292" s="41"/>
      <c r="L292" s="128">
        <f>SUM(M292:BP292)</f>
        <v>72760519.193473071</v>
      </c>
      <c r="M292" s="129"/>
      <c r="N292" s="97"/>
      <c r="O292" s="97"/>
      <c r="P292" s="97"/>
      <c r="Q292" s="97"/>
      <c r="R292" s="41">
        <f>SUM(R224,R229,R232,R235,R238,R241,R244,R247:R248,R257:R262,R251,R254,R265:R272,R274,R276:R280,R282,R284:R286,R288:R290)</f>
        <v>0</v>
      </c>
      <c r="S292" s="41">
        <f t="shared" ref="S292:AX292" si="438">SUM(S224,S229,S232,S235,S238,S241,S244,S247:S248,S257:S262,S251,S254,S265:S272,S274,S276:S280,S282,S284:S286,S288:S290)</f>
        <v>0</v>
      </c>
      <c r="T292" s="41">
        <f t="shared" si="438"/>
        <v>0</v>
      </c>
      <c r="U292" s="41">
        <f t="shared" si="438"/>
        <v>5082885.6771239592</v>
      </c>
      <c r="V292" s="41">
        <f t="shared" si="438"/>
        <v>5285153.8116870373</v>
      </c>
      <c r="W292" s="41">
        <f t="shared" si="438"/>
        <v>5416079.5906797042</v>
      </c>
      <c r="X292" s="41">
        <f t="shared" si="438"/>
        <v>6672979.5804013656</v>
      </c>
      <c r="Y292" s="41">
        <f t="shared" si="438"/>
        <v>6760870.199306081</v>
      </c>
      <c r="Z292" s="41">
        <f t="shared" si="438"/>
        <v>8508178.3320254758</v>
      </c>
      <c r="AA292" s="41">
        <f t="shared" si="438"/>
        <v>3004968.3809647504</v>
      </c>
      <c r="AB292" s="41">
        <f t="shared" si="438"/>
        <v>2310890.4491247507</v>
      </c>
      <c r="AC292" s="41">
        <f t="shared" si="438"/>
        <v>741922.5635200002</v>
      </c>
      <c r="AD292" s="41">
        <f t="shared" si="438"/>
        <v>195256.35904000021</v>
      </c>
      <c r="AE292" s="41">
        <f t="shared" si="438"/>
        <v>-452139.6460799998</v>
      </c>
      <c r="AF292" s="41">
        <f t="shared" si="438"/>
        <v>-429611.25119999982</v>
      </c>
      <c r="AG292" s="41">
        <f t="shared" si="438"/>
        <v>-407082.85631999979</v>
      </c>
      <c r="AH292" s="41">
        <f t="shared" si="438"/>
        <v>-384554.46143999981</v>
      </c>
      <c r="AI292" s="41">
        <f t="shared" si="438"/>
        <v>-362026.06655999977</v>
      </c>
      <c r="AJ292" s="41">
        <f t="shared" si="438"/>
        <v>-339497.6716799998</v>
      </c>
      <c r="AK292" s="41">
        <f t="shared" si="438"/>
        <v>-316969.27679999982</v>
      </c>
      <c r="AL292" s="41">
        <f t="shared" si="438"/>
        <v>-294440.88191999984</v>
      </c>
      <c r="AM292" s="41">
        <f t="shared" si="438"/>
        <v>-271912.48703999986</v>
      </c>
      <c r="AN292" s="41">
        <f t="shared" si="438"/>
        <v>-249384.09215999994</v>
      </c>
      <c r="AO292" s="41">
        <f t="shared" si="438"/>
        <v>-226855.69727999996</v>
      </c>
      <c r="AP292" s="41">
        <f t="shared" si="438"/>
        <v>-204327.30239999999</v>
      </c>
      <c r="AQ292" s="41">
        <f t="shared" si="438"/>
        <v>-181798.90752000001</v>
      </c>
      <c r="AR292" s="41">
        <f t="shared" si="438"/>
        <v>-159270.51264000003</v>
      </c>
      <c r="AS292" s="41">
        <f t="shared" si="438"/>
        <v>-136742.11776000005</v>
      </c>
      <c r="AT292" s="41">
        <f t="shared" si="438"/>
        <v>-114213.72288000002</v>
      </c>
      <c r="AU292" s="41">
        <f t="shared" si="438"/>
        <v>-91685.328000000096</v>
      </c>
      <c r="AV292" s="41">
        <f t="shared" si="438"/>
        <v>-69156.933120000176</v>
      </c>
      <c r="AW292" s="41">
        <f t="shared" si="438"/>
        <v>-46628.53824000014</v>
      </c>
      <c r="AX292" s="41">
        <f t="shared" si="438"/>
        <v>-24100.14336000022</v>
      </c>
      <c r="AY292" s="41">
        <f t="shared" ref="AY292:BP292" si="439">SUM(AY224,AY229,AY232,AY235,AY238,AY241,AY244,AY247:AY248,AY251,AY254:AY262,AY265:AY272,AY274,AY276:AY280,AY282,AY284:AY286,AY288:AY290)</f>
        <v>-1571.7484800001839</v>
      </c>
      <c r="AZ292" s="41">
        <f t="shared" si="439"/>
        <v>20956.646399999736</v>
      </c>
      <c r="BA292" s="41">
        <f t="shared" si="439"/>
        <v>43485.041279999772</v>
      </c>
      <c r="BB292" s="41">
        <f t="shared" si="439"/>
        <v>66013.436159999692</v>
      </c>
      <c r="BC292" s="41">
        <f t="shared" si="439"/>
        <v>88541.831039999728</v>
      </c>
      <c r="BD292" s="41">
        <f t="shared" si="439"/>
        <v>111070.22591999965</v>
      </c>
      <c r="BE292" s="41">
        <f t="shared" si="439"/>
        <v>133598.62079999968</v>
      </c>
      <c r="BF292" s="41">
        <f t="shared" si="439"/>
        <v>156127.0156799996</v>
      </c>
      <c r="BG292" s="41">
        <f t="shared" si="439"/>
        <v>178655.41055999964</v>
      </c>
      <c r="BH292" s="41">
        <f t="shared" si="439"/>
        <v>201183.80543999956</v>
      </c>
      <c r="BI292" s="41">
        <f t="shared" si="439"/>
        <v>223712.2003199996</v>
      </c>
      <c r="BJ292" s="41">
        <f t="shared" si="439"/>
        <v>246240.59519999952</v>
      </c>
      <c r="BK292" s="41">
        <f t="shared" si="439"/>
        <v>268768.99007999955</v>
      </c>
      <c r="BL292" s="41">
        <f t="shared" si="439"/>
        <v>291297.38495999947</v>
      </c>
      <c r="BM292" s="41">
        <f t="shared" si="439"/>
        <v>313825.77983999939</v>
      </c>
      <c r="BN292" s="41">
        <f t="shared" si="439"/>
        <v>336354.17471999943</v>
      </c>
      <c r="BO292" s="41">
        <f t="shared" si="439"/>
        <v>358882.56959999935</v>
      </c>
      <c r="BP292" s="41">
        <f t="shared" si="439"/>
        <v>30506590.164479975</v>
      </c>
    </row>
    <row r="293" spans="1:68" outlineLevel="1" x14ac:dyDescent="0.2">
      <c r="A293" s="80"/>
      <c r="B293" s="20"/>
      <c r="C293" s="80"/>
      <c r="D293" s="10"/>
      <c r="E293" s="80"/>
      <c r="F293" s="80"/>
      <c r="G293" s="80"/>
      <c r="H293" s="80"/>
      <c r="I293" s="80"/>
      <c r="J293" s="80"/>
      <c r="K293" s="34"/>
      <c r="L293" s="126"/>
      <c r="M293" s="34"/>
      <c r="N293" s="34"/>
      <c r="O293" s="34"/>
      <c r="P293" s="34"/>
      <c r="Q293" s="34"/>
      <c r="R293" s="34"/>
      <c r="S293" s="34"/>
      <c r="T293" s="34"/>
      <c r="U293" s="34"/>
      <c r="V293" s="34"/>
      <c r="W293" s="34"/>
      <c r="X293" s="34"/>
      <c r="Y293" s="34"/>
      <c r="Z293" s="34"/>
      <c r="AA293" s="34"/>
      <c r="AB293" s="34"/>
      <c r="AC293" s="34"/>
      <c r="AD293" s="34"/>
      <c r="AE293" s="34"/>
      <c r="AF293" s="34"/>
      <c r="AG293" s="34"/>
      <c r="AH293" s="34"/>
      <c r="AI293" s="34"/>
      <c r="AJ293" s="34"/>
      <c r="AK293" s="34"/>
      <c r="AL293" s="34"/>
      <c r="AM293" s="34"/>
      <c r="AN293" s="34"/>
      <c r="AO293" s="34"/>
      <c r="AP293" s="34"/>
      <c r="AQ293" s="34"/>
      <c r="AR293" s="34"/>
      <c r="AS293" s="34"/>
      <c r="AT293" s="34"/>
      <c r="AU293" s="34"/>
      <c r="AV293" s="34"/>
      <c r="AW293" s="34"/>
      <c r="AX293" s="34"/>
      <c r="AY293" s="34"/>
      <c r="AZ293" s="34"/>
      <c r="BA293" s="34"/>
      <c r="BB293" s="34"/>
      <c r="BC293" s="34"/>
      <c r="BD293" s="34"/>
      <c r="BE293" s="34"/>
      <c r="BF293" s="34"/>
      <c r="BG293" s="34"/>
      <c r="BH293" s="34"/>
      <c r="BI293" s="34"/>
      <c r="BJ293" s="34"/>
      <c r="BK293" s="34"/>
      <c r="BL293" s="34"/>
      <c r="BM293" s="34"/>
      <c r="BN293" s="34"/>
      <c r="BO293" s="34"/>
      <c r="BP293" s="34"/>
    </row>
    <row r="294" spans="1:68" s="18" customFormat="1" ht="10.35" customHeight="1" x14ac:dyDescent="0.2">
      <c r="A294" s="426"/>
      <c r="B294" s="426"/>
      <c r="C294" s="19" t="s">
        <v>64</v>
      </c>
      <c r="D294" s="426"/>
      <c r="E294" s="426"/>
      <c r="F294" s="426"/>
      <c r="G294" s="426"/>
      <c r="H294" s="426"/>
      <c r="I294" s="426"/>
      <c r="J294" s="426"/>
      <c r="K294" s="426"/>
      <c r="L294" s="428"/>
      <c r="M294" s="429"/>
      <c r="N294" s="426"/>
      <c r="O294" s="426"/>
      <c r="P294" s="426"/>
      <c r="Q294" s="426"/>
      <c r="R294" s="30"/>
      <c r="S294" s="30"/>
      <c r="T294" s="30"/>
      <c r="U294" s="30"/>
      <c r="V294" s="30"/>
      <c r="W294" s="30"/>
      <c r="X294" s="30"/>
      <c r="Y294" s="30"/>
      <c r="Z294" s="30"/>
      <c r="AA294" s="30"/>
      <c r="AB294" s="30"/>
      <c r="AC294" s="30"/>
      <c r="AD294" s="30"/>
      <c r="AE294" s="30"/>
      <c r="AF294" s="30"/>
      <c r="AG294" s="30"/>
      <c r="AH294" s="30"/>
      <c r="AI294" s="30"/>
      <c r="AJ294" s="30"/>
      <c r="AK294" s="30"/>
      <c r="AL294" s="30"/>
      <c r="AM294" s="30"/>
      <c r="AN294" s="30"/>
      <c r="AO294" s="30"/>
      <c r="AP294" s="30"/>
      <c r="AQ294" s="30"/>
      <c r="AR294" s="30"/>
      <c r="AS294" s="30"/>
      <c r="AT294" s="30"/>
      <c r="AU294" s="30"/>
      <c r="AV294" s="30"/>
      <c r="AW294" s="30"/>
      <c r="AX294" s="30"/>
      <c r="AY294" s="30"/>
      <c r="AZ294" s="30"/>
      <c r="BA294" s="30"/>
      <c r="BB294" s="30"/>
      <c r="BC294" s="30"/>
      <c r="BD294" s="30"/>
      <c r="BE294" s="30"/>
      <c r="BF294" s="30"/>
      <c r="BG294" s="30"/>
      <c r="BH294" s="30"/>
      <c r="BI294" s="30"/>
      <c r="BJ294" s="30"/>
      <c r="BK294" s="30"/>
      <c r="BL294" s="30"/>
      <c r="BM294" s="30"/>
      <c r="BN294" s="30"/>
      <c r="BO294" s="30"/>
      <c r="BP294" s="30"/>
    </row>
    <row r="295" spans="1:68" ht="10.35" customHeight="1" outlineLevel="1" x14ac:dyDescent="0.2">
      <c r="A295" s="80"/>
      <c r="B295" s="80"/>
      <c r="C295" s="80"/>
      <c r="D295" s="80"/>
      <c r="E295" s="80"/>
      <c r="F295" s="80"/>
      <c r="G295" s="80"/>
      <c r="H295" s="80"/>
      <c r="I295" s="80"/>
      <c r="J295" s="80"/>
      <c r="K295" s="80"/>
      <c r="L295" s="412"/>
      <c r="M295" s="413"/>
      <c r="N295" s="80"/>
      <c r="O295" s="80"/>
      <c r="P295" s="80"/>
      <c r="Q295" s="80"/>
      <c r="R295" s="29"/>
      <c r="S295" s="29"/>
      <c r="T295" s="29"/>
      <c r="U295" s="29"/>
      <c r="V295" s="29"/>
      <c r="W295" s="29"/>
      <c r="X295" s="29"/>
      <c r="Y295" s="29"/>
      <c r="Z295" s="29"/>
      <c r="AA295" s="29"/>
      <c r="AB295" s="29"/>
      <c r="AC295" s="29"/>
      <c r="AD295" s="29"/>
      <c r="AE295" s="29"/>
      <c r="AF295" s="29"/>
      <c r="AG295" s="29"/>
      <c r="AH295" s="29"/>
      <c r="AI295" s="29"/>
      <c r="AJ295" s="29"/>
      <c r="AK295" s="29"/>
      <c r="AL295" s="29"/>
      <c r="AM295" s="29"/>
      <c r="AN295" s="29"/>
      <c r="AO295" s="29"/>
      <c r="AP295" s="29"/>
      <c r="AQ295" s="29"/>
      <c r="AR295" s="29"/>
      <c r="AS295" s="29"/>
      <c r="AT295" s="29"/>
      <c r="AU295" s="29"/>
      <c r="AV295" s="29"/>
      <c r="AW295" s="29"/>
      <c r="AX295" s="29"/>
      <c r="AY295" s="29"/>
      <c r="AZ295" s="29"/>
      <c r="BA295" s="29"/>
      <c r="BB295" s="29"/>
      <c r="BC295" s="29"/>
      <c r="BD295" s="29"/>
      <c r="BE295" s="29"/>
      <c r="BF295" s="29"/>
      <c r="BG295" s="29"/>
      <c r="BH295" s="29"/>
      <c r="BI295" s="29"/>
      <c r="BJ295" s="29"/>
      <c r="BK295" s="29"/>
      <c r="BL295" s="29"/>
      <c r="BM295" s="29"/>
      <c r="BN295" s="29"/>
      <c r="BO295" s="29"/>
      <c r="BP295" s="29"/>
    </row>
    <row r="296" spans="1:68" s="80" customFormat="1" ht="10.35" customHeight="1" outlineLevel="1" x14ac:dyDescent="0.2">
      <c r="D296" s="10" t="str">
        <f>$D$19</f>
        <v>Shareholder WACC</v>
      </c>
      <c r="H296"/>
      <c r="I296"/>
      <c r="J296"/>
      <c r="K296"/>
      <c r="L296" s="112"/>
      <c r="M296" s="130"/>
      <c r="N296" s="87"/>
      <c r="O296" s="87"/>
      <c r="P296" s="87"/>
      <c r="Q296" s="87"/>
      <c r="R296" s="91">
        <f>R$19</f>
        <v>3.44E-2</v>
      </c>
      <c r="S296" s="91">
        <f t="shared" ref="S296:BP296" si="440">S$19</f>
        <v>3.44E-2</v>
      </c>
      <c r="T296" s="91">
        <f t="shared" si="440"/>
        <v>3.44E-2</v>
      </c>
      <c r="U296" s="91">
        <f t="shared" si="440"/>
        <v>3.44E-2</v>
      </c>
      <c r="V296" s="91">
        <f t="shared" si="440"/>
        <v>3.44E-2</v>
      </c>
      <c r="W296" s="91">
        <f t="shared" si="440"/>
        <v>3.44E-2</v>
      </c>
      <c r="X296" s="91">
        <f t="shared" si="440"/>
        <v>3.44E-2</v>
      </c>
      <c r="Y296" s="91">
        <f t="shared" si="440"/>
        <v>3.44E-2</v>
      </c>
      <c r="Z296" s="91">
        <f t="shared" si="440"/>
        <v>3.44E-2</v>
      </c>
      <c r="AA296" s="91">
        <f t="shared" si="440"/>
        <v>3.44E-2</v>
      </c>
      <c r="AB296" s="91">
        <f t="shared" si="440"/>
        <v>3.44E-2</v>
      </c>
      <c r="AC296" s="91">
        <f t="shared" si="440"/>
        <v>3.44E-2</v>
      </c>
      <c r="AD296" s="91">
        <f t="shared" si="440"/>
        <v>3.44E-2</v>
      </c>
      <c r="AE296" s="91">
        <f t="shared" si="440"/>
        <v>3.44E-2</v>
      </c>
      <c r="AF296" s="91">
        <f t="shared" si="440"/>
        <v>3.44E-2</v>
      </c>
      <c r="AG296" s="91">
        <f t="shared" si="440"/>
        <v>3.44E-2</v>
      </c>
      <c r="AH296" s="91">
        <f t="shared" si="440"/>
        <v>3.44E-2</v>
      </c>
      <c r="AI296" s="91">
        <f t="shared" si="440"/>
        <v>3.44E-2</v>
      </c>
      <c r="AJ296" s="91">
        <f t="shared" si="440"/>
        <v>3.44E-2</v>
      </c>
      <c r="AK296" s="91">
        <f t="shared" si="440"/>
        <v>3.44E-2</v>
      </c>
      <c r="AL296" s="91">
        <f t="shared" si="440"/>
        <v>3.44E-2</v>
      </c>
      <c r="AM296" s="91">
        <f t="shared" si="440"/>
        <v>3.44E-2</v>
      </c>
      <c r="AN296" s="91">
        <f t="shared" si="440"/>
        <v>3.44E-2</v>
      </c>
      <c r="AO296" s="91">
        <f t="shared" si="440"/>
        <v>3.44E-2</v>
      </c>
      <c r="AP296" s="91">
        <f t="shared" si="440"/>
        <v>3.44E-2</v>
      </c>
      <c r="AQ296" s="91">
        <f t="shared" si="440"/>
        <v>3.44E-2</v>
      </c>
      <c r="AR296" s="91">
        <f t="shared" si="440"/>
        <v>3.44E-2</v>
      </c>
      <c r="AS296" s="91">
        <f t="shared" si="440"/>
        <v>3.44E-2</v>
      </c>
      <c r="AT296" s="91">
        <f t="shared" si="440"/>
        <v>3.44E-2</v>
      </c>
      <c r="AU296" s="91">
        <f t="shared" si="440"/>
        <v>3.44E-2</v>
      </c>
      <c r="AV296" s="91">
        <f t="shared" si="440"/>
        <v>3.44E-2</v>
      </c>
      <c r="AW296" s="91">
        <f t="shared" si="440"/>
        <v>3.44E-2</v>
      </c>
      <c r="AX296" s="91">
        <f t="shared" si="440"/>
        <v>3.44E-2</v>
      </c>
      <c r="AY296" s="91">
        <f t="shared" si="440"/>
        <v>3.44E-2</v>
      </c>
      <c r="AZ296" s="91">
        <f t="shared" si="440"/>
        <v>3.44E-2</v>
      </c>
      <c r="BA296" s="91">
        <f t="shared" si="440"/>
        <v>3.44E-2</v>
      </c>
      <c r="BB296" s="91">
        <f t="shared" si="440"/>
        <v>3.44E-2</v>
      </c>
      <c r="BC296" s="91">
        <f t="shared" si="440"/>
        <v>3.44E-2</v>
      </c>
      <c r="BD296" s="91">
        <f t="shared" si="440"/>
        <v>3.44E-2</v>
      </c>
      <c r="BE296" s="91">
        <f t="shared" si="440"/>
        <v>3.44E-2</v>
      </c>
      <c r="BF296" s="91">
        <f t="shared" si="440"/>
        <v>3.44E-2</v>
      </c>
      <c r="BG296" s="91">
        <f t="shared" si="440"/>
        <v>3.44E-2</v>
      </c>
      <c r="BH296" s="91">
        <f t="shared" si="440"/>
        <v>3.44E-2</v>
      </c>
      <c r="BI296" s="91">
        <f t="shared" si="440"/>
        <v>3.44E-2</v>
      </c>
      <c r="BJ296" s="91">
        <f t="shared" si="440"/>
        <v>3.44E-2</v>
      </c>
      <c r="BK296" s="91">
        <f t="shared" si="440"/>
        <v>3.44E-2</v>
      </c>
      <c r="BL296" s="91">
        <f t="shared" si="440"/>
        <v>3.44E-2</v>
      </c>
      <c r="BM296" s="91">
        <f t="shared" si="440"/>
        <v>3.44E-2</v>
      </c>
      <c r="BN296" s="91">
        <f t="shared" si="440"/>
        <v>3.44E-2</v>
      </c>
      <c r="BO296" s="91">
        <f t="shared" si="440"/>
        <v>3.44E-2</v>
      </c>
      <c r="BP296" s="91">
        <f t="shared" si="440"/>
        <v>3.44E-2</v>
      </c>
    </row>
    <row r="297" spans="1:68" s="80" customFormat="1" ht="10.35" customHeight="1" outlineLevel="1" x14ac:dyDescent="0.2">
      <c r="D297" s="66" t="str">
        <f>$D$20</f>
        <v>Discount factor shareholder WACC</v>
      </c>
      <c r="H297"/>
      <c r="I297"/>
      <c r="J297"/>
      <c r="K297"/>
      <c r="L297" s="112"/>
      <c r="M297" s="130"/>
      <c r="N297" s="87"/>
      <c r="O297" s="87"/>
      <c r="P297" s="87"/>
      <c r="Q297" s="87"/>
      <c r="R297" s="84">
        <f>R$20</f>
        <v>1</v>
      </c>
      <c r="S297" s="84">
        <f t="shared" ref="S297:BP297" si="441">S$20</f>
        <v>0.96674400618716161</v>
      </c>
      <c r="T297" s="84">
        <f t="shared" si="441"/>
        <v>0.9345939734988028</v>
      </c>
      <c r="U297" s="84">
        <f t="shared" si="441"/>
        <v>0.90351312209861057</v>
      </c>
      <c r="V297" s="84">
        <f t="shared" si="441"/>
        <v>0.87346589530028085</v>
      </c>
      <c r="W297" s="84">
        <f t="shared" si="441"/>
        <v>0.84441791889044937</v>
      </c>
      <c r="X297" s="84">
        <f t="shared" si="441"/>
        <v>0.81633596180437873</v>
      </c>
      <c r="Y297" s="84">
        <f t="shared" si="441"/>
        <v>0.78918789810941481</v>
      </c>
      <c r="Z297" s="84">
        <f t="shared" si="441"/>
        <v>0.76294267025272122</v>
      </c>
      <c r="AA297" s="84">
        <f t="shared" si="441"/>
        <v>0.73757025353124628</v>
      </c>
      <c r="AB297" s="84">
        <f t="shared" si="441"/>
        <v>0.71304162174327745</v>
      </c>
      <c r="AC297" s="84">
        <f t="shared" si="441"/>
        <v>0.68932871398228679</v>
      </c>
      <c r="AD297" s="84">
        <f t="shared" si="441"/>
        <v>0.66640440253508004</v>
      </c>
      <c r="AE297" s="84">
        <f t="shared" si="441"/>
        <v>0.64424246184752521</v>
      </c>
      <c r="AF297" s="84">
        <f t="shared" si="441"/>
        <v>0.62281753852235611</v>
      </c>
      <c r="AG297" s="84">
        <f t="shared" si="441"/>
        <v>0.60210512231472935</v>
      </c>
      <c r="AH297" s="84">
        <f t="shared" si="441"/>
        <v>0.58208151809235242</v>
      </c>
      <c r="AI297" s="84">
        <f t="shared" si="441"/>
        <v>0.56272381872810562</v>
      </c>
      <c r="AJ297" s="84">
        <f t="shared" si="441"/>
        <v>0.54400987889414698</v>
      </c>
      <c r="AK297" s="84">
        <f t="shared" si="441"/>
        <v>0.52591828972752031</v>
      </c>
      <c r="AL297" s="84">
        <f t="shared" si="441"/>
        <v>0.50842835433828337</v>
      </c>
      <c r="AM297" s="84">
        <f t="shared" si="441"/>
        <v>0.49152006413213783</v>
      </c>
      <c r="AN297" s="84">
        <f t="shared" si="441"/>
        <v>0.4751740759204735</v>
      </c>
      <c r="AO297" s="84">
        <f t="shared" si="441"/>
        <v>0.45937168979164106</v>
      </c>
      <c r="AP297" s="84">
        <f t="shared" si="441"/>
        <v>0.44409482771813713</v>
      </c>
      <c r="AQ297" s="84">
        <f t="shared" si="441"/>
        <v>0.42932601287522926</v>
      </c>
      <c r="AR297" s="84">
        <f t="shared" si="441"/>
        <v>0.41504834964736004</v>
      </c>
      <c r="AS297" s="84">
        <f t="shared" si="441"/>
        <v>0.40124550429945866</v>
      </c>
      <c r="AT297" s="84">
        <f t="shared" si="441"/>
        <v>0.38790168629104665</v>
      </c>
      <c r="AU297" s="84">
        <f t="shared" si="441"/>
        <v>0.37500163021176203</v>
      </c>
      <c r="AV297" s="84">
        <f t="shared" si="441"/>
        <v>0.36253057831763535</v>
      </c>
      <c r="AW297" s="84">
        <f t="shared" si="441"/>
        <v>0.35047426364813933</v>
      </c>
      <c r="AX297" s="84">
        <f t="shared" si="441"/>
        <v>0.3388188937046977</v>
      </c>
      <c r="AY297" s="84">
        <f t="shared" si="441"/>
        <v>0.32755113467198155</v>
      </c>
      <c r="AZ297" s="84">
        <f t="shared" si="441"/>
        <v>0.31665809616394192</v>
      </c>
      <c r="BA297" s="84">
        <f t="shared" si="441"/>
        <v>0.30612731647712865</v>
      </c>
      <c r="BB297" s="84">
        <f t="shared" si="441"/>
        <v>0.29594674833442441</v>
      </c>
      <c r="BC297" s="84">
        <f t="shared" si="441"/>
        <v>0.28610474510288514</v>
      </c>
      <c r="BD297" s="84">
        <f t="shared" si="441"/>
        <v>0.27659004746991989</v>
      </c>
      <c r="BE297" s="84">
        <f t="shared" si="441"/>
        <v>0.26739177056256758</v>
      </c>
      <c r="BF297" s="84">
        <f t="shared" si="441"/>
        <v>0.2584993914951349</v>
      </c>
      <c r="BG297" s="84">
        <f t="shared" si="441"/>
        <v>0.2499027373309502</v>
      </c>
      <c r="BH297" s="84">
        <f t="shared" si="441"/>
        <v>0.24159197344446073</v>
      </c>
      <c r="BI297" s="84">
        <f t="shared" si="441"/>
        <v>0.23355759227036033</v>
      </c>
      <c r="BJ297" s="84">
        <f t="shared" si="441"/>
        <v>0.22579040242687579</v>
      </c>
      <c r="BK297" s="84">
        <f t="shared" si="441"/>
        <v>0.21828151820076933</v>
      </c>
      <c r="BL297" s="84">
        <f t="shared" si="441"/>
        <v>0.21102234938202757</v>
      </c>
      <c r="BM297" s="84">
        <f t="shared" si="441"/>
        <v>0.20400459143660823</v>
      </c>
      <c r="BN297" s="84">
        <f t="shared" si="441"/>
        <v>0.19722021600600176</v>
      </c>
      <c r="BO297" s="84">
        <f t="shared" si="441"/>
        <v>0.19066146172273951</v>
      </c>
      <c r="BP297" s="84">
        <f t="shared" si="441"/>
        <v>0.18432082533134136</v>
      </c>
    </row>
    <row r="298" spans="1:68" outlineLevel="1" x14ac:dyDescent="0.2">
      <c r="A298" s="80"/>
      <c r="B298" s="20"/>
      <c r="C298" s="80"/>
      <c r="D298" s="85"/>
      <c r="E298" s="80"/>
      <c r="F298" s="80"/>
      <c r="G298" s="80"/>
      <c r="H298" s="80"/>
      <c r="I298" s="80"/>
      <c r="J298" s="80"/>
      <c r="K298" s="79"/>
      <c r="L298" s="424"/>
      <c r="M298" s="425"/>
      <c r="N298" s="83"/>
      <c r="O298" s="83"/>
      <c r="P298" s="83"/>
      <c r="Q298" s="83"/>
      <c r="R298" s="35"/>
      <c r="S298" s="35"/>
      <c r="T298" s="35"/>
      <c r="U298" s="35"/>
      <c r="V298" s="35"/>
      <c r="W298" s="35"/>
      <c r="X298" s="35"/>
      <c r="Y298" s="35"/>
      <c r="Z298" s="35"/>
      <c r="AA298" s="35"/>
      <c r="AB298" s="35"/>
      <c r="AC298" s="35"/>
      <c r="AD298" s="35"/>
      <c r="AE298" s="35"/>
      <c r="AF298" s="35"/>
      <c r="AG298" s="35"/>
      <c r="AH298" s="35"/>
      <c r="AI298" s="35"/>
      <c r="AJ298" s="35"/>
      <c r="AK298" s="35"/>
      <c r="AL298" s="35"/>
      <c r="AM298" s="35"/>
      <c r="AN298" s="35"/>
      <c r="AO298" s="35"/>
      <c r="AP298" s="35"/>
      <c r="AQ298" s="35"/>
      <c r="AR298" s="35"/>
      <c r="AS298" s="35"/>
      <c r="AT298" s="35"/>
      <c r="AU298" s="35"/>
      <c r="AV298" s="35"/>
      <c r="AW298" s="35"/>
      <c r="AX298" s="35"/>
      <c r="AY298" s="35"/>
      <c r="AZ298" s="35"/>
      <c r="BA298" s="35"/>
      <c r="BB298" s="35"/>
      <c r="BC298" s="35"/>
      <c r="BD298" s="35"/>
      <c r="BE298" s="35"/>
      <c r="BF298" s="35"/>
      <c r="BG298" s="35"/>
      <c r="BH298" s="35"/>
      <c r="BI298" s="35"/>
      <c r="BJ298" s="35"/>
      <c r="BK298" s="35"/>
      <c r="BL298" s="35"/>
      <c r="BM298" s="35"/>
      <c r="BN298" s="35"/>
      <c r="BO298" s="35"/>
      <c r="BP298" s="35"/>
    </row>
    <row r="299" spans="1:68" outlineLevel="1" x14ac:dyDescent="0.2">
      <c r="A299" s="80"/>
      <c r="B299" s="20"/>
      <c r="C299" s="80"/>
      <c r="D299" s="10" t="str">
        <f>$D$219</f>
        <v>NPV perspective mapping</v>
      </c>
      <c r="E299" s="80"/>
      <c r="F299" s="80"/>
      <c r="G299" s="17" t="str">
        <f>$G$219</f>
        <v>Shareholder</v>
      </c>
      <c r="H299" s="17" t="str">
        <f>$H$219</f>
        <v>Customer</v>
      </c>
      <c r="I299" s="17"/>
      <c r="J299" s="10" t="s">
        <v>398</v>
      </c>
      <c r="K299" s="80"/>
      <c r="L299" s="412"/>
      <c r="M299" s="413"/>
      <c r="N299" s="80"/>
      <c r="O299" s="80"/>
      <c r="P299" s="80"/>
      <c r="Q299" s="80"/>
      <c r="R299" s="80"/>
      <c r="S299" s="80"/>
      <c r="T299" s="83"/>
      <c r="U299" s="80"/>
      <c r="V299" s="80"/>
      <c r="W299" s="80"/>
      <c r="X299" s="80"/>
      <c r="Y299" s="80"/>
      <c r="Z299" s="80"/>
      <c r="AA299" s="80"/>
      <c r="AB299" s="80"/>
      <c r="AC299" s="80"/>
      <c r="AD299" s="80"/>
      <c r="AE299" s="80"/>
      <c r="AF299" s="80"/>
      <c r="AG299" s="80"/>
      <c r="AH299" s="80"/>
      <c r="AI299" s="80"/>
      <c r="AJ299" s="80"/>
      <c r="AK299" s="80"/>
      <c r="AL299" s="80"/>
      <c r="AM299" s="80"/>
      <c r="AN299" s="80"/>
      <c r="AO299" s="80"/>
      <c r="AP299" s="80"/>
      <c r="AQ299" s="80"/>
      <c r="AR299" s="80"/>
      <c r="AS299" s="80"/>
      <c r="AT299" s="80"/>
      <c r="AU299" s="80"/>
      <c r="AV299" s="80"/>
      <c r="AW299" s="80"/>
      <c r="AX299" s="80"/>
      <c r="AY299" s="80"/>
      <c r="AZ299" s="80"/>
      <c r="BA299" s="80"/>
      <c r="BB299" s="80"/>
      <c r="BC299" s="80"/>
      <c r="BD299" s="80"/>
      <c r="BE299" s="80"/>
      <c r="BF299" s="80"/>
      <c r="BG299" s="80"/>
      <c r="BH299" s="80"/>
      <c r="BI299" s="80"/>
      <c r="BJ299" s="80"/>
      <c r="BK299" s="80"/>
      <c r="BL299" s="80"/>
      <c r="BM299" s="80"/>
      <c r="BN299" s="80"/>
      <c r="BO299" s="80"/>
      <c r="BP299" s="80"/>
    </row>
    <row r="300" spans="1:68" outlineLevel="1" x14ac:dyDescent="0.2">
      <c r="A300" s="80"/>
      <c r="B300" s="20"/>
      <c r="C300" s="80"/>
      <c r="D300" s="80"/>
      <c r="E300" s="80"/>
      <c r="F300" s="80"/>
      <c r="G300" s="52"/>
      <c r="H300" s="52"/>
      <c r="I300" s="52"/>
      <c r="J300" s="80"/>
      <c r="K300" s="80"/>
      <c r="L300" s="412"/>
      <c r="M300" s="413"/>
      <c r="N300" s="80"/>
      <c r="O300" s="80"/>
      <c r="P300" s="80"/>
      <c r="Q300" s="80"/>
      <c r="R300" s="80"/>
      <c r="S300" s="80"/>
      <c r="T300" s="83"/>
      <c r="U300" s="80"/>
      <c r="V300" s="80"/>
      <c r="W300" s="80"/>
      <c r="X300" s="80"/>
      <c r="Y300" s="80"/>
      <c r="Z300" s="80"/>
      <c r="AA300" s="80"/>
      <c r="AB300" s="80"/>
      <c r="AC300" s="80"/>
      <c r="AD300" s="80"/>
      <c r="AE300" s="80"/>
      <c r="AF300" s="80"/>
      <c r="AG300" s="80"/>
      <c r="AH300" s="80"/>
      <c r="AI300" s="80"/>
      <c r="AJ300" s="80"/>
      <c r="AK300" s="80"/>
      <c r="AL300" s="80"/>
      <c r="AM300" s="80"/>
      <c r="AN300" s="80"/>
      <c r="AO300" s="80"/>
      <c r="AP300" s="80"/>
      <c r="AQ300" s="80"/>
      <c r="AR300" s="80"/>
      <c r="AS300" s="80"/>
      <c r="AT300" s="80"/>
      <c r="AU300" s="80"/>
      <c r="AV300" s="80"/>
      <c r="AW300" s="80"/>
      <c r="AX300" s="80"/>
      <c r="AY300" s="80"/>
      <c r="AZ300" s="80"/>
      <c r="BA300" s="80"/>
      <c r="BB300" s="80"/>
      <c r="BC300" s="80"/>
      <c r="BD300" s="80"/>
      <c r="BE300" s="80"/>
      <c r="BF300" s="80"/>
      <c r="BG300" s="80"/>
      <c r="BH300" s="80"/>
      <c r="BI300" s="80"/>
      <c r="BJ300" s="80"/>
      <c r="BK300" s="80"/>
      <c r="BL300" s="80"/>
      <c r="BM300" s="80"/>
      <c r="BN300" s="80"/>
      <c r="BO300" s="80"/>
      <c r="BP300" s="80"/>
    </row>
    <row r="301" spans="1:68" outlineLevel="1" x14ac:dyDescent="0.2">
      <c r="A301" s="80"/>
      <c r="B301" s="20"/>
      <c r="C301" s="80"/>
      <c r="D301" s="10" t="str">
        <f>$D$221</f>
        <v>Capex cost</v>
      </c>
      <c r="E301" s="80"/>
      <c r="F301" s="80"/>
      <c r="G301" s="83"/>
      <c r="H301" s="83"/>
      <c r="I301" s="83"/>
      <c r="J301" s="80"/>
      <c r="K301" s="34"/>
      <c r="L301" s="126"/>
      <c r="M301" s="127"/>
      <c r="N301" s="34"/>
      <c r="O301" s="34"/>
      <c r="P301" s="34"/>
      <c r="Q301" s="34"/>
      <c r="R301" s="33"/>
      <c r="S301" s="33"/>
      <c r="T301" s="33"/>
      <c r="U301" s="33"/>
      <c r="V301" s="33"/>
      <c r="W301" s="33"/>
      <c r="X301" s="33"/>
      <c r="Y301" s="33"/>
      <c r="Z301" s="33"/>
      <c r="AA301" s="33"/>
      <c r="AB301" s="33"/>
      <c r="AC301" s="33"/>
      <c r="AD301" s="33"/>
      <c r="AE301" s="33"/>
      <c r="AF301" s="33"/>
      <c r="AG301" s="33"/>
      <c r="AH301" s="33"/>
      <c r="AI301" s="33"/>
      <c r="AJ301" s="33"/>
      <c r="AK301" s="33"/>
      <c r="AL301" s="33"/>
      <c r="AM301" s="33"/>
      <c r="AN301" s="33"/>
      <c r="AO301" s="33"/>
      <c r="AP301" s="33"/>
      <c r="AQ301" s="33"/>
      <c r="AR301" s="33"/>
      <c r="AS301" s="33"/>
      <c r="AT301" s="33"/>
      <c r="AU301" s="33"/>
      <c r="AV301" s="33"/>
      <c r="AW301" s="33"/>
      <c r="AX301" s="33"/>
      <c r="AY301" s="33"/>
      <c r="AZ301" s="33"/>
      <c r="BA301" s="33"/>
      <c r="BB301" s="33"/>
      <c r="BC301" s="33"/>
      <c r="BD301" s="33"/>
      <c r="BE301" s="33"/>
      <c r="BF301" s="33"/>
      <c r="BG301" s="33"/>
      <c r="BH301" s="33"/>
      <c r="BI301" s="33"/>
      <c r="BJ301" s="33"/>
      <c r="BK301" s="33"/>
      <c r="BL301" s="33"/>
      <c r="BM301" s="33"/>
      <c r="BN301" s="33"/>
      <c r="BO301" s="33"/>
      <c r="BP301" s="33"/>
    </row>
    <row r="302" spans="1:68" outlineLevel="1" x14ac:dyDescent="0.2">
      <c r="A302" s="80"/>
      <c r="B302" s="20"/>
      <c r="C302" s="80"/>
      <c r="D302" s="402" t="str">
        <f>$D$222</f>
        <v>Total excl Land</v>
      </c>
      <c r="E302" s="80"/>
      <c r="F302" s="80"/>
      <c r="G302" s="477">
        <f>$G$304</f>
        <v>1</v>
      </c>
      <c r="H302" s="477">
        <f>$H$304</f>
        <v>0</v>
      </c>
      <c r="I302" s="83"/>
      <c r="J302" s="80" t="s">
        <v>399</v>
      </c>
      <c r="K302" s="401">
        <f>SUMPRODUCT($R$297:$BP$297,R302:BP302)</f>
        <v>-12938751.245002702</v>
      </c>
      <c r="L302" s="436">
        <f>SUM(M302:BP302)</f>
        <v>-15330439</v>
      </c>
      <c r="M302" s="457"/>
      <c r="N302" s="455"/>
      <c r="O302" s="455"/>
      <c r="P302" s="455"/>
      <c r="Q302" s="455"/>
      <c r="R302" s="401">
        <f t="shared" ref="R302:AW302" si="442">$G302*R222</f>
        <v>0</v>
      </c>
      <c r="S302" s="401">
        <f t="shared" si="442"/>
        <v>0</v>
      </c>
      <c r="T302" s="401">
        <f t="shared" si="442"/>
        <v>0</v>
      </c>
      <c r="U302" s="401">
        <f t="shared" si="442"/>
        <v>-2714370</v>
      </c>
      <c r="V302" s="401">
        <f t="shared" si="442"/>
        <v>-3261225</v>
      </c>
      <c r="W302" s="401">
        <f t="shared" si="442"/>
        <v>-3274476</v>
      </c>
      <c r="X302" s="401">
        <f t="shared" si="442"/>
        <v>-2730746</v>
      </c>
      <c r="Y302" s="401">
        <f t="shared" si="442"/>
        <v>-3349622</v>
      </c>
      <c r="Z302" s="401">
        <f t="shared" si="442"/>
        <v>0</v>
      </c>
      <c r="AA302" s="401">
        <f t="shared" si="442"/>
        <v>0</v>
      </c>
      <c r="AB302" s="401">
        <f t="shared" si="442"/>
        <v>0</v>
      </c>
      <c r="AC302" s="401">
        <f t="shared" si="442"/>
        <v>0</v>
      </c>
      <c r="AD302" s="401">
        <f t="shared" si="442"/>
        <v>0</v>
      </c>
      <c r="AE302" s="401">
        <f t="shared" si="442"/>
        <v>0</v>
      </c>
      <c r="AF302" s="401">
        <f t="shared" si="442"/>
        <v>0</v>
      </c>
      <c r="AG302" s="401">
        <f t="shared" si="442"/>
        <v>0</v>
      </c>
      <c r="AH302" s="401">
        <f t="shared" si="442"/>
        <v>0</v>
      </c>
      <c r="AI302" s="401">
        <f t="shared" si="442"/>
        <v>0</v>
      </c>
      <c r="AJ302" s="401">
        <f t="shared" si="442"/>
        <v>0</v>
      </c>
      <c r="AK302" s="401">
        <f t="shared" si="442"/>
        <v>0</v>
      </c>
      <c r="AL302" s="401">
        <f t="shared" si="442"/>
        <v>0</v>
      </c>
      <c r="AM302" s="401">
        <f t="shared" si="442"/>
        <v>0</v>
      </c>
      <c r="AN302" s="401">
        <f t="shared" si="442"/>
        <v>0</v>
      </c>
      <c r="AO302" s="401">
        <f t="shared" si="442"/>
        <v>0</v>
      </c>
      <c r="AP302" s="401">
        <f t="shared" si="442"/>
        <v>0</v>
      </c>
      <c r="AQ302" s="401">
        <f t="shared" si="442"/>
        <v>0</v>
      </c>
      <c r="AR302" s="401">
        <f t="shared" si="442"/>
        <v>0</v>
      </c>
      <c r="AS302" s="401">
        <f t="shared" si="442"/>
        <v>0</v>
      </c>
      <c r="AT302" s="401">
        <f t="shared" si="442"/>
        <v>0</v>
      </c>
      <c r="AU302" s="401">
        <f t="shared" si="442"/>
        <v>0</v>
      </c>
      <c r="AV302" s="401">
        <f t="shared" si="442"/>
        <v>0</v>
      </c>
      <c r="AW302" s="401">
        <f t="shared" si="442"/>
        <v>0</v>
      </c>
      <c r="AX302" s="401">
        <f t="shared" ref="AX302:BP302" si="443">$G302*AX222</f>
        <v>0</v>
      </c>
      <c r="AY302" s="401">
        <f t="shared" si="443"/>
        <v>0</v>
      </c>
      <c r="AZ302" s="401">
        <f t="shared" si="443"/>
        <v>0</v>
      </c>
      <c r="BA302" s="401">
        <f t="shared" si="443"/>
        <v>0</v>
      </c>
      <c r="BB302" s="401">
        <f t="shared" si="443"/>
        <v>0</v>
      </c>
      <c r="BC302" s="401">
        <f t="shared" si="443"/>
        <v>0</v>
      </c>
      <c r="BD302" s="401">
        <f t="shared" si="443"/>
        <v>0</v>
      </c>
      <c r="BE302" s="401">
        <f t="shared" si="443"/>
        <v>0</v>
      </c>
      <c r="BF302" s="401">
        <f t="shared" si="443"/>
        <v>0</v>
      </c>
      <c r="BG302" s="401">
        <f t="shared" si="443"/>
        <v>0</v>
      </c>
      <c r="BH302" s="401">
        <f t="shared" si="443"/>
        <v>0</v>
      </c>
      <c r="BI302" s="401">
        <f t="shared" si="443"/>
        <v>0</v>
      </c>
      <c r="BJ302" s="401">
        <f t="shared" si="443"/>
        <v>0</v>
      </c>
      <c r="BK302" s="401">
        <f t="shared" si="443"/>
        <v>0</v>
      </c>
      <c r="BL302" s="401">
        <f t="shared" si="443"/>
        <v>0</v>
      </c>
      <c r="BM302" s="401">
        <f t="shared" si="443"/>
        <v>0</v>
      </c>
      <c r="BN302" s="401">
        <f t="shared" si="443"/>
        <v>0</v>
      </c>
      <c r="BO302" s="401">
        <f t="shared" si="443"/>
        <v>0</v>
      </c>
      <c r="BP302" s="401">
        <f t="shared" si="443"/>
        <v>0</v>
      </c>
    </row>
    <row r="303" spans="1:68" outlineLevel="1" x14ac:dyDescent="0.2">
      <c r="A303" s="80"/>
      <c r="B303" s="20"/>
      <c r="C303" s="80"/>
      <c r="D303" s="402" t="str">
        <f>$D$223</f>
        <v>Land</v>
      </c>
      <c r="E303" s="80"/>
      <c r="F303" s="80"/>
      <c r="G303" s="477">
        <f>$G$304</f>
        <v>1</v>
      </c>
      <c r="H303" s="477">
        <f>$H$304</f>
        <v>0</v>
      </c>
      <c r="I303" s="83"/>
      <c r="J303" s="80" t="s">
        <v>399</v>
      </c>
      <c r="K303" s="401">
        <f>SUMPRODUCT($R$297:$BP$297,R303:BP303)</f>
        <v>0</v>
      </c>
      <c r="L303" s="436">
        <f>SUM(M303:BP303)</f>
        <v>0</v>
      </c>
      <c r="M303" s="457"/>
      <c r="N303" s="455"/>
      <c r="O303" s="455"/>
      <c r="P303" s="455"/>
      <c r="Q303" s="455"/>
      <c r="R303" s="401">
        <f t="shared" ref="R303:AW303" si="444">$G303*R223</f>
        <v>0</v>
      </c>
      <c r="S303" s="401">
        <f t="shared" si="444"/>
        <v>0</v>
      </c>
      <c r="T303" s="401">
        <f t="shared" si="444"/>
        <v>0</v>
      </c>
      <c r="U303" s="401">
        <f t="shared" si="444"/>
        <v>0</v>
      </c>
      <c r="V303" s="401">
        <f t="shared" si="444"/>
        <v>0</v>
      </c>
      <c r="W303" s="401">
        <f t="shared" si="444"/>
        <v>0</v>
      </c>
      <c r="X303" s="401">
        <f t="shared" si="444"/>
        <v>0</v>
      </c>
      <c r="Y303" s="401">
        <f t="shared" si="444"/>
        <v>0</v>
      </c>
      <c r="Z303" s="401">
        <f t="shared" si="444"/>
        <v>0</v>
      </c>
      <c r="AA303" s="401">
        <f t="shared" si="444"/>
        <v>0</v>
      </c>
      <c r="AB303" s="401">
        <f t="shared" si="444"/>
        <v>0</v>
      </c>
      <c r="AC303" s="401">
        <f t="shared" si="444"/>
        <v>0</v>
      </c>
      <c r="AD303" s="401">
        <f t="shared" si="444"/>
        <v>0</v>
      </c>
      <c r="AE303" s="401">
        <f t="shared" si="444"/>
        <v>0</v>
      </c>
      <c r="AF303" s="401">
        <f t="shared" si="444"/>
        <v>0</v>
      </c>
      <c r="AG303" s="401">
        <f t="shared" si="444"/>
        <v>0</v>
      </c>
      <c r="AH303" s="401">
        <f t="shared" si="444"/>
        <v>0</v>
      </c>
      <c r="AI303" s="401">
        <f t="shared" si="444"/>
        <v>0</v>
      </c>
      <c r="AJ303" s="401">
        <f t="shared" si="444"/>
        <v>0</v>
      </c>
      <c r="AK303" s="401">
        <f t="shared" si="444"/>
        <v>0</v>
      </c>
      <c r="AL303" s="401">
        <f t="shared" si="444"/>
        <v>0</v>
      </c>
      <c r="AM303" s="401">
        <f t="shared" si="444"/>
        <v>0</v>
      </c>
      <c r="AN303" s="401">
        <f t="shared" si="444"/>
        <v>0</v>
      </c>
      <c r="AO303" s="401">
        <f t="shared" si="444"/>
        <v>0</v>
      </c>
      <c r="AP303" s="401">
        <f t="shared" si="444"/>
        <v>0</v>
      </c>
      <c r="AQ303" s="401">
        <f t="shared" si="444"/>
        <v>0</v>
      </c>
      <c r="AR303" s="401">
        <f t="shared" si="444"/>
        <v>0</v>
      </c>
      <c r="AS303" s="401">
        <f t="shared" si="444"/>
        <v>0</v>
      </c>
      <c r="AT303" s="401">
        <f t="shared" si="444"/>
        <v>0</v>
      </c>
      <c r="AU303" s="401">
        <f t="shared" si="444"/>
        <v>0</v>
      </c>
      <c r="AV303" s="401">
        <f t="shared" si="444"/>
        <v>0</v>
      </c>
      <c r="AW303" s="401">
        <f t="shared" si="444"/>
        <v>0</v>
      </c>
      <c r="AX303" s="401">
        <f t="shared" ref="AX303:BP303" si="445">$G303*AX223</f>
        <v>0</v>
      </c>
      <c r="AY303" s="401">
        <f t="shared" si="445"/>
        <v>0</v>
      </c>
      <c r="AZ303" s="401">
        <f t="shared" si="445"/>
        <v>0</v>
      </c>
      <c r="BA303" s="401">
        <f t="shared" si="445"/>
        <v>0</v>
      </c>
      <c r="BB303" s="401">
        <f t="shared" si="445"/>
        <v>0</v>
      </c>
      <c r="BC303" s="401">
        <f t="shared" si="445"/>
        <v>0</v>
      </c>
      <c r="BD303" s="401">
        <f t="shared" si="445"/>
        <v>0</v>
      </c>
      <c r="BE303" s="401">
        <f t="shared" si="445"/>
        <v>0</v>
      </c>
      <c r="BF303" s="401">
        <f t="shared" si="445"/>
        <v>0</v>
      </c>
      <c r="BG303" s="401">
        <f t="shared" si="445"/>
        <v>0</v>
      </c>
      <c r="BH303" s="401">
        <f t="shared" si="445"/>
        <v>0</v>
      </c>
      <c r="BI303" s="401">
        <f t="shared" si="445"/>
        <v>0</v>
      </c>
      <c r="BJ303" s="401">
        <f t="shared" si="445"/>
        <v>0</v>
      </c>
      <c r="BK303" s="401">
        <f t="shared" si="445"/>
        <v>0</v>
      </c>
      <c r="BL303" s="401">
        <f t="shared" si="445"/>
        <v>0</v>
      </c>
      <c r="BM303" s="401">
        <f t="shared" si="445"/>
        <v>0</v>
      </c>
      <c r="BN303" s="401">
        <f t="shared" si="445"/>
        <v>0</v>
      </c>
      <c r="BO303" s="401">
        <f t="shared" si="445"/>
        <v>0</v>
      </c>
      <c r="BP303" s="401">
        <f t="shared" si="445"/>
        <v>0</v>
      </c>
    </row>
    <row r="304" spans="1:68" outlineLevel="1" x14ac:dyDescent="0.2">
      <c r="A304" s="80"/>
      <c r="B304" s="20"/>
      <c r="C304" s="80"/>
      <c r="D304" s="81" t="str">
        <f>$D$224</f>
        <v>Total capex cost</v>
      </c>
      <c r="E304" s="80"/>
      <c r="F304" s="80"/>
      <c r="G304" s="477">
        <f>Assumptions!$H$163</f>
        <v>1</v>
      </c>
      <c r="H304" s="477">
        <f>Assumptions!$I$163</f>
        <v>0</v>
      </c>
      <c r="I304" s="83"/>
      <c r="J304" s="85" t="str">
        <f>Assumptions!$K$163</f>
        <v>Capex</v>
      </c>
      <c r="K304" s="401">
        <f>SUMPRODUCT($R$297:$BP$297,R304:BP304)</f>
        <v>-12938751.245002702</v>
      </c>
      <c r="L304" s="436">
        <f>SUM(M304:BP304)</f>
        <v>-15330439</v>
      </c>
      <c r="M304" s="457"/>
      <c r="N304" s="455"/>
      <c r="O304" s="455"/>
      <c r="P304" s="455"/>
      <c r="Q304" s="455"/>
      <c r="R304" s="401">
        <f t="shared" ref="R304:AW304" si="446">$G304*R224</f>
        <v>0</v>
      </c>
      <c r="S304" s="401">
        <f t="shared" si="446"/>
        <v>0</v>
      </c>
      <c r="T304" s="401">
        <f t="shared" si="446"/>
        <v>0</v>
      </c>
      <c r="U304" s="401">
        <f t="shared" si="446"/>
        <v>-2714370</v>
      </c>
      <c r="V304" s="401">
        <f t="shared" si="446"/>
        <v>-3261225</v>
      </c>
      <c r="W304" s="401">
        <f t="shared" si="446"/>
        <v>-3274476</v>
      </c>
      <c r="X304" s="401">
        <f t="shared" si="446"/>
        <v>-2730746</v>
      </c>
      <c r="Y304" s="401">
        <f t="shared" si="446"/>
        <v>-3349622</v>
      </c>
      <c r="Z304" s="401">
        <f t="shared" si="446"/>
        <v>0</v>
      </c>
      <c r="AA304" s="401">
        <f t="shared" si="446"/>
        <v>0</v>
      </c>
      <c r="AB304" s="401">
        <f t="shared" si="446"/>
        <v>0</v>
      </c>
      <c r="AC304" s="401">
        <f t="shared" si="446"/>
        <v>0</v>
      </c>
      <c r="AD304" s="401">
        <f t="shared" si="446"/>
        <v>0</v>
      </c>
      <c r="AE304" s="401">
        <f t="shared" si="446"/>
        <v>0</v>
      </c>
      <c r="AF304" s="401">
        <f t="shared" si="446"/>
        <v>0</v>
      </c>
      <c r="AG304" s="401">
        <f t="shared" si="446"/>
        <v>0</v>
      </c>
      <c r="AH304" s="401">
        <f t="shared" si="446"/>
        <v>0</v>
      </c>
      <c r="AI304" s="401">
        <f t="shared" si="446"/>
        <v>0</v>
      </c>
      <c r="AJ304" s="401">
        <f t="shared" si="446"/>
        <v>0</v>
      </c>
      <c r="AK304" s="401">
        <f t="shared" si="446"/>
        <v>0</v>
      </c>
      <c r="AL304" s="401">
        <f t="shared" si="446"/>
        <v>0</v>
      </c>
      <c r="AM304" s="401">
        <f t="shared" si="446"/>
        <v>0</v>
      </c>
      <c r="AN304" s="401">
        <f t="shared" si="446"/>
        <v>0</v>
      </c>
      <c r="AO304" s="401">
        <f t="shared" si="446"/>
        <v>0</v>
      </c>
      <c r="AP304" s="401">
        <f t="shared" si="446"/>
        <v>0</v>
      </c>
      <c r="AQ304" s="401">
        <f t="shared" si="446"/>
        <v>0</v>
      </c>
      <c r="AR304" s="401">
        <f t="shared" si="446"/>
        <v>0</v>
      </c>
      <c r="AS304" s="401">
        <f t="shared" si="446"/>
        <v>0</v>
      </c>
      <c r="AT304" s="401">
        <f t="shared" si="446"/>
        <v>0</v>
      </c>
      <c r="AU304" s="401">
        <f t="shared" si="446"/>
        <v>0</v>
      </c>
      <c r="AV304" s="401">
        <f t="shared" si="446"/>
        <v>0</v>
      </c>
      <c r="AW304" s="401">
        <f t="shared" si="446"/>
        <v>0</v>
      </c>
      <c r="AX304" s="401">
        <f t="shared" ref="AX304:BP304" si="447">$G304*AX224</f>
        <v>0</v>
      </c>
      <c r="AY304" s="401">
        <f t="shared" si="447"/>
        <v>0</v>
      </c>
      <c r="AZ304" s="401">
        <f t="shared" si="447"/>
        <v>0</v>
      </c>
      <c r="BA304" s="401">
        <f t="shared" si="447"/>
        <v>0</v>
      </c>
      <c r="BB304" s="401">
        <f t="shared" si="447"/>
        <v>0</v>
      </c>
      <c r="BC304" s="401">
        <f t="shared" si="447"/>
        <v>0</v>
      </c>
      <c r="BD304" s="401">
        <f t="shared" si="447"/>
        <v>0</v>
      </c>
      <c r="BE304" s="401">
        <f t="shared" si="447"/>
        <v>0</v>
      </c>
      <c r="BF304" s="401">
        <f t="shared" si="447"/>
        <v>0</v>
      </c>
      <c r="BG304" s="401">
        <f t="shared" si="447"/>
        <v>0</v>
      </c>
      <c r="BH304" s="401">
        <f t="shared" si="447"/>
        <v>0</v>
      </c>
      <c r="BI304" s="401">
        <f t="shared" si="447"/>
        <v>0</v>
      </c>
      <c r="BJ304" s="401">
        <f t="shared" si="447"/>
        <v>0</v>
      </c>
      <c r="BK304" s="401">
        <f t="shared" si="447"/>
        <v>0</v>
      </c>
      <c r="BL304" s="401">
        <f t="shared" si="447"/>
        <v>0</v>
      </c>
      <c r="BM304" s="401">
        <f t="shared" si="447"/>
        <v>0</v>
      </c>
      <c r="BN304" s="401">
        <f t="shared" si="447"/>
        <v>0</v>
      </c>
      <c r="BO304" s="401">
        <f t="shared" si="447"/>
        <v>0</v>
      </c>
      <c r="BP304" s="401">
        <f t="shared" si="447"/>
        <v>0</v>
      </c>
    </row>
    <row r="305" spans="2:68" outlineLevel="1" x14ac:dyDescent="0.2">
      <c r="B305" s="20"/>
      <c r="C305" s="80"/>
      <c r="D305"/>
      <c r="E305"/>
      <c r="F305"/>
      <c r="G305" s="52"/>
      <c r="H305" s="52"/>
      <c r="I305" s="52"/>
      <c r="J305" s="123"/>
      <c r="K305"/>
      <c r="L305" s="112"/>
      <c r="M305" s="113"/>
      <c r="N305"/>
      <c r="O305"/>
      <c r="P305"/>
      <c r="Q305"/>
      <c r="R305"/>
      <c r="S305"/>
      <c r="T305"/>
      <c r="U305"/>
      <c r="V305"/>
      <c r="W305"/>
      <c r="X305"/>
      <c r="Y305"/>
      <c r="Z305"/>
      <c r="AA305"/>
      <c r="AB305"/>
      <c r="AC305"/>
      <c r="AD305"/>
      <c r="AE305"/>
      <c r="AF305"/>
      <c r="AG305"/>
      <c r="AH305"/>
      <c r="AI305"/>
      <c r="AJ305"/>
      <c r="AK305"/>
      <c r="AL305"/>
      <c r="AM305"/>
      <c r="AN305"/>
      <c r="AO305"/>
      <c r="AP305"/>
      <c r="AQ305"/>
      <c r="AR305"/>
      <c r="AS305"/>
      <c r="AT305"/>
      <c r="AU305"/>
      <c r="AV305"/>
      <c r="AW305"/>
      <c r="AX305"/>
      <c r="AY305"/>
      <c r="AZ305"/>
      <c r="BA305"/>
      <c r="BB305"/>
      <c r="BC305"/>
      <c r="BD305"/>
      <c r="BE305"/>
      <c r="BF305"/>
      <c r="BG305"/>
      <c r="BH305"/>
      <c r="BI305"/>
      <c r="BJ305"/>
      <c r="BK305"/>
      <c r="BL305"/>
      <c r="BM305"/>
      <c r="BN305"/>
      <c r="BO305"/>
      <c r="BP305"/>
    </row>
    <row r="306" spans="2:68" outlineLevel="1" x14ac:dyDescent="0.2">
      <c r="B306" s="20"/>
      <c r="C306" s="80"/>
      <c r="D306" s="10" t="str">
        <f>$D$226</f>
        <v>Future capex cost</v>
      </c>
      <c r="E306" s="80"/>
      <c r="F306" s="80"/>
      <c r="G306" s="83"/>
      <c r="H306" s="83"/>
      <c r="I306" s="83"/>
      <c r="J306" s="85"/>
      <c r="K306" s="401"/>
      <c r="L306" s="436"/>
      <c r="M306" s="127"/>
      <c r="N306" s="34"/>
      <c r="O306" s="34"/>
      <c r="P306" s="34"/>
      <c r="Q306" s="34"/>
      <c r="R306" s="33"/>
      <c r="S306" s="33"/>
      <c r="T306" s="33"/>
      <c r="U306" s="33"/>
      <c r="V306" s="33"/>
      <c r="W306" s="33"/>
      <c r="X306" s="33"/>
      <c r="Y306" s="33"/>
      <c r="Z306" s="33"/>
      <c r="AA306" s="33"/>
      <c r="AB306" s="33"/>
      <c r="AC306" s="33"/>
      <c r="AD306" s="33"/>
      <c r="AE306" s="33"/>
      <c r="AF306" s="33"/>
      <c r="AG306" s="33"/>
      <c r="AH306" s="33"/>
      <c r="AI306" s="33"/>
      <c r="AJ306" s="33"/>
      <c r="AK306" s="33"/>
      <c r="AL306" s="33"/>
      <c r="AM306" s="33"/>
      <c r="AN306" s="33"/>
      <c r="AO306" s="33"/>
      <c r="AP306" s="33"/>
      <c r="AQ306" s="33"/>
      <c r="AR306" s="33"/>
      <c r="AS306" s="33"/>
      <c r="AT306" s="33"/>
      <c r="AU306" s="33"/>
      <c r="AV306" s="33"/>
      <c r="AW306" s="33"/>
      <c r="AX306" s="33"/>
      <c r="AY306" s="33"/>
      <c r="AZ306" s="33"/>
      <c r="BA306" s="33"/>
      <c r="BB306" s="33"/>
      <c r="BC306" s="33"/>
      <c r="BD306" s="33"/>
      <c r="BE306" s="33"/>
      <c r="BF306" s="33"/>
      <c r="BG306" s="33"/>
      <c r="BH306" s="33"/>
      <c r="BI306" s="33"/>
      <c r="BJ306" s="33"/>
      <c r="BK306" s="33"/>
      <c r="BL306" s="33"/>
      <c r="BM306" s="33"/>
      <c r="BN306" s="33"/>
      <c r="BO306" s="33"/>
      <c r="BP306" s="33"/>
    </row>
    <row r="307" spans="2:68" outlineLevel="1" x14ac:dyDescent="0.2">
      <c r="B307" s="20"/>
      <c r="C307" s="80"/>
      <c r="D307" s="402" t="str">
        <f>$D$227</f>
        <v>Total excl Land</v>
      </c>
      <c r="E307" s="80"/>
      <c r="F307" s="80"/>
      <c r="G307" s="477">
        <f>$G$309</f>
        <v>1</v>
      </c>
      <c r="H307" s="477">
        <f>$H$309</f>
        <v>0</v>
      </c>
      <c r="I307" s="83"/>
      <c r="J307" s="85" t="s">
        <v>399</v>
      </c>
      <c r="K307" s="401">
        <f>SUMPRODUCT($R$297:$BP$297,R307:BP307)</f>
        <v>0</v>
      </c>
      <c r="L307" s="436">
        <f>SUM(M307:BP307)</f>
        <v>0</v>
      </c>
      <c r="M307" s="457"/>
      <c r="N307" s="455"/>
      <c r="O307" s="455"/>
      <c r="P307" s="455"/>
      <c r="Q307" s="455"/>
      <c r="R307" s="401">
        <f t="shared" ref="R307:AW307" si="448">$G307*R227</f>
        <v>0</v>
      </c>
      <c r="S307" s="401">
        <f t="shared" si="448"/>
        <v>0</v>
      </c>
      <c r="T307" s="401">
        <f t="shared" si="448"/>
        <v>0</v>
      </c>
      <c r="U307" s="401">
        <f t="shared" si="448"/>
        <v>0</v>
      </c>
      <c r="V307" s="401">
        <f t="shared" si="448"/>
        <v>0</v>
      </c>
      <c r="W307" s="401">
        <f t="shared" si="448"/>
        <v>0</v>
      </c>
      <c r="X307" s="401">
        <f t="shared" si="448"/>
        <v>0</v>
      </c>
      <c r="Y307" s="401">
        <f t="shared" si="448"/>
        <v>0</v>
      </c>
      <c r="Z307" s="401">
        <f t="shared" si="448"/>
        <v>0</v>
      </c>
      <c r="AA307" s="401">
        <f t="shared" si="448"/>
        <v>0</v>
      </c>
      <c r="AB307" s="401">
        <f t="shared" si="448"/>
        <v>0</v>
      </c>
      <c r="AC307" s="401">
        <f t="shared" si="448"/>
        <v>0</v>
      </c>
      <c r="AD307" s="401">
        <f t="shared" si="448"/>
        <v>0</v>
      </c>
      <c r="AE307" s="401">
        <f t="shared" si="448"/>
        <v>0</v>
      </c>
      <c r="AF307" s="401">
        <f t="shared" si="448"/>
        <v>0</v>
      </c>
      <c r="AG307" s="401">
        <f t="shared" si="448"/>
        <v>0</v>
      </c>
      <c r="AH307" s="401">
        <f t="shared" si="448"/>
        <v>0</v>
      </c>
      <c r="AI307" s="401">
        <f t="shared" si="448"/>
        <v>0</v>
      </c>
      <c r="AJ307" s="401">
        <f t="shared" si="448"/>
        <v>0</v>
      </c>
      <c r="AK307" s="401">
        <f t="shared" si="448"/>
        <v>0</v>
      </c>
      <c r="AL307" s="401">
        <f t="shared" si="448"/>
        <v>0</v>
      </c>
      <c r="AM307" s="401">
        <f t="shared" si="448"/>
        <v>0</v>
      </c>
      <c r="AN307" s="401">
        <f t="shared" si="448"/>
        <v>0</v>
      </c>
      <c r="AO307" s="401">
        <f t="shared" si="448"/>
        <v>0</v>
      </c>
      <c r="AP307" s="401">
        <f t="shared" si="448"/>
        <v>0</v>
      </c>
      <c r="AQ307" s="401">
        <f t="shared" si="448"/>
        <v>0</v>
      </c>
      <c r="AR307" s="401">
        <f t="shared" si="448"/>
        <v>0</v>
      </c>
      <c r="AS307" s="401">
        <f t="shared" si="448"/>
        <v>0</v>
      </c>
      <c r="AT307" s="401">
        <f t="shared" si="448"/>
        <v>0</v>
      </c>
      <c r="AU307" s="401">
        <f t="shared" si="448"/>
        <v>0</v>
      </c>
      <c r="AV307" s="401">
        <f t="shared" si="448"/>
        <v>0</v>
      </c>
      <c r="AW307" s="401">
        <f t="shared" si="448"/>
        <v>0</v>
      </c>
      <c r="AX307" s="401">
        <f t="shared" ref="AX307:BP307" si="449">$G307*AX227</f>
        <v>0</v>
      </c>
      <c r="AY307" s="401">
        <f t="shared" si="449"/>
        <v>0</v>
      </c>
      <c r="AZ307" s="401">
        <f t="shared" si="449"/>
        <v>0</v>
      </c>
      <c r="BA307" s="401">
        <f t="shared" si="449"/>
        <v>0</v>
      </c>
      <c r="BB307" s="401">
        <f t="shared" si="449"/>
        <v>0</v>
      </c>
      <c r="BC307" s="401">
        <f t="shared" si="449"/>
        <v>0</v>
      </c>
      <c r="BD307" s="401">
        <f t="shared" si="449"/>
        <v>0</v>
      </c>
      <c r="BE307" s="401">
        <f t="shared" si="449"/>
        <v>0</v>
      </c>
      <c r="BF307" s="401">
        <f t="shared" si="449"/>
        <v>0</v>
      </c>
      <c r="BG307" s="401">
        <f t="shared" si="449"/>
        <v>0</v>
      </c>
      <c r="BH307" s="401">
        <f t="shared" si="449"/>
        <v>0</v>
      </c>
      <c r="BI307" s="401">
        <f t="shared" si="449"/>
        <v>0</v>
      </c>
      <c r="BJ307" s="401">
        <f t="shared" si="449"/>
        <v>0</v>
      </c>
      <c r="BK307" s="401">
        <f t="shared" si="449"/>
        <v>0</v>
      </c>
      <c r="BL307" s="401">
        <f t="shared" si="449"/>
        <v>0</v>
      </c>
      <c r="BM307" s="401">
        <f t="shared" si="449"/>
        <v>0</v>
      </c>
      <c r="BN307" s="401">
        <f t="shared" si="449"/>
        <v>0</v>
      </c>
      <c r="BO307" s="401">
        <f t="shared" si="449"/>
        <v>0</v>
      </c>
      <c r="BP307" s="401">
        <f t="shared" si="449"/>
        <v>0</v>
      </c>
    </row>
    <row r="308" spans="2:68" outlineLevel="1" x14ac:dyDescent="0.2">
      <c r="B308" s="20"/>
      <c r="C308" s="80"/>
      <c r="D308" s="402" t="str">
        <f>$D$228</f>
        <v>Land</v>
      </c>
      <c r="E308" s="80"/>
      <c r="F308" s="80"/>
      <c r="G308" s="477">
        <f>$G$309</f>
        <v>1</v>
      </c>
      <c r="H308" s="477">
        <f>$H$309</f>
        <v>0</v>
      </c>
      <c r="I308" s="83"/>
      <c r="J308" s="85" t="s">
        <v>399</v>
      </c>
      <c r="K308" s="401">
        <f>SUMPRODUCT($R$297:$BP$297,R308:BP308)</f>
        <v>0</v>
      </c>
      <c r="L308" s="436">
        <f>SUM(M308:BP308)</f>
        <v>0</v>
      </c>
      <c r="M308" s="457"/>
      <c r="N308" s="455"/>
      <c r="O308" s="455"/>
      <c r="P308" s="455"/>
      <c r="Q308" s="455"/>
      <c r="R308" s="401">
        <f t="shared" ref="R308:AW308" si="450">$G308*R228</f>
        <v>0</v>
      </c>
      <c r="S308" s="401">
        <f t="shared" si="450"/>
        <v>0</v>
      </c>
      <c r="T308" s="401">
        <f t="shared" si="450"/>
        <v>0</v>
      </c>
      <c r="U308" s="401">
        <f t="shared" si="450"/>
        <v>0</v>
      </c>
      <c r="V308" s="401">
        <f t="shared" si="450"/>
        <v>0</v>
      </c>
      <c r="W308" s="401">
        <f t="shared" si="450"/>
        <v>0</v>
      </c>
      <c r="X308" s="401">
        <f t="shared" si="450"/>
        <v>0</v>
      </c>
      <c r="Y308" s="401">
        <f t="shared" si="450"/>
        <v>0</v>
      </c>
      <c r="Z308" s="401">
        <f t="shared" si="450"/>
        <v>0</v>
      </c>
      <c r="AA308" s="401">
        <f t="shared" si="450"/>
        <v>0</v>
      </c>
      <c r="AB308" s="401">
        <f t="shared" si="450"/>
        <v>0</v>
      </c>
      <c r="AC308" s="401">
        <f t="shared" si="450"/>
        <v>0</v>
      </c>
      <c r="AD308" s="401">
        <f t="shared" si="450"/>
        <v>0</v>
      </c>
      <c r="AE308" s="401">
        <f t="shared" si="450"/>
        <v>0</v>
      </c>
      <c r="AF308" s="401">
        <f t="shared" si="450"/>
        <v>0</v>
      </c>
      <c r="AG308" s="401">
        <f t="shared" si="450"/>
        <v>0</v>
      </c>
      <c r="AH308" s="401">
        <f t="shared" si="450"/>
        <v>0</v>
      </c>
      <c r="AI308" s="401">
        <f t="shared" si="450"/>
        <v>0</v>
      </c>
      <c r="AJ308" s="401">
        <f t="shared" si="450"/>
        <v>0</v>
      </c>
      <c r="AK308" s="401">
        <f t="shared" si="450"/>
        <v>0</v>
      </c>
      <c r="AL308" s="401">
        <f t="shared" si="450"/>
        <v>0</v>
      </c>
      <c r="AM308" s="401">
        <f t="shared" si="450"/>
        <v>0</v>
      </c>
      <c r="AN308" s="401">
        <f t="shared" si="450"/>
        <v>0</v>
      </c>
      <c r="AO308" s="401">
        <f t="shared" si="450"/>
        <v>0</v>
      </c>
      <c r="AP308" s="401">
        <f t="shared" si="450"/>
        <v>0</v>
      </c>
      <c r="AQ308" s="401">
        <f t="shared" si="450"/>
        <v>0</v>
      </c>
      <c r="AR308" s="401">
        <f t="shared" si="450"/>
        <v>0</v>
      </c>
      <c r="AS308" s="401">
        <f t="shared" si="450"/>
        <v>0</v>
      </c>
      <c r="AT308" s="401">
        <f t="shared" si="450"/>
        <v>0</v>
      </c>
      <c r="AU308" s="401">
        <f t="shared" si="450"/>
        <v>0</v>
      </c>
      <c r="AV308" s="401">
        <f t="shared" si="450"/>
        <v>0</v>
      </c>
      <c r="AW308" s="401">
        <f t="shared" si="450"/>
        <v>0</v>
      </c>
      <c r="AX308" s="401">
        <f t="shared" ref="AX308:BP308" si="451">$G308*AX228</f>
        <v>0</v>
      </c>
      <c r="AY308" s="401">
        <f t="shared" si="451"/>
        <v>0</v>
      </c>
      <c r="AZ308" s="401">
        <f t="shared" si="451"/>
        <v>0</v>
      </c>
      <c r="BA308" s="401">
        <f t="shared" si="451"/>
        <v>0</v>
      </c>
      <c r="BB308" s="401">
        <f t="shared" si="451"/>
        <v>0</v>
      </c>
      <c r="BC308" s="401">
        <f t="shared" si="451"/>
        <v>0</v>
      </c>
      <c r="BD308" s="401">
        <f t="shared" si="451"/>
        <v>0</v>
      </c>
      <c r="BE308" s="401">
        <f t="shared" si="451"/>
        <v>0</v>
      </c>
      <c r="BF308" s="401">
        <f t="shared" si="451"/>
        <v>0</v>
      </c>
      <c r="BG308" s="401">
        <f t="shared" si="451"/>
        <v>0</v>
      </c>
      <c r="BH308" s="401">
        <f t="shared" si="451"/>
        <v>0</v>
      </c>
      <c r="BI308" s="401">
        <f t="shared" si="451"/>
        <v>0</v>
      </c>
      <c r="BJ308" s="401">
        <f t="shared" si="451"/>
        <v>0</v>
      </c>
      <c r="BK308" s="401">
        <f t="shared" si="451"/>
        <v>0</v>
      </c>
      <c r="BL308" s="401">
        <f t="shared" si="451"/>
        <v>0</v>
      </c>
      <c r="BM308" s="401">
        <f t="shared" si="451"/>
        <v>0</v>
      </c>
      <c r="BN308" s="401">
        <f t="shared" si="451"/>
        <v>0</v>
      </c>
      <c r="BO308" s="401">
        <f t="shared" si="451"/>
        <v>0</v>
      </c>
      <c r="BP308" s="401">
        <f t="shared" si="451"/>
        <v>0</v>
      </c>
    </row>
    <row r="309" spans="2:68" outlineLevel="1" x14ac:dyDescent="0.2">
      <c r="B309" s="20"/>
      <c r="C309" s="80"/>
      <c r="D309" s="81" t="str">
        <f>$D$229</f>
        <v>Total future capex cost</v>
      </c>
      <c r="E309" s="80"/>
      <c r="F309" s="80"/>
      <c r="G309" s="477">
        <f>Assumptions!$H$166</f>
        <v>1</v>
      </c>
      <c r="H309" s="477">
        <f>Assumptions!$I$166</f>
        <v>0</v>
      </c>
      <c r="I309" s="83"/>
      <c r="J309" s="85" t="str">
        <f>Assumptions!$K$166</f>
        <v>Future capex</v>
      </c>
      <c r="K309" s="401">
        <f>SUMPRODUCT($R$297:$BP$297,R309:BP309)</f>
        <v>0</v>
      </c>
      <c r="L309" s="436">
        <f>SUM(M309:BP309)</f>
        <v>0</v>
      </c>
      <c r="M309" s="457"/>
      <c r="N309" s="455"/>
      <c r="O309" s="455"/>
      <c r="P309" s="455"/>
      <c r="Q309" s="455"/>
      <c r="R309" s="401">
        <f t="shared" ref="R309:AW309" si="452">$G309*R229</f>
        <v>0</v>
      </c>
      <c r="S309" s="401">
        <f t="shared" si="452"/>
        <v>0</v>
      </c>
      <c r="T309" s="401">
        <f t="shared" si="452"/>
        <v>0</v>
      </c>
      <c r="U309" s="401">
        <f t="shared" si="452"/>
        <v>0</v>
      </c>
      <c r="V309" s="401">
        <f t="shared" si="452"/>
        <v>0</v>
      </c>
      <c r="W309" s="401">
        <f t="shared" si="452"/>
        <v>0</v>
      </c>
      <c r="X309" s="401">
        <f t="shared" si="452"/>
        <v>0</v>
      </c>
      <c r="Y309" s="401">
        <f t="shared" si="452"/>
        <v>0</v>
      </c>
      <c r="Z309" s="401">
        <f t="shared" si="452"/>
        <v>0</v>
      </c>
      <c r="AA309" s="401">
        <f t="shared" si="452"/>
        <v>0</v>
      </c>
      <c r="AB309" s="401">
        <f t="shared" si="452"/>
        <v>0</v>
      </c>
      <c r="AC309" s="401">
        <f t="shared" si="452"/>
        <v>0</v>
      </c>
      <c r="AD309" s="401">
        <f t="shared" si="452"/>
        <v>0</v>
      </c>
      <c r="AE309" s="401">
        <f t="shared" si="452"/>
        <v>0</v>
      </c>
      <c r="AF309" s="401">
        <f t="shared" si="452"/>
        <v>0</v>
      </c>
      <c r="AG309" s="401">
        <f t="shared" si="452"/>
        <v>0</v>
      </c>
      <c r="AH309" s="401">
        <f t="shared" si="452"/>
        <v>0</v>
      </c>
      <c r="AI309" s="401">
        <f t="shared" si="452"/>
        <v>0</v>
      </c>
      <c r="AJ309" s="401">
        <f t="shared" si="452"/>
        <v>0</v>
      </c>
      <c r="AK309" s="401">
        <f t="shared" si="452"/>
        <v>0</v>
      </c>
      <c r="AL309" s="401">
        <f t="shared" si="452"/>
        <v>0</v>
      </c>
      <c r="AM309" s="401">
        <f t="shared" si="452"/>
        <v>0</v>
      </c>
      <c r="AN309" s="401">
        <f t="shared" si="452"/>
        <v>0</v>
      </c>
      <c r="AO309" s="401">
        <f t="shared" si="452"/>
        <v>0</v>
      </c>
      <c r="AP309" s="401">
        <f t="shared" si="452"/>
        <v>0</v>
      </c>
      <c r="AQ309" s="401">
        <f t="shared" si="452"/>
        <v>0</v>
      </c>
      <c r="AR309" s="401">
        <f t="shared" si="452"/>
        <v>0</v>
      </c>
      <c r="AS309" s="401">
        <f t="shared" si="452"/>
        <v>0</v>
      </c>
      <c r="AT309" s="401">
        <f t="shared" si="452"/>
        <v>0</v>
      </c>
      <c r="AU309" s="401">
        <f t="shared" si="452"/>
        <v>0</v>
      </c>
      <c r="AV309" s="401">
        <f t="shared" si="452"/>
        <v>0</v>
      </c>
      <c r="AW309" s="401">
        <f t="shared" si="452"/>
        <v>0</v>
      </c>
      <c r="AX309" s="401">
        <f t="shared" ref="AX309:BP309" si="453">$G309*AX229</f>
        <v>0</v>
      </c>
      <c r="AY309" s="401">
        <f t="shared" si="453"/>
        <v>0</v>
      </c>
      <c r="AZ309" s="401">
        <f t="shared" si="453"/>
        <v>0</v>
      </c>
      <c r="BA309" s="401">
        <f t="shared" si="453"/>
        <v>0</v>
      </c>
      <c r="BB309" s="401">
        <f t="shared" si="453"/>
        <v>0</v>
      </c>
      <c r="BC309" s="401">
        <f t="shared" si="453"/>
        <v>0</v>
      </c>
      <c r="BD309" s="401">
        <f t="shared" si="453"/>
        <v>0</v>
      </c>
      <c r="BE309" s="401">
        <f t="shared" si="453"/>
        <v>0</v>
      </c>
      <c r="BF309" s="401">
        <f t="shared" si="453"/>
        <v>0</v>
      </c>
      <c r="BG309" s="401">
        <f t="shared" si="453"/>
        <v>0</v>
      </c>
      <c r="BH309" s="401">
        <f t="shared" si="453"/>
        <v>0</v>
      </c>
      <c r="BI309" s="401">
        <f t="shared" si="453"/>
        <v>0</v>
      </c>
      <c r="BJ309" s="401">
        <f t="shared" si="453"/>
        <v>0</v>
      </c>
      <c r="BK309" s="401">
        <f t="shared" si="453"/>
        <v>0</v>
      </c>
      <c r="BL309" s="401">
        <f t="shared" si="453"/>
        <v>0</v>
      </c>
      <c r="BM309" s="401">
        <f t="shared" si="453"/>
        <v>0</v>
      </c>
      <c r="BN309" s="401">
        <f t="shared" si="453"/>
        <v>0</v>
      </c>
      <c r="BO309" s="401">
        <f t="shared" si="453"/>
        <v>0</v>
      </c>
      <c r="BP309" s="401">
        <f t="shared" si="453"/>
        <v>0</v>
      </c>
    </row>
    <row r="310" spans="2:68" outlineLevel="1" x14ac:dyDescent="0.2">
      <c r="B310" s="20"/>
      <c r="C310" s="80"/>
      <c r="D310" s="85"/>
      <c r="E310" s="80"/>
      <c r="F310" s="80"/>
      <c r="G310" s="83"/>
      <c r="H310" s="83"/>
      <c r="I310" s="83"/>
      <c r="J310" s="85"/>
      <c r="K310" s="401"/>
      <c r="L310" s="436"/>
      <c r="M310" s="437"/>
      <c r="N310" s="401"/>
      <c r="O310" s="401"/>
      <c r="P310" s="401"/>
      <c r="Q310" s="401"/>
      <c r="R310" s="401"/>
      <c r="S310" s="401"/>
      <c r="T310" s="401"/>
      <c r="U310" s="401"/>
      <c r="V310" s="401"/>
      <c r="W310" s="401"/>
      <c r="X310" s="401"/>
      <c r="Y310" s="401"/>
      <c r="Z310" s="401"/>
      <c r="AA310" s="401"/>
      <c r="AB310" s="401"/>
      <c r="AC310" s="401"/>
      <c r="AD310" s="401"/>
      <c r="AE310" s="401"/>
      <c r="AF310" s="401"/>
      <c r="AG310" s="401"/>
      <c r="AH310" s="401"/>
      <c r="AI310" s="401"/>
      <c r="AJ310" s="401"/>
      <c r="AK310" s="401"/>
      <c r="AL310" s="401"/>
      <c r="AM310" s="401"/>
      <c r="AN310" s="401"/>
      <c r="AO310" s="401"/>
      <c r="AP310" s="401"/>
      <c r="AQ310" s="401"/>
      <c r="AR310" s="401"/>
      <c r="AS310" s="401"/>
      <c r="AT310" s="401"/>
      <c r="AU310" s="401"/>
      <c r="AV310" s="401"/>
      <c r="AW310" s="401"/>
      <c r="AX310" s="401"/>
      <c r="AY310" s="401"/>
      <c r="AZ310" s="401"/>
      <c r="BA310" s="401"/>
      <c r="BB310" s="401"/>
      <c r="BC310" s="401"/>
      <c r="BD310" s="401"/>
      <c r="BE310" s="401"/>
      <c r="BF310" s="401"/>
      <c r="BG310" s="401"/>
      <c r="BH310" s="401"/>
      <c r="BI310" s="401"/>
      <c r="BJ310" s="401"/>
      <c r="BK310" s="401"/>
      <c r="BL310" s="401"/>
      <c r="BM310" s="401"/>
      <c r="BN310" s="401"/>
      <c r="BO310" s="401"/>
      <c r="BP310" s="401"/>
    </row>
    <row r="311" spans="2:68" outlineLevel="1" x14ac:dyDescent="0.2">
      <c r="B311" s="20"/>
      <c r="C311" s="80"/>
      <c r="D311" s="10" t="str">
        <f>$D$231</f>
        <v>Capex benefits</v>
      </c>
      <c r="E311" s="80"/>
      <c r="F311" s="80"/>
      <c r="G311" s="83"/>
      <c r="H311" s="83"/>
      <c r="I311" s="83"/>
      <c r="J311" s="85"/>
      <c r="K311" s="80"/>
      <c r="L311" s="412"/>
      <c r="M311" s="413"/>
      <c r="N311" s="80"/>
      <c r="O311" s="80"/>
      <c r="P311" s="80"/>
      <c r="Q311" s="80"/>
      <c r="R311" s="80"/>
      <c r="S311" s="80"/>
      <c r="T311" s="83"/>
      <c r="U311" s="80"/>
      <c r="V311" s="80"/>
      <c r="W311" s="80"/>
      <c r="X311" s="80"/>
      <c r="Y311" s="80"/>
      <c r="Z311" s="80"/>
      <c r="AA311" s="80"/>
      <c r="AB311" s="80"/>
      <c r="AC311" s="80"/>
      <c r="AD311" s="80"/>
      <c r="AE311" s="80"/>
      <c r="AF311" s="80"/>
      <c r="AG311" s="80"/>
      <c r="AH311" s="80"/>
      <c r="AI311" s="80"/>
      <c r="AJ311" s="80"/>
      <c r="AK311" s="80"/>
      <c r="AL311" s="80"/>
      <c r="AM311" s="80"/>
      <c r="AN311" s="80"/>
      <c r="AO311" s="80"/>
      <c r="AP311" s="80"/>
      <c r="AQ311" s="80"/>
      <c r="AR311" s="80"/>
      <c r="AS311" s="80"/>
      <c r="AT311" s="80"/>
      <c r="AU311" s="80"/>
      <c r="AV311" s="80"/>
      <c r="AW311" s="80"/>
      <c r="AX311" s="80"/>
      <c r="AY311" s="80"/>
      <c r="AZ311" s="80"/>
      <c r="BA311" s="80"/>
      <c r="BB311" s="80"/>
      <c r="BC311" s="80"/>
      <c r="BD311" s="80"/>
      <c r="BE311" s="80"/>
      <c r="BF311" s="80"/>
      <c r="BG311" s="80"/>
      <c r="BH311" s="80"/>
      <c r="BI311" s="80"/>
      <c r="BJ311" s="80"/>
      <c r="BK311" s="80"/>
      <c r="BL311" s="80"/>
      <c r="BM311" s="80"/>
      <c r="BN311" s="80"/>
      <c r="BO311" s="80"/>
      <c r="BP311" s="80"/>
    </row>
    <row r="312" spans="2:68" outlineLevel="1" x14ac:dyDescent="0.2">
      <c r="B312" s="20"/>
      <c r="C312" s="80"/>
      <c r="D312" s="66" t="str">
        <f>$D$232</f>
        <v>Total capex benefits</v>
      </c>
      <c r="E312" s="80"/>
      <c r="F312" s="80"/>
      <c r="G312" s="477">
        <f>Assumptions!$H$169</f>
        <v>0.3</v>
      </c>
      <c r="H312" s="477">
        <f>Assumptions!$I$169</f>
        <v>0.7</v>
      </c>
      <c r="I312" s="83"/>
      <c r="J312" s="85" t="str">
        <f>Assumptions!$K$169</f>
        <v>Capex benefits</v>
      </c>
      <c r="K312" s="401">
        <f>SUMPRODUCT($R$297:$BP$297,R312:BP312)</f>
        <v>162846.85430382862</v>
      </c>
      <c r="L312" s="436">
        <f>SUM(M312:BP312)</f>
        <v>202465.65123588845</v>
      </c>
      <c r="M312" s="457"/>
      <c r="N312" s="455"/>
      <c r="O312" s="455"/>
      <c r="P312" s="455"/>
      <c r="Q312" s="455"/>
      <c r="R312" s="401">
        <f t="shared" ref="R312:AW312" si="454">$G$312*(R116+R124)</f>
        <v>0</v>
      </c>
      <c r="S312" s="401">
        <f t="shared" si="454"/>
        <v>0</v>
      </c>
      <c r="T312" s="401">
        <f t="shared" si="454"/>
        <v>0</v>
      </c>
      <c r="U312" s="401">
        <f t="shared" si="454"/>
        <v>24664.649883726081</v>
      </c>
      <c r="V312" s="401">
        <f t="shared" si="454"/>
        <v>25025.590002550602</v>
      </c>
      <c r="W312" s="401">
        <f t="shared" si="454"/>
        <v>25194.533621103768</v>
      </c>
      <c r="X312" s="401">
        <f t="shared" si="454"/>
        <v>25211.979778447185</v>
      </c>
      <c r="Y312" s="401">
        <f t="shared" si="454"/>
        <v>25592.224487515206</v>
      </c>
      <c r="Z312" s="401">
        <f t="shared" si="454"/>
        <v>25592.224487515206</v>
      </c>
      <c r="AA312" s="401">
        <f t="shared" si="454"/>
        <v>25592.224487515206</v>
      </c>
      <c r="AB312" s="401">
        <f t="shared" si="454"/>
        <v>25592.224487515206</v>
      </c>
      <c r="AC312" s="401">
        <f t="shared" si="454"/>
        <v>0</v>
      </c>
      <c r="AD312" s="401">
        <f t="shared" si="454"/>
        <v>0</v>
      </c>
      <c r="AE312" s="401">
        <f t="shared" si="454"/>
        <v>0</v>
      </c>
      <c r="AF312" s="401">
        <f t="shared" si="454"/>
        <v>0</v>
      </c>
      <c r="AG312" s="401">
        <f t="shared" si="454"/>
        <v>0</v>
      </c>
      <c r="AH312" s="401">
        <f t="shared" si="454"/>
        <v>0</v>
      </c>
      <c r="AI312" s="401">
        <f t="shared" si="454"/>
        <v>0</v>
      </c>
      <c r="AJ312" s="401">
        <f t="shared" si="454"/>
        <v>0</v>
      </c>
      <c r="AK312" s="401">
        <f t="shared" si="454"/>
        <v>0</v>
      </c>
      <c r="AL312" s="401">
        <f t="shared" si="454"/>
        <v>0</v>
      </c>
      <c r="AM312" s="401">
        <f t="shared" si="454"/>
        <v>0</v>
      </c>
      <c r="AN312" s="401">
        <f t="shared" si="454"/>
        <v>0</v>
      </c>
      <c r="AO312" s="401">
        <f t="shared" si="454"/>
        <v>0</v>
      </c>
      <c r="AP312" s="401">
        <f t="shared" si="454"/>
        <v>0</v>
      </c>
      <c r="AQ312" s="401">
        <f t="shared" si="454"/>
        <v>0</v>
      </c>
      <c r="AR312" s="401">
        <f t="shared" si="454"/>
        <v>0</v>
      </c>
      <c r="AS312" s="401">
        <f t="shared" si="454"/>
        <v>0</v>
      </c>
      <c r="AT312" s="401">
        <f t="shared" si="454"/>
        <v>0</v>
      </c>
      <c r="AU312" s="401">
        <f t="shared" si="454"/>
        <v>0</v>
      </c>
      <c r="AV312" s="401">
        <f t="shared" si="454"/>
        <v>0</v>
      </c>
      <c r="AW312" s="401">
        <f t="shared" si="454"/>
        <v>0</v>
      </c>
      <c r="AX312" s="401">
        <f t="shared" ref="AX312:BP312" si="455">$G$312*(AX116+AX124)</f>
        <v>0</v>
      </c>
      <c r="AY312" s="401">
        <f t="shared" si="455"/>
        <v>0</v>
      </c>
      <c r="AZ312" s="401">
        <f t="shared" si="455"/>
        <v>0</v>
      </c>
      <c r="BA312" s="401">
        <f t="shared" si="455"/>
        <v>0</v>
      </c>
      <c r="BB312" s="401">
        <f t="shared" si="455"/>
        <v>0</v>
      </c>
      <c r="BC312" s="401">
        <f t="shared" si="455"/>
        <v>0</v>
      </c>
      <c r="BD312" s="401">
        <f t="shared" si="455"/>
        <v>0</v>
      </c>
      <c r="BE312" s="401">
        <f t="shared" si="455"/>
        <v>0</v>
      </c>
      <c r="BF312" s="401">
        <f t="shared" si="455"/>
        <v>0</v>
      </c>
      <c r="BG312" s="401">
        <f t="shared" si="455"/>
        <v>0</v>
      </c>
      <c r="BH312" s="401">
        <f t="shared" si="455"/>
        <v>0</v>
      </c>
      <c r="BI312" s="401">
        <f t="shared" si="455"/>
        <v>0</v>
      </c>
      <c r="BJ312" s="401">
        <f t="shared" si="455"/>
        <v>0</v>
      </c>
      <c r="BK312" s="401">
        <f t="shared" si="455"/>
        <v>0</v>
      </c>
      <c r="BL312" s="401">
        <f t="shared" si="455"/>
        <v>0</v>
      </c>
      <c r="BM312" s="401">
        <f t="shared" si="455"/>
        <v>0</v>
      </c>
      <c r="BN312" s="401">
        <f t="shared" si="455"/>
        <v>0</v>
      </c>
      <c r="BO312" s="401">
        <f t="shared" si="455"/>
        <v>0</v>
      </c>
      <c r="BP312" s="401">
        <f t="shared" si="455"/>
        <v>0</v>
      </c>
    </row>
    <row r="313" spans="2:68" outlineLevel="1" x14ac:dyDescent="0.2">
      <c r="B313" s="20"/>
      <c r="C313" s="80"/>
      <c r="D313"/>
      <c r="E313"/>
      <c r="F313"/>
      <c r="G313" s="52"/>
      <c r="H313" s="52"/>
      <c r="I313" s="52"/>
      <c r="J313" s="123"/>
      <c r="K313"/>
      <c r="L313" s="112"/>
      <c r="M313" s="113"/>
      <c r="N313"/>
      <c r="O313"/>
      <c r="P313"/>
      <c r="Q313"/>
      <c r="R313"/>
      <c r="S313"/>
      <c r="T313"/>
      <c r="U313"/>
      <c r="V313"/>
      <c r="W313"/>
      <c r="X313"/>
      <c r="Y313"/>
      <c r="Z313"/>
      <c r="AA313"/>
      <c r="AB313"/>
      <c r="AC313"/>
      <c r="AD313"/>
      <c r="AE313"/>
      <c r="AF313"/>
      <c r="AG313"/>
      <c r="AH313"/>
      <c r="AI313"/>
      <c r="AJ313"/>
      <c r="AK313"/>
      <c r="AL313"/>
      <c r="AM313"/>
      <c r="AN313"/>
      <c r="AO313"/>
      <c r="AP313"/>
      <c r="AQ313"/>
      <c r="AR313"/>
      <c r="AS313"/>
      <c r="AT313"/>
      <c r="AU313"/>
      <c r="AV313"/>
      <c r="AW313"/>
      <c r="AX313"/>
      <c r="AY313"/>
      <c r="AZ313"/>
      <c r="BA313"/>
      <c r="BB313"/>
      <c r="BC313"/>
      <c r="BD313"/>
      <c r="BE313"/>
      <c r="BF313"/>
      <c r="BG313"/>
      <c r="BH313"/>
      <c r="BI313"/>
      <c r="BJ313"/>
      <c r="BK313"/>
      <c r="BL313"/>
      <c r="BM313"/>
      <c r="BN313"/>
      <c r="BO313"/>
      <c r="BP313"/>
    </row>
    <row r="314" spans="2:68" outlineLevel="1" x14ac:dyDescent="0.2">
      <c r="B314" s="20"/>
      <c r="C314" s="80"/>
      <c r="D314" s="10" t="str">
        <f>$D$234</f>
        <v>Regulatory revenue - Return on capital</v>
      </c>
      <c r="E314" s="80"/>
      <c r="F314" s="80"/>
      <c r="G314" s="83"/>
      <c r="H314" s="83"/>
      <c r="I314" s="83"/>
      <c r="J314" s="85"/>
      <c r="K314" s="80"/>
      <c r="L314" s="412"/>
      <c r="M314" s="413"/>
      <c r="N314" s="80"/>
      <c r="O314" s="80"/>
      <c r="P314" s="80"/>
      <c r="Q314" s="80"/>
      <c r="R314" s="80"/>
      <c r="S314" s="80"/>
      <c r="T314" s="83"/>
      <c r="U314" s="80"/>
      <c r="V314" s="80"/>
      <c r="W314" s="80"/>
      <c r="X314" s="80"/>
      <c r="Y314" s="80"/>
      <c r="Z314" s="80"/>
      <c r="AA314" s="80"/>
      <c r="AB314" s="80"/>
      <c r="AC314" s="80"/>
      <c r="AD314" s="80"/>
      <c r="AE314" s="80"/>
      <c r="AF314" s="80"/>
      <c r="AG314" s="80"/>
      <c r="AH314" s="80"/>
      <c r="AI314" s="80"/>
      <c r="AJ314" s="80"/>
      <c r="AK314" s="80"/>
      <c r="AL314" s="80"/>
      <c r="AM314" s="80"/>
      <c r="AN314" s="80"/>
      <c r="AO314" s="80"/>
      <c r="AP314" s="80"/>
      <c r="AQ314" s="80"/>
      <c r="AR314" s="80"/>
      <c r="AS314" s="80"/>
      <c r="AT314" s="80"/>
      <c r="AU314" s="80"/>
      <c r="AV314" s="80"/>
      <c r="AW314" s="80"/>
      <c r="AX314" s="80"/>
      <c r="AY314" s="80"/>
      <c r="AZ314" s="80"/>
      <c r="BA314" s="80"/>
      <c r="BB314" s="80"/>
      <c r="BC314" s="80"/>
      <c r="BD314" s="80"/>
      <c r="BE314" s="80"/>
      <c r="BF314" s="80"/>
      <c r="BG314" s="80"/>
      <c r="BH314" s="80"/>
      <c r="BI314" s="80"/>
      <c r="BJ314" s="80"/>
      <c r="BK314" s="80"/>
      <c r="BL314" s="80"/>
      <c r="BM314" s="80"/>
      <c r="BN314" s="80"/>
      <c r="BO314" s="80"/>
      <c r="BP314" s="80"/>
    </row>
    <row r="315" spans="2:68" outlineLevel="1" x14ac:dyDescent="0.2">
      <c r="B315" s="20"/>
      <c r="C315" s="80"/>
      <c r="D315" s="66" t="str">
        <f>$D$235</f>
        <v>Total return on capital</v>
      </c>
      <c r="E315" s="80"/>
      <c r="F315" s="80"/>
      <c r="G315" s="477">
        <f>Assumptions!$H$172</f>
        <v>1</v>
      </c>
      <c r="H315" s="477">
        <f>Assumptions!$I$172</f>
        <v>-1</v>
      </c>
      <c r="I315" s="83"/>
      <c r="J315" s="85" t="str">
        <f>Assumptions!$K$172</f>
        <v>Regulatory revenue</v>
      </c>
      <c r="K315" s="401">
        <f>SUMPRODUCT($R$297:$BP$297,R315:BP315)</f>
        <v>9295851.6613743976</v>
      </c>
      <c r="L315" s="436">
        <f>SUM(M315:BP315)</f>
        <v>25935296.170079987</v>
      </c>
      <c r="M315" s="457"/>
      <c r="N315" s="455"/>
      <c r="O315" s="455"/>
      <c r="P315" s="455"/>
      <c r="Q315" s="455"/>
      <c r="R315" s="401">
        <f t="shared" ref="R315:AW315" si="456">$G315*R235</f>
        <v>0</v>
      </c>
      <c r="S315" s="401">
        <f t="shared" si="456"/>
        <v>0</v>
      </c>
      <c r="T315" s="401">
        <f t="shared" si="456"/>
        <v>0</v>
      </c>
      <c r="U315" s="401">
        <f t="shared" si="456"/>
        <v>93374.327999999994</v>
      </c>
      <c r="V315" s="401">
        <f t="shared" si="456"/>
        <v>186885.6024</v>
      </c>
      <c r="W315" s="401">
        <f t="shared" si="456"/>
        <v>280943.87807999999</v>
      </c>
      <c r="X315" s="401">
        <f t="shared" si="456"/>
        <v>333769.44688</v>
      </c>
      <c r="Y315" s="401">
        <f t="shared" si="456"/>
        <v>389096.81760000001</v>
      </c>
      <c r="Z315" s="401">
        <f t="shared" si="456"/>
        <v>306151.79216000001</v>
      </c>
      <c r="AA315" s="401">
        <f t="shared" si="456"/>
        <v>241881.63232000003</v>
      </c>
      <c r="AB315" s="401">
        <f t="shared" si="456"/>
        <v>200048.70048000003</v>
      </c>
      <c r="AC315" s="401">
        <f t="shared" si="456"/>
        <v>180744.16352000003</v>
      </c>
      <c r="AD315" s="401">
        <f t="shared" si="456"/>
        <v>180227.15904000003</v>
      </c>
      <c r="AE315" s="401">
        <f t="shared" si="456"/>
        <v>202755.55392000003</v>
      </c>
      <c r="AF315" s="401">
        <f t="shared" si="456"/>
        <v>225283.94880000004</v>
      </c>
      <c r="AG315" s="401">
        <f t="shared" si="456"/>
        <v>247812.34368000005</v>
      </c>
      <c r="AH315" s="401">
        <f t="shared" si="456"/>
        <v>270340.73856000003</v>
      </c>
      <c r="AI315" s="401">
        <f t="shared" si="456"/>
        <v>292869.13344000006</v>
      </c>
      <c r="AJ315" s="401">
        <f t="shared" si="456"/>
        <v>315397.52832000004</v>
      </c>
      <c r="AK315" s="401">
        <f t="shared" si="456"/>
        <v>337925.92320000002</v>
      </c>
      <c r="AL315" s="401">
        <f t="shared" si="456"/>
        <v>360454.31808</v>
      </c>
      <c r="AM315" s="401">
        <f t="shared" si="456"/>
        <v>382982.71295999998</v>
      </c>
      <c r="AN315" s="401">
        <f t="shared" si="456"/>
        <v>405511.1078399999</v>
      </c>
      <c r="AO315" s="401">
        <f t="shared" si="456"/>
        <v>428039.50271999987</v>
      </c>
      <c r="AP315" s="401">
        <f t="shared" si="456"/>
        <v>450567.89759999985</v>
      </c>
      <c r="AQ315" s="401">
        <f t="shared" si="456"/>
        <v>473096.29247999983</v>
      </c>
      <c r="AR315" s="401">
        <f t="shared" si="456"/>
        <v>495624.68735999981</v>
      </c>
      <c r="AS315" s="401">
        <f t="shared" si="456"/>
        <v>518153.08223999979</v>
      </c>
      <c r="AT315" s="401">
        <f t="shared" si="456"/>
        <v>540681.47711999982</v>
      </c>
      <c r="AU315" s="401">
        <f t="shared" si="456"/>
        <v>563209.87199999974</v>
      </c>
      <c r="AV315" s="401">
        <f t="shared" si="456"/>
        <v>585738.26687999966</v>
      </c>
      <c r="AW315" s="401">
        <f t="shared" si="456"/>
        <v>608266.6617599997</v>
      </c>
      <c r="AX315" s="401">
        <f t="shared" ref="AX315:BP315" si="457">$G315*AX235</f>
        <v>630795.05663999962</v>
      </c>
      <c r="AY315" s="401">
        <f t="shared" si="457"/>
        <v>653323.45151999965</v>
      </c>
      <c r="AZ315" s="401">
        <f t="shared" si="457"/>
        <v>675851.84639999957</v>
      </c>
      <c r="BA315" s="401">
        <f t="shared" si="457"/>
        <v>698380.24127999961</v>
      </c>
      <c r="BB315" s="401">
        <f t="shared" si="457"/>
        <v>720908.63615999953</v>
      </c>
      <c r="BC315" s="401">
        <f t="shared" si="457"/>
        <v>743437.03103999957</v>
      </c>
      <c r="BD315" s="401">
        <f t="shared" si="457"/>
        <v>765965.42591999948</v>
      </c>
      <c r="BE315" s="401">
        <f t="shared" si="457"/>
        <v>788493.82079999952</v>
      </c>
      <c r="BF315" s="401">
        <f t="shared" si="457"/>
        <v>811022.21567999944</v>
      </c>
      <c r="BG315" s="401">
        <f t="shared" si="457"/>
        <v>833550.61055999948</v>
      </c>
      <c r="BH315" s="401">
        <f t="shared" si="457"/>
        <v>856079.0054399994</v>
      </c>
      <c r="BI315" s="401">
        <f t="shared" si="457"/>
        <v>878607.40031999943</v>
      </c>
      <c r="BJ315" s="401">
        <f t="shared" si="457"/>
        <v>901135.79519999935</v>
      </c>
      <c r="BK315" s="401">
        <f t="shared" si="457"/>
        <v>923664.19007999939</v>
      </c>
      <c r="BL315" s="401">
        <f t="shared" si="457"/>
        <v>946192.58495999931</v>
      </c>
      <c r="BM315" s="401">
        <f t="shared" si="457"/>
        <v>968720.97983999923</v>
      </c>
      <c r="BN315" s="401">
        <f t="shared" si="457"/>
        <v>991249.37471999926</v>
      </c>
      <c r="BO315" s="401">
        <f t="shared" si="457"/>
        <v>1013777.7695999992</v>
      </c>
      <c r="BP315" s="401">
        <f t="shared" si="457"/>
        <v>1036306.1644799992</v>
      </c>
    </row>
    <row r="316" spans="2:68" outlineLevel="1" x14ac:dyDescent="0.2">
      <c r="B316" s="20"/>
      <c r="C316" s="80"/>
      <c r="D316"/>
      <c r="E316"/>
      <c r="F316"/>
      <c r="G316" s="52"/>
      <c r="H316" s="52"/>
      <c r="I316" s="52"/>
      <c r="J316" s="123"/>
      <c r="K316"/>
      <c r="L316" s="112"/>
      <c r="M316" s="113"/>
      <c r="N316"/>
      <c r="O316"/>
      <c r="P316"/>
      <c r="Q316"/>
      <c r="R316"/>
      <c r="S316"/>
      <c r="T316"/>
      <c r="U316"/>
      <c r="V316"/>
      <c r="W316"/>
      <c r="X316"/>
      <c r="Y316"/>
      <c r="Z316"/>
      <c r="AA316"/>
      <c r="AB316"/>
      <c r="AC316"/>
      <c r="AD316"/>
      <c r="AE316"/>
      <c r="AF316"/>
      <c r="AG316"/>
      <c r="AH316"/>
      <c r="AI316"/>
      <c r="AJ316"/>
      <c r="AK316"/>
      <c r="AL316"/>
      <c r="AM316"/>
      <c r="AN316"/>
      <c r="AO316"/>
      <c r="AP316"/>
      <c r="AQ316"/>
      <c r="AR316"/>
      <c r="AS316"/>
      <c r="AT316"/>
      <c r="AU316"/>
      <c r="AV316"/>
      <c r="AW316"/>
      <c r="AX316"/>
      <c r="AY316"/>
      <c r="AZ316"/>
      <c r="BA316"/>
      <c r="BB316"/>
      <c r="BC316"/>
      <c r="BD316"/>
      <c r="BE316"/>
      <c r="BF316"/>
      <c r="BG316"/>
      <c r="BH316"/>
      <c r="BI316"/>
      <c r="BJ316"/>
      <c r="BK316"/>
      <c r="BL316"/>
      <c r="BM316"/>
      <c r="BN316"/>
      <c r="BO316"/>
      <c r="BP316"/>
    </row>
    <row r="317" spans="2:68" outlineLevel="1" x14ac:dyDescent="0.2">
      <c r="B317" s="20"/>
      <c r="C317" s="80"/>
      <c r="D317" s="10" t="str">
        <f>$D$237</f>
        <v>Regulatory revenue - Return of capital</v>
      </c>
      <c r="E317" s="80"/>
      <c r="F317" s="80"/>
      <c r="G317" s="83"/>
      <c r="H317" s="83"/>
      <c r="I317" s="83"/>
      <c r="J317" s="85"/>
      <c r="K317" s="80"/>
      <c r="L317" s="412"/>
      <c r="M317" s="413"/>
      <c r="N317" s="80"/>
      <c r="O317" s="80"/>
      <c r="P317" s="80"/>
      <c r="Q317" s="80"/>
      <c r="R317" s="80"/>
      <c r="S317" s="80"/>
      <c r="T317" s="83"/>
      <c r="U317" s="80"/>
      <c r="V317" s="80"/>
      <c r="W317" s="80"/>
      <c r="X317" s="80"/>
      <c r="Y317" s="80"/>
      <c r="Z317" s="80"/>
      <c r="AA317" s="80"/>
      <c r="AB317" s="80"/>
      <c r="AC317" s="80"/>
      <c r="AD317" s="80"/>
      <c r="AE317" s="80"/>
      <c r="AF317" s="80"/>
      <c r="AG317" s="80"/>
      <c r="AH317" s="80"/>
      <c r="AI317" s="80"/>
      <c r="AJ317" s="80"/>
      <c r="AK317" s="80"/>
      <c r="AL317" s="80"/>
      <c r="AM317" s="80"/>
      <c r="AN317" s="80"/>
      <c r="AO317" s="80"/>
      <c r="AP317" s="80"/>
      <c r="AQ317" s="80"/>
      <c r="AR317" s="80"/>
      <c r="AS317" s="80"/>
      <c r="AT317" s="80"/>
      <c r="AU317" s="80"/>
      <c r="AV317" s="80"/>
      <c r="AW317" s="80"/>
      <c r="AX317" s="80"/>
      <c r="AY317" s="80"/>
      <c r="AZ317" s="80"/>
      <c r="BA317" s="80"/>
      <c r="BB317" s="80"/>
      <c r="BC317" s="80"/>
      <c r="BD317" s="80"/>
      <c r="BE317" s="80"/>
      <c r="BF317" s="80"/>
      <c r="BG317" s="80"/>
      <c r="BH317" s="80"/>
      <c r="BI317" s="80"/>
      <c r="BJ317" s="80"/>
      <c r="BK317" s="80"/>
      <c r="BL317" s="80"/>
      <c r="BM317" s="80"/>
      <c r="BN317" s="80"/>
      <c r="BO317" s="80"/>
      <c r="BP317" s="80"/>
    </row>
    <row r="318" spans="2:68" outlineLevel="1" x14ac:dyDescent="0.2">
      <c r="B318" s="20"/>
      <c r="C318" s="80"/>
      <c r="D318" s="66" t="str">
        <f>$D$238</f>
        <v>Total return of capital</v>
      </c>
      <c r="E318" s="80"/>
      <c r="F318" s="80"/>
      <c r="G318" s="477">
        <f>Assumptions!$H$175</f>
        <v>1</v>
      </c>
      <c r="H318" s="477">
        <f>Assumptions!$I$175</f>
        <v>-1</v>
      </c>
      <c r="I318" s="83"/>
      <c r="J318" s="85" t="str">
        <f>Assumptions!$K$175</f>
        <v>Regulatory revenue</v>
      </c>
      <c r="K318" s="401">
        <f>SUMPRODUCT($R$297:$BP$297,R318:BP318)</f>
        <v>-1415995.0376471104</v>
      </c>
      <c r="L318" s="436">
        <f>SUM(M318:BP318)</f>
        <v>-14794740.199999992</v>
      </c>
      <c r="M318" s="457"/>
      <c r="N318" s="455"/>
      <c r="O318" s="455"/>
      <c r="P318" s="455"/>
      <c r="Q318" s="455"/>
      <c r="R318" s="401">
        <f t="shared" ref="R318:AW318" si="458">$G318*R238</f>
        <v>0</v>
      </c>
      <c r="S318" s="401">
        <f t="shared" si="458"/>
        <v>0</v>
      </c>
      <c r="T318" s="401">
        <f t="shared" si="458"/>
        <v>0</v>
      </c>
      <c r="U318" s="401">
        <f t="shared" si="458"/>
        <v>0</v>
      </c>
      <c r="V318" s="401">
        <f t="shared" si="458"/>
        <v>542874</v>
      </c>
      <c r="W318" s="401">
        <f t="shared" si="458"/>
        <v>540223.80000000005</v>
      </c>
      <c r="X318" s="401">
        <f t="shared" si="458"/>
        <v>1195119</v>
      </c>
      <c r="Y318" s="401">
        <f t="shared" si="458"/>
        <v>1741268.2</v>
      </c>
      <c r="Z318" s="401">
        <f t="shared" si="458"/>
        <v>2411192.6</v>
      </c>
      <c r="AA318" s="401">
        <f t="shared" si="458"/>
        <v>1868318.6</v>
      </c>
      <c r="AB318" s="401">
        <f t="shared" si="458"/>
        <v>1216073.6000000001</v>
      </c>
      <c r="AC318" s="401">
        <f t="shared" si="458"/>
        <v>561178.40000000014</v>
      </c>
      <c r="AD318" s="401">
        <f t="shared" si="458"/>
        <v>15029.200000000186</v>
      </c>
      <c r="AE318" s="401">
        <f t="shared" si="458"/>
        <v>-654895.19999999984</v>
      </c>
      <c r="AF318" s="401">
        <f t="shared" si="458"/>
        <v>-654895.19999999984</v>
      </c>
      <c r="AG318" s="401">
        <f t="shared" si="458"/>
        <v>-654895.19999999984</v>
      </c>
      <c r="AH318" s="401">
        <f t="shared" si="458"/>
        <v>-654895.19999999984</v>
      </c>
      <c r="AI318" s="401">
        <f t="shared" si="458"/>
        <v>-654895.19999999984</v>
      </c>
      <c r="AJ318" s="401">
        <f t="shared" si="458"/>
        <v>-654895.19999999984</v>
      </c>
      <c r="AK318" s="401">
        <f t="shared" si="458"/>
        <v>-654895.19999999984</v>
      </c>
      <c r="AL318" s="401">
        <f t="shared" si="458"/>
        <v>-654895.19999999984</v>
      </c>
      <c r="AM318" s="401">
        <f t="shared" si="458"/>
        <v>-654895.19999999984</v>
      </c>
      <c r="AN318" s="401">
        <f t="shared" si="458"/>
        <v>-654895.19999999984</v>
      </c>
      <c r="AO318" s="401">
        <f t="shared" si="458"/>
        <v>-654895.19999999984</v>
      </c>
      <c r="AP318" s="401">
        <f t="shared" si="458"/>
        <v>-654895.19999999984</v>
      </c>
      <c r="AQ318" s="401">
        <f t="shared" si="458"/>
        <v>-654895.19999999984</v>
      </c>
      <c r="AR318" s="401">
        <f t="shared" si="458"/>
        <v>-654895.19999999984</v>
      </c>
      <c r="AS318" s="401">
        <f t="shared" si="458"/>
        <v>-654895.19999999984</v>
      </c>
      <c r="AT318" s="401">
        <f t="shared" si="458"/>
        <v>-654895.19999999984</v>
      </c>
      <c r="AU318" s="401">
        <f t="shared" si="458"/>
        <v>-654895.19999999984</v>
      </c>
      <c r="AV318" s="401">
        <f t="shared" si="458"/>
        <v>-654895.19999999984</v>
      </c>
      <c r="AW318" s="401">
        <f t="shared" si="458"/>
        <v>-654895.19999999984</v>
      </c>
      <c r="AX318" s="401">
        <f t="shared" ref="AX318:BP318" si="459">$G318*AX238</f>
        <v>-654895.19999999984</v>
      </c>
      <c r="AY318" s="401">
        <f t="shared" si="459"/>
        <v>-654895.19999999984</v>
      </c>
      <c r="AZ318" s="401">
        <f t="shared" si="459"/>
        <v>-654895.19999999984</v>
      </c>
      <c r="BA318" s="401">
        <f t="shared" si="459"/>
        <v>-654895.19999999984</v>
      </c>
      <c r="BB318" s="401">
        <f t="shared" si="459"/>
        <v>-654895.19999999984</v>
      </c>
      <c r="BC318" s="401">
        <f t="shared" si="459"/>
        <v>-654895.19999999984</v>
      </c>
      <c r="BD318" s="401">
        <f t="shared" si="459"/>
        <v>-654895.19999999984</v>
      </c>
      <c r="BE318" s="401">
        <f t="shared" si="459"/>
        <v>-654895.19999999984</v>
      </c>
      <c r="BF318" s="401">
        <f t="shared" si="459"/>
        <v>-654895.19999999984</v>
      </c>
      <c r="BG318" s="401">
        <f t="shared" si="459"/>
        <v>-654895.19999999984</v>
      </c>
      <c r="BH318" s="401">
        <f t="shared" si="459"/>
        <v>-654895.19999999984</v>
      </c>
      <c r="BI318" s="401">
        <f t="shared" si="459"/>
        <v>-654895.19999999984</v>
      </c>
      <c r="BJ318" s="401">
        <f t="shared" si="459"/>
        <v>-654895.19999999984</v>
      </c>
      <c r="BK318" s="401">
        <f t="shared" si="459"/>
        <v>-654895.19999999984</v>
      </c>
      <c r="BL318" s="401">
        <f t="shared" si="459"/>
        <v>-654895.19999999984</v>
      </c>
      <c r="BM318" s="401">
        <f t="shared" si="459"/>
        <v>-654895.19999999984</v>
      </c>
      <c r="BN318" s="401">
        <f t="shared" si="459"/>
        <v>-654895.19999999984</v>
      </c>
      <c r="BO318" s="401">
        <f t="shared" si="459"/>
        <v>-654895.19999999984</v>
      </c>
      <c r="BP318" s="401">
        <f t="shared" si="459"/>
        <v>-654895.19999999984</v>
      </c>
    </row>
    <row r="319" spans="2:68" outlineLevel="1" x14ac:dyDescent="0.2">
      <c r="B319" s="20"/>
      <c r="C319" s="80"/>
      <c r="D319"/>
      <c r="E319"/>
      <c r="F319"/>
      <c r="G319" s="52"/>
      <c r="H319" s="52"/>
      <c r="I319" s="52"/>
      <c r="J319" s="123"/>
      <c r="K319"/>
      <c r="L319" s="112"/>
      <c r="M319" s="113"/>
      <c r="N319"/>
      <c r="O319"/>
      <c r="P319"/>
      <c r="Q319"/>
      <c r="R319"/>
      <c r="S319"/>
      <c r="T319"/>
      <c r="U319"/>
      <c r="V319"/>
      <c r="W319"/>
      <c r="X319"/>
      <c r="Y319"/>
      <c r="Z319"/>
      <c r="AA319"/>
      <c r="AB319"/>
      <c r="AC319"/>
      <c r="AD319"/>
      <c r="AE319"/>
      <c r="AF319"/>
      <c r="AG319"/>
      <c r="AH319"/>
      <c r="AI319"/>
      <c r="AJ319"/>
      <c r="AK319"/>
      <c r="AL319"/>
      <c r="AM319"/>
      <c r="AN319"/>
      <c r="AO319"/>
      <c r="AP319"/>
      <c r="AQ319"/>
      <c r="AR319"/>
      <c r="AS319"/>
      <c r="AT319"/>
      <c r="AU319"/>
      <c r="AV319"/>
      <c r="AW319"/>
      <c r="AX319"/>
      <c r="AY319"/>
      <c r="AZ319"/>
      <c r="BA319"/>
      <c r="BB319"/>
      <c r="BC319"/>
      <c r="BD319"/>
      <c r="BE319"/>
      <c r="BF319"/>
      <c r="BG319"/>
      <c r="BH319"/>
      <c r="BI319"/>
      <c r="BJ319"/>
      <c r="BK319"/>
      <c r="BL319"/>
      <c r="BM319"/>
      <c r="BN319"/>
      <c r="BO319"/>
      <c r="BP319"/>
    </row>
    <row r="320" spans="2:68" outlineLevel="1" x14ac:dyDescent="0.2">
      <c r="B320" s="20"/>
      <c r="C320" s="80"/>
      <c r="D320" s="10" t="str">
        <f>$D$240</f>
        <v>Regulatory revenue - Terminal value of total capex</v>
      </c>
      <c r="E320"/>
      <c r="F320"/>
      <c r="G320" s="52"/>
      <c r="H320" s="52"/>
      <c r="I320" s="52"/>
      <c r="J320" s="123"/>
      <c r="K320"/>
      <c r="L320" s="112"/>
      <c r="M320" s="113"/>
      <c r="N320"/>
      <c r="O320"/>
      <c r="P320"/>
      <c r="Q320"/>
      <c r="R320"/>
      <c r="S320"/>
      <c r="T320"/>
      <c r="U320"/>
      <c r="V320"/>
      <c r="W320"/>
      <c r="X320"/>
      <c r="Y320"/>
      <c r="Z320"/>
      <c r="AA320"/>
      <c r="AB320"/>
      <c r="AC320"/>
      <c r="AD320"/>
      <c r="AE320"/>
      <c r="AF320"/>
      <c r="AG320"/>
      <c r="AH320"/>
      <c r="AI320"/>
      <c r="AJ320"/>
      <c r="AK320"/>
      <c r="AL320"/>
      <c r="AM320"/>
      <c r="AN320"/>
      <c r="AO320"/>
      <c r="AP320"/>
      <c r="AQ320"/>
      <c r="AR320"/>
      <c r="AS320"/>
      <c r="AT320"/>
      <c r="AU320"/>
      <c r="AV320"/>
      <c r="AW320"/>
      <c r="AX320"/>
      <c r="AY320"/>
      <c r="AZ320"/>
      <c r="BA320"/>
      <c r="BB320"/>
      <c r="BC320"/>
      <c r="BD320"/>
      <c r="BE320"/>
      <c r="BF320"/>
      <c r="BG320"/>
      <c r="BH320"/>
      <c r="BI320"/>
      <c r="BJ320"/>
      <c r="BK320"/>
      <c r="BL320"/>
      <c r="BM320"/>
      <c r="BN320"/>
      <c r="BO320"/>
      <c r="BP320"/>
    </row>
    <row r="321" spans="2:68" outlineLevel="1" x14ac:dyDescent="0.2">
      <c r="B321" s="20"/>
      <c r="C321" s="80"/>
      <c r="D321" s="81" t="str">
        <f>$D$241</f>
        <v>Total capex terminal value</v>
      </c>
      <c r="E321" s="473"/>
      <c r="F321" s="473"/>
      <c r="G321" s="477">
        <f>Assumptions!$H$178</f>
        <v>1</v>
      </c>
      <c r="H321" s="477">
        <f>Assumptions!$I$178</f>
        <v>-1</v>
      </c>
      <c r="I321" s="83"/>
      <c r="J321" s="85" t="str">
        <f>Assumptions!$K$178</f>
        <v>Regulatory revenue</v>
      </c>
      <c r="K321" s="401">
        <f>SUMPRODUCT($R$297:$BP$297,R321:BP321)</f>
        <v>5552697.8933985541</v>
      </c>
      <c r="L321" s="436">
        <f>SUM(M321:BP321)</f>
        <v>30125179.199999977</v>
      </c>
      <c r="M321" s="457"/>
      <c r="N321" s="455"/>
      <c r="O321" s="455"/>
      <c r="P321" s="455"/>
      <c r="Q321" s="455"/>
      <c r="R321" s="401">
        <f t="shared" ref="R321:AW321" si="460">$G321*R241</f>
        <v>0</v>
      </c>
      <c r="S321" s="401">
        <f t="shared" si="460"/>
        <v>0</v>
      </c>
      <c r="T321" s="401">
        <f t="shared" si="460"/>
        <v>0</v>
      </c>
      <c r="U321" s="401">
        <f t="shared" si="460"/>
        <v>0</v>
      </c>
      <c r="V321" s="401">
        <f t="shared" si="460"/>
        <v>0</v>
      </c>
      <c r="W321" s="401">
        <f t="shared" si="460"/>
        <v>0</v>
      </c>
      <c r="X321" s="401">
        <f t="shared" si="460"/>
        <v>0</v>
      </c>
      <c r="Y321" s="401">
        <f t="shared" si="460"/>
        <v>0</v>
      </c>
      <c r="Z321" s="401">
        <f t="shared" si="460"/>
        <v>0</v>
      </c>
      <c r="AA321" s="401">
        <f t="shared" si="460"/>
        <v>0</v>
      </c>
      <c r="AB321" s="401">
        <f t="shared" si="460"/>
        <v>0</v>
      </c>
      <c r="AC321" s="401">
        <f t="shared" si="460"/>
        <v>0</v>
      </c>
      <c r="AD321" s="401">
        <f t="shared" si="460"/>
        <v>0</v>
      </c>
      <c r="AE321" s="401">
        <f t="shared" si="460"/>
        <v>0</v>
      </c>
      <c r="AF321" s="401">
        <f t="shared" si="460"/>
        <v>0</v>
      </c>
      <c r="AG321" s="401">
        <f t="shared" si="460"/>
        <v>0</v>
      </c>
      <c r="AH321" s="401">
        <f t="shared" si="460"/>
        <v>0</v>
      </c>
      <c r="AI321" s="401">
        <f t="shared" si="460"/>
        <v>0</v>
      </c>
      <c r="AJ321" s="401">
        <f t="shared" si="460"/>
        <v>0</v>
      </c>
      <c r="AK321" s="401">
        <f t="shared" si="460"/>
        <v>0</v>
      </c>
      <c r="AL321" s="401">
        <f t="shared" si="460"/>
        <v>0</v>
      </c>
      <c r="AM321" s="401">
        <f t="shared" si="460"/>
        <v>0</v>
      </c>
      <c r="AN321" s="401">
        <f t="shared" si="460"/>
        <v>0</v>
      </c>
      <c r="AO321" s="401">
        <f t="shared" si="460"/>
        <v>0</v>
      </c>
      <c r="AP321" s="401">
        <f t="shared" si="460"/>
        <v>0</v>
      </c>
      <c r="AQ321" s="401">
        <f t="shared" si="460"/>
        <v>0</v>
      </c>
      <c r="AR321" s="401">
        <f t="shared" si="460"/>
        <v>0</v>
      </c>
      <c r="AS321" s="401">
        <f t="shared" si="460"/>
        <v>0</v>
      </c>
      <c r="AT321" s="401">
        <f t="shared" si="460"/>
        <v>0</v>
      </c>
      <c r="AU321" s="401">
        <f t="shared" si="460"/>
        <v>0</v>
      </c>
      <c r="AV321" s="401">
        <f t="shared" si="460"/>
        <v>0</v>
      </c>
      <c r="AW321" s="401">
        <f t="shared" si="460"/>
        <v>0</v>
      </c>
      <c r="AX321" s="401">
        <f t="shared" ref="AX321:BP321" si="461">$G321*AX241</f>
        <v>0</v>
      </c>
      <c r="AY321" s="401">
        <f t="shared" si="461"/>
        <v>0</v>
      </c>
      <c r="AZ321" s="401">
        <f t="shared" si="461"/>
        <v>0</v>
      </c>
      <c r="BA321" s="401">
        <f t="shared" si="461"/>
        <v>0</v>
      </c>
      <c r="BB321" s="401">
        <f t="shared" si="461"/>
        <v>0</v>
      </c>
      <c r="BC321" s="401">
        <f t="shared" si="461"/>
        <v>0</v>
      </c>
      <c r="BD321" s="401">
        <f t="shared" si="461"/>
        <v>0</v>
      </c>
      <c r="BE321" s="401">
        <f t="shared" si="461"/>
        <v>0</v>
      </c>
      <c r="BF321" s="401">
        <f t="shared" si="461"/>
        <v>0</v>
      </c>
      <c r="BG321" s="401">
        <f t="shared" si="461"/>
        <v>0</v>
      </c>
      <c r="BH321" s="401">
        <f t="shared" si="461"/>
        <v>0</v>
      </c>
      <c r="BI321" s="401">
        <f t="shared" si="461"/>
        <v>0</v>
      </c>
      <c r="BJ321" s="401">
        <f t="shared" si="461"/>
        <v>0</v>
      </c>
      <c r="BK321" s="401">
        <f t="shared" si="461"/>
        <v>0</v>
      </c>
      <c r="BL321" s="401">
        <f t="shared" si="461"/>
        <v>0</v>
      </c>
      <c r="BM321" s="401">
        <f t="shared" si="461"/>
        <v>0</v>
      </c>
      <c r="BN321" s="401">
        <f t="shared" si="461"/>
        <v>0</v>
      </c>
      <c r="BO321" s="401">
        <f t="shared" si="461"/>
        <v>0</v>
      </c>
      <c r="BP321" s="401">
        <f t="shared" si="461"/>
        <v>30125179.199999977</v>
      </c>
    </row>
    <row r="322" spans="2:68" outlineLevel="1" x14ac:dyDescent="0.2">
      <c r="B322" s="20"/>
      <c r="C322" s="80"/>
      <c r="D322"/>
      <c r="E322"/>
      <c r="F322"/>
      <c r="G322" s="52"/>
      <c r="H322" s="52"/>
      <c r="I322" s="52"/>
      <c r="J322" s="123"/>
      <c r="K322"/>
      <c r="L322" s="112"/>
      <c r="M322" s="113"/>
      <c r="N322"/>
      <c r="O322"/>
      <c r="P322"/>
      <c r="Q322"/>
      <c r="R322"/>
      <c r="S322"/>
      <c r="T322"/>
      <c r="U322"/>
      <c r="V322"/>
      <c r="W322"/>
      <c r="X322"/>
      <c r="Y322"/>
      <c r="Z322"/>
      <c r="AA322"/>
      <c r="AB322"/>
      <c r="AC322"/>
      <c r="AD322"/>
      <c r="AE322"/>
      <c r="AF322"/>
      <c r="AG322"/>
      <c r="AH322"/>
      <c r="AI322"/>
      <c r="AJ322"/>
      <c r="AK322"/>
      <c r="AL322"/>
      <c r="AM322"/>
      <c r="AN322"/>
      <c r="AO322"/>
      <c r="AP322"/>
      <c r="AQ322"/>
      <c r="AR322"/>
      <c r="AS322"/>
      <c r="AT322"/>
      <c r="AU322"/>
      <c r="AV322"/>
      <c r="AW322"/>
      <c r="AX322"/>
      <c r="AY322"/>
      <c r="AZ322"/>
      <c r="BA322"/>
      <c r="BB322"/>
      <c r="BC322"/>
      <c r="BD322"/>
      <c r="BE322"/>
      <c r="BF322"/>
      <c r="BG322"/>
      <c r="BH322"/>
      <c r="BI322"/>
      <c r="BJ322"/>
      <c r="BK322"/>
      <c r="BL322"/>
      <c r="BM322"/>
      <c r="BN322"/>
      <c r="BO322"/>
      <c r="BP322"/>
    </row>
    <row r="323" spans="2:68" outlineLevel="1" x14ac:dyDescent="0.2">
      <c r="B323" s="20"/>
      <c r="C323" s="80"/>
      <c r="D323" s="10" t="str">
        <f>$D$243</f>
        <v>Regulated revenue - ACS revenue</v>
      </c>
      <c r="E323" s="80"/>
      <c r="F323" s="80"/>
      <c r="G323" s="83"/>
      <c r="H323" s="83"/>
      <c r="I323" s="83"/>
      <c r="J323" s="85"/>
      <c r="K323" s="80"/>
      <c r="L323" s="412"/>
      <c r="M323" s="413"/>
      <c r="N323" s="80"/>
      <c r="O323" s="80"/>
      <c r="P323" s="80"/>
      <c r="Q323" s="80"/>
      <c r="R323" s="80"/>
      <c r="S323" s="80"/>
      <c r="T323" s="83"/>
      <c r="U323" s="80"/>
      <c r="V323" s="80"/>
      <c r="W323" s="80"/>
      <c r="X323" s="80"/>
      <c r="Y323" s="80"/>
      <c r="Z323" s="80"/>
      <c r="AA323" s="80"/>
      <c r="AB323" s="80"/>
      <c r="AC323" s="80"/>
      <c r="AD323" s="80"/>
      <c r="AE323" s="80"/>
      <c r="AF323" s="80"/>
      <c r="AG323" s="80"/>
      <c r="AH323" s="80"/>
      <c r="AI323" s="80"/>
      <c r="AJ323" s="80"/>
      <c r="AK323" s="80"/>
      <c r="AL323" s="80"/>
      <c r="AM323" s="80"/>
      <c r="AN323" s="80"/>
      <c r="AO323" s="80"/>
      <c r="AP323" s="80"/>
      <c r="AQ323" s="80"/>
      <c r="AR323" s="80"/>
      <c r="AS323" s="80"/>
      <c r="AT323" s="80"/>
      <c r="AU323" s="80"/>
      <c r="AV323" s="80"/>
      <c r="AW323" s="80"/>
      <c r="AX323" s="80"/>
      <c r="AY323" s="80"/>
      <c r="AZ323" s="80"/>
      <c r="BA323" s="80"/>
      <c r="BB323" s="80"/>
      <c r="BC323" s="80"/>
      <c r="BD323" s="80"/>
      <c r="BE323" s="80"/>
      <c r="BF323" s="80"/>
      <c r="BG323" s="80"/>
      <c r="BH323" s="80"/>
      <c r="BI323" s="80"/>
      <c r="BJ323" s="80"/>
      <c r="BK323" s="80"/>
      <c r="BL323" s="80"/>
      <c r="BM323" s="80"/>
      <c r="BN323" s="80"/>
      <c r="BO323" s="80"/>
      <c r="BP323" s="80"/>
    </row>
    <row r="324" spans="2:68" outlineLevel="1" x14ac:dyDescent="0.2">
      <c r="B324" s="20"/>
      <c r="C324" s="80"/>
      <c r="D324" s="81" t="str">
        <f>$D$244</f>
        <v>ACS revenue</v>
      </c>
      <c r="E324" s="80"/>
      <c r="F324" s="80"/>
      <c r="G324" s="477">
        <f>Assumptions!$H$181</f>
        <v>1</v>
      </c>
      <c r="H324" s="477">
        <f>Assumptions!$I$181</f>
        <v>0</v>
      </c>
      <c r="I324" s="83"/>
      <c r="J324" s="85" t="str">
        <f>Assumptions!$K$181</f>
        <v>Regulatory revenue</v>
      </c>
      <c r="K324" s="401">
        <f>SUMPRODUCT($R$297:$BP$297,R324:BP324)</f>
        <v>0</v>
      </c>
      <c r="L324" s="436">
        <f>SUM(M324:BP324)</f>
        <v>0</v>
      </c>
      <c r="M324" s="457"/>
      <c r="N324" s="455"/>
      <c r="O324" s="455"/>
      <c r="P324" s="455"/>
      <c r="Q324" s="455"/>
      <c r="R324" s="401">
        <f t="shared" ref="R324:AW324" si="462">$G324*R244</f>
        <v>0</v>
      </c>
      <c r="S324" s="401">
        <f t="shared" si="462"/>
        <v>0</v>
      </c>
      <c r="T324" s="401">
        <f t="shared" si="462"/>
        <v>0</v>
      </c>
      <c r="U324" s="401">
        <f t="shared" si="462"/>
        <v>0</v>
      </c>
      <c r="V324" s="401">
        <f t="shared" si="462"/>
        <v>0</v>
      </c>
      <c r="W324" s="401">
        <f t="shared" si="462"/>
        <v>0</v>
      </c>
      <c r="X324" s="401">
        <f t="shared" si="462"/>
        <v>0</v>
      </c>
      <c r="Y324" s="401">
        <f t="shared" si="462"/>
        <v>0</v>
      </c>
      <c r="Z324" s="401">
        <f t="shared" si="462"/>
        <v>0</v>
      </c>
      <c r="AA324" s="401">
        <f t="shared" si="462"/>
        <v>0</v>
      </c>
      <c r="AB324" s="401">
        <f t="shared" si="462"/>
        <v>0</v>
      </c>
      <c r="AC324" s="401">
        <f t="shared" si="462"/>
        <v>0</v>
      </c>
      <c r="AD324" s="401">
        <f t="shared" si="462"/>
        <v>0</v>
      </c>
      <c r="AE324" s="401">
        <f t="shared" si="462"/>
        <v>0</v>
      </c>
      <c r="AF324" s="401">
        <f t="shared" si="462"/>
        <v>0</v>
      </c>
      <c r="AG324" s="401">
        <f t="shared" si="462"/>
        <v>0</v>
      </c>
      <c r="AH324" s="401">
        <f t="shared" si="462"/>
        <v>0</v>
      </c>
      <c r="AI324" s="401">
        <f t="shared" si="462"/>
        <v>0</v>
      </c>
      <c r="AJ324" s="401">
        <f t="shared" si="462"/>
        <v>0</v>
      </c>
      <c r="AK324" s="401">
        <f t="shared" si="462"/>
        <v>0</v>
      </c>
      <c r="AL324" s="401">
        <f t="shared" si="462"/>
        <v>0</v>
      </c>
      <c r="AM324" s="401">
        <f t="shared" si="462"/>
        <v>0</v>
      </c>
      <c r="AN324" s="401">
        <f t="shared" si="462"/>
        <v>0</v>
      </c>
      <c r="AO324" s="401">
        <f t="shared" si="462"/>
        <v>0</v>
      </c>
      <c r="AP324" s="401">
        <f t="shared" si="462"/>
        <v>0</v>
      </c>
      <c r="AQ324" s="401">
        <f t="shared" si="462"/>
        <v>0</v>
      </c>
      <c r="AR324" s="401">
        <f t="shared" si="462"/>
        <v>0</v>
      </c>
      <c r="AS324" s="401">
        <f t="shared" si="462"/>
        <v>0</v>
      </c>
      <c r="AT324" s="401">
        <f t="shared" si="462"/>
        <v>0</v>
      </c>
      <c r="AU324" s="401">
        <f t="shared" si="462"/>
        <v>0</v>
      </c>
      <c r="AV324" s="401">
        <f t="shared" si="462"/>
        <v>0</v>
      </c>
      <c r="AW324" s="401">
        <f t="shared" si="462"/>
        <v>0</v>
      </c>
      <c r="AX324" s="401">
        <f t="shared" ref="AX324:BP324" si="463">$G324*AX244</f>
        <v>0</v>
      </c>
      <c r="AY324" s="401">
        <f t="shared" si="463"/>
        <v>0</v>
      </c>
      <c r="AZ324" s="401">
        <f t="shared" si="463"/>
        <v>0</v>
      </c>
      <c r="BA324" s="401">
        <f t="shared" si="463"/>
        <v>0</v>
      </c>
      <c r="BB324" s="401">
        <f t="shared" si="463"/>
        <v>0</v>
      </c>
      <c r="BC324" s="401">
        <f t="shared" si="463"/>
        <v>0</v>
      </c>
      <c r="BD324" s="401">
        <f t="shared" si="463"/>
        <v>0</v>
      </c>
      <c r="BE324" s="401">
        <f t="shared" si="463"/>
        <v>0</v>
      </c>
      <c r="BF324" s="401">
        <f t="shared" si="463"/>
        <v>0</v>
      </c>
      <c r="BG324" s="401">
        <f t="shared" si="463"/>
        <v>0</v>
      </c>
      <c r="BH324" s="401">
        <f t="shared" si="463"/>
        <v>0</v>
      </c>
      <c r="BI324" s="401">
        <f t="shared" si="463"/>
        <v>0</v>
      </c>
      <c r="BJ324" s="401">
        <f t="shared" si="463"/>
        <v>0</v>
      </c>
      <c r="BK324" s="401">
        <f t="shared" si="463"/>
        <v>0</v>
      </c>
      <c r="BL324" s="401">
        <f t="shared" si="463"/>
        <v>0</v>
      </c>
      <c r="BM324" s="401">
        <f t="shared" si="463"/>
        <v>0</v>
      </c>
      <c r="BN324" s="401">
        <f t="shared" si="463"/>
        <v>0</v>
      </c>
      <c r="BO324" s="401">
        <f t="shared" si="463"/>
        <v>0</v>
      </c>
      <c r="BP324" s="401">
        <f t="shared" si="463"/>
        <v>0</v>
      </c>
    </row>
    <row r="325" spans="2:68" outlineLevel="1" x14ac:dyDescent="0.2">
      <c r="B325" s="20"/>
      <c r="C325" s="80"/>
      <c r="D325"/>
      <c r="E325"/>
      <c r="F325"/>
      <c r="G325" s="52"/>
      <c r="H325" s="52"/>
      <c r="I325" s="52"/>
      <c r="J325" s="123"/>
      <c r="K325"/>
      <c r="L325" s="112"/>
      <c r="M325" s="113"/>
      <c r="N325"/>
      <c r="O325"/>
      <c r="P325"/>
      <c r="Q325"/>
      <c r="R325"/>
      <c r="S325"/>
      <c r="T325"/>
      <c r="U325"/>
      <c r="V325"/>
      <c r="W325"/>
      <c r="X325"/>
      <c r="Y325"/>
      <c r="Z325"/>
      <c r="AA325"/>
      <c r="AB325"/>
      <c r="AC325"/>
      <c r="AD325"/>
      <c r="AE325"/>
      <c r="AF325"/>
      <c r="AG325"/>
      <c r="AH325"/>
      <c r="AI325"/>
      <c r="AJ325"/>
      <c r="AK325"/>
      <c r="AL325"/>
      <c r="AM325"/>
      <c r="AN325"/>
      <c r="AO325"/>
      <c r="AP325"/>
      <c r="AQ325"/>
      <c r="AR325"/>
      <c r="AS325"/>
      <c r="AT325"/>
      <c r="AU325"/>
      <c r="AV325"/>
      <c r="AW325"/>
      <c r="AX325"/>
      <c r="AY325"/>
      <c r="AZ325"/>
      <c r="BA325"/>
      <c r="BB325"/>
      <c r="BC325"/>
      <c r="BD325"/>
      <c r="BE325"/>
      <c r="BF325"/>
      <c r="BG325"/>
      <c r="BH325"/>
      <c r="BI325"/>
      <c r="BJ325"/>
      <c r="BK325"/>
      <c r="BL325"/>
      <c r="BM325"/>
      <c r="BN325"/>
      <c r="BO325"/>
      <c r="BP325"/>
    </row>
    <row r="326" spans="2:68" outlineLevel="1" x14ac:dyDescent="0.2">
      <c r="B326" s="20"/>
      <c r="C326" s="80"/>
      <c r="D326" s="10" t="str">
        <f>$D$246</f>
        <v>Unregulated revenue</v>
      </c>
      <c r="E326" s="80"/>
      <c r="F326" s="80"/>
      <c r="G326" s="83"/>
      <c r="H326" s="83"/>
      <c r="I326" s="83"/>
      <c r="J326" s="85"/>
      <c r="K326" s="401"/>
      <c r="L326" s="436"/>
      <c r="M326" s="437"/>
      <c r="N326" s="401"/>
      <c r="O326" s="401"/>
      <c r="P326" s="401"/>
      <c r="Q326" s="401"/>
      <c r="R326" s="401"/>
      <c r="S326" s="401"/>
      <c r="T326" s="401"/>
      <c r="U326" s="401"/>
      <c r="V326" s="401"/>
      <c r="W326" s="401"/>
      <c r="X326" s="401"/>
      <c r="Y326" s="401"/>
      <c r="Z326" s="401"/>
      <c r="AA326" s="401"/>
      <c r="AB326" s="401"/>
      <c r="AC326" s="401"/>
      <c r="AD326" s="401"/>
      <c r="AE326" s="401"/>
      <c r="AF326" s="401"/>
      <c r="AG326" s="401"/>
      <c r="AH326" s="401"/>
      <c r="AI326" s="401"/>
      <c r="AJ326" s="401"/>
      <c r="AK326" s="401"/>
      <c r="AL326" s="401"/>
      <c r="AM326" s="401"/>
      <c r="AN326" s="401"/>
      <c r="AO326" s="401"/>
      <c r="AP326" s="401"/>
      <c r="AQ326" s="401"/>
      <c r="AR326" s="401"/>
      <c r="AS326" s="401"/>
      <c r="AT326" s="401"/>
      <c r="AU326" s="401"/>
      <c r="AV326" s="401"/>
      <c r="AW326" s="401"/>
      <c r="AX326" s="401"/>
      <c r="AY326" s="401"/>
      <c r="AZ326" s="401"/>
      <c r="BA326" s="401"/>
      <c r="BB326" s="401"/>
      <c r="BC326" s="401"/>
      <c r="BD326" s="401"/>
      <c r="BE326" s="401"/>
      <c r="BF326" s="401"/>
      <c r="BG326" s="401"/>
      <c r="BH326" s="401"/>
      <c r="BI326" s="401"/>
      <c r="BJ326" s="401"/>
      <c r="BK326" s="401"/>
      <c r="BL326" s="401"/>
      <c r="BM326" s="401"/>
      <c r="BN326" s="401"/>
      <c r="BO326" s="401"/>
      <c r="BP326" s="401"/>
    </row>
    <row r="327" spans="2:68" outlineLevel="1" x14ac:dyDescent="0.2">
      <c r="B327" s="20"/>
      <c r="C327" s="80"/>
      <c r="D327" s="66" t="str">
        <f>$D$247</f>
        <v>Unregulated revenue - Customer</v>
      </c>
      <c r="E327" s="80"/>
      <c r="F327" s="80"/>
      <c r="G327" s="477">
        <f>Assumptions!$H$184</f>
        <v>0</v>
      </c>
      <c r="H327" s="477">
        <f>Assumptions!$I$184</f>
        <v>1</v>
      </c>
      <c r="I327" s="83"/>
      <c r="J327" s="85" t="str">
        <f>Assumptions!$K$184</f>
        <v>Unregulated revenue</v>
      </c>
      <c r="K327" s="401">
        <f>SUMPRODUCT($R$297:$BP$297,R327:BP327)</f>
        <v>0</v>
      </c>
      <c r="L327" s="436">
        <f t="shared" ref="L327:L328" si="464">SUM(M327:BP327)</f>
        <v>0</v>
      </c>
      <c r="M327" s="457"/>
      <c r="N327" s="455"/>
      <c r="O327" s="455"/>
      <c r="P327" s="455"/>
      <c r="Q327" s="455"/>
      <c r="R327" s="29">
        <f t="shared" ref="R327:AW327" si="465">$G327*R247</f>
        <v>0</v>
      </c>
      <c r="S327" s="29">
        <f t="shared" si="465"/>
        <v>0</v>
      </c>
      <c r="T327" s="29">
        <f t="shared" si="465"/>
        <v>0</v>
      </c>
      <c r="U327" s="29">
        <f t="shared" si="465"/>
        <v>0</v>
      </c>
      <c r="V327" s="29">
        <f t="shared" si="465"/>
        <v>0</v>
      </c>
      <c r="W327" s="29">
        <f t="shared" si="465"/>
        <v>0</v>
      </c>
      <c r="X327" s="29">
        <f t="shared" si="465"/>
        <v>0</v>
      </c>
      <c r="Y327" s="29">
        <f t="shared" si="465"/>
        <v>0</v>
      </c>
      <c r="Z327" s="29">
        <f t="shared" si="465"/>
        <v>0</v>
      </c>
      <c r="AA327" s="29">
        <f t="shared" si="465"/>
        <v>0</v>
      </c>
      <c r="AB327" s="29">
        <f t="shared" si="465"/>
        <v>0</v>
      </c>
      <c r="AC327" s="29">
        <f t="shared" si="465"/>
        <v>0</v>
      </c>
      <c r="AD327" s="29">
        <f t="shared" si="465"/>
        <v>0</v>
      </c>
      <c r="AE327" s="29">
        <f t="shared" si="465"/>
        <v>0</v>
      </c>
      <c r="AF327" s="29">
        <f t="shared" si="465"/>
        <v>0</v>
      </c>
      <c r="AG327" s="29">
        <f t="shared" si="465"/>
        <v>0</v>
      </c>
      <c r="AH327" s="29">
        <f t="shared" si="465"/>
        <v>0</v>
      </c>
      <c r="AI327" s="29">
        <f t="shared" si="465"/>
        <v>0</v>
      </c>
      <c r="AJ327" s="29">
        <f t="shared" si="465"/>
        <v>0</v>
      </c>
      <c r="AK327" s="29">
        <f t="shared" si="465"/>
        <v>0</v>
      </c>
      <c r="AL327" s="29">
        <f t="shared" si="465"/>
        <v>0</v>
      </c>
      <c r="AM327" s="29">
        <f t="shared" si="465"/>
        <v>0</v>
      </c>
      <c r="AN327" s="29">
        <f t="shared" si="465"/>
        <v>0</v>
      </c>
      <c r="AO327" s="29">
        <f t="shared" si="465"/>
        <v>0</v>
      </c>
      <c r="AP327" s="29">
        <f t="shared" si="465"/>
        <v>0</v>
      </c>
      <c r="AQ327" s="29">
        <f t="shared" si="465"/>
        <v>0</v>
      </c>
      <c r="AR327" s="29">
        <f t="shared" si="465"/>
        <v>0</v>
      </c>
      <c r="AS327" s="29">
        <f t="shared" si="465"/>
        <v>0</v>
      </c>
      <c r="AT327" s="29">
        <f t="shared" si="465"/>
        <v>0</v>
      </c>
      <c r="AU327" s="29">
        <f t="shared" si="465"/>
        <v>0</v>
      </c>
      <c r="AV327" s="29">
        <f t="shared" si="465"/>
        <v>0</v>
      </c>
      <c r="AW327" s="29">
        <f t="shared" si="465"/>
        <v>0</v>
      </c>
      <c r="AX327" s="29">
        <f t="shared" ref="AX327:BP327" si="466">$G327*AX247</f>
        <v>0</v>
      </c>
      <c r="AY327" s="29">
        <f t="shared" si="466"/>
        <v>0</v>
      </c>
      <c r="AZ327" s="29">
        <f t="shared" si="466"/>
        <v>0</v>
      </c>
      <c r="BA327" s="29">
        <f t="shared" si="466"/>
        <v>0</v>
      </c>
      <c r="BB327" s="29">
        <f t="shared" si="466"/>
        <v>0</v>
      </c>
      <c r="BC327" s="29">
        <f t="shared" si="466"/>
        <v>0</v>
      </c>
      <c r="BD327" s="29">
        <f t="shared" si="466"/>
        <v>0</v>
      </c>
      <c r="BE327" s="29">
        <f t="shared" si="466"/>
        <v>0</v>
      </c>
      <c r="BF327" s="29">
        <f t="shared" si="466"/>
        <v>0</v>
      </c>
      <c r="BG327" s="29">
        <f t="shared" si="466"/>
        <v>0</v>
      </c>
      <c r="BH327" s="29">
        <f t="shared" si="466"/>
        <v>0</v>
      </c>
      <c r="BI327" s="29">
        <f t="shared" si="466"/>
        <v>0</v>
      </c>
      <c r="BJ327" s="29">
        <f t="shared" si="466"/>
        <v>0</v>
      </c>
      <c r="BK327" s="29">
        <f t="shared" si="466"/>
        <v>0</v>
      </c>
      <c r="BL327" s="29">
        <f t="shared" si="466"/>
        <v>0</v>
      </c>
      <c r="BM327" s="29">
        <f t="shared" si="466"/>
        <v>0</v>
      </c>
      <c r="BN327" s="29">
        <f t="shared" si="466"/>
        <v>0</v>
      </c>
      <c r="BO327" s="29">
        <f t="shared" si="466"/>
        <v>0</v>
      </c>
      <c r="BP327" s="29">
        <f t="shared" si="466"/>
        <v>0</v>
      </c>
    </row>
    <row r="328" spans="2:68" outlineLevel="1" x14ac:dyDescent="0.2">
      <c r="B328" s="20"/>
      <c r="C328" s="80"/>
      <c r="D328" s="66" t="str">
        <f>$D$248</f>
        <v>Unregulated revenue - Shareholder</v>
      </c>
      <c r="E328" s="80"/>
      <c r="F328" s="80"/>
      <c r="G328" s="477">
        <f>Assumptions!$H$185</f>
        <v>1</v>
      </c>
      <c r="H328" s="477">
        <f>Assumptions!$I$185</f>
        <v>0</v>
      </c>
      <c r="I328" s="83"/>
      <c r="J328" s="85" t="str">
        <f>Assumptions!$K$185</f>
        <v>Unregulated revenue</v>
      </c>
      <c r="K328" s="401">
        <f>SUMPRODUCT($R$297:$BP$297,R328:BP328)</f>
        <v>0</v>
      </c>
      <c r="L328" s="436">
        <f t="shared" si="464"/>
        <v>0</v>
      </c>
      <c r="M328" s="457"/>
      <c r="N328" s="455"/>
      <c r="O328" s="455"/>
      <c r="P328" s="455"/>
      <c r="Q328" s="455"/>
      <c r="R328" s="29">
        <f t="shared" ref="R328:AW328" si="467">$G328*R248</f>
        <v>0</v>
      </c>
      <c r="S328" s="29">
        <f t="shared" si="467"/>
        <v>0</v>
      </c>
      <c r="T328" s="29">
        <f t="shared" si="467"/>
        <v>0</v>
      </c>
      <c r="U328" s="29">
        <f t="shared" si="467"/>
        <v>0</v>
      </c>
      <c r="V328" s="29">
        <f t="shared" si="467"/>
        <v>0</v>
      </c>
      <c r="W328" s="29">
        <f t="shared" si="467"/>
        <v>0</v>
      </c>
      <c r="X328" s="29">
        <f t="shared" si="467"/>
        <v>0</v>
      </c>
      <c r="Y328" s="29">
        <f t="shared" si="467"/>
        <v>0</v>
      </c>
      <c r="Z328" s="29">
        <f t="shared" si="467"/>
        <v>0</v>
      </c>
      <c r="AA328" s="29">
        <f t="shared" si="467"/>
        <v>0</v>
      </c>
      <c r="AB328" s="29">
        <f t="shared" si="467"/>
        <v>0</v>
      </c>
      <c r="AC328" s="29">
        <f t="shared" si="467"/>
        <v>0</v>
      </c>
      <c r="AD328" s="29">
        <f t="shared" si="467"/>
        <v>0</v>
      </c>
      <c r="AE328" s="29">
        <f t="shared" si="467"/>
        <v>0</v>
      </c>
      <c r="AF328" s="29">
        <f t="shared" si="467"/>
        <v>0</v>
      </c>
      <c r="AG328" s="29">
        <f t="shared" si="467"/>
        <v>0</v>
      </c>
      <c r="AH328" s="29">
        <f t="shared" si="467"/>
        <v>0</v>
      </c>
      <c r="AI328" s="29">
        <f t="shared" si="467"/>
        <v>0</v>
      </c>
      <c r="AJ328" s="29">
        <f t="shared" si="467"/>
        <v>0</v>
      </c>
      <c r="AK328" s="29">
        <f t="shared" si="467"/>
        <v>0</v>
      </c>
      <c r="AL328" s="29">
        <f t="shared" si="467"/>
        <v>0</v>
      </c>
      <c r="AM328" s="29">
        <f t="shared" si="467"/>
        <v>0</v>
      </c>
      <c r="AN328" s="29">
        <f t="shared" si="467"/>
        <v>0</v>
      </c>
      <c r="AO328" s="29">
        <f t="shared" si="467"/>
        <v>0</v>
      </c>
      <c r="AP328" s="29">
        <f t="shared" si="467"/>
        <v>0</v>
      </c>
      <c r="AQ328" s="29">
        <f t="shared" si="467"/>
        <v>0</v>
      </c>
      <c r="AR328" s="29">
        <f t="shared" si="467"/>
        <v>0</v>
      </c>
      <c r="AS328" s="29">
        <f t="shared" si="467"/>
        <v>0</v>
      </c>
      <c r="AT328" s="29">
        <f t="shared" si="467"/>
        <v>0</v>
      </c>
      <c r="AU328" s="29">
        <f t="shared" si="467"/>
        <v>0</v>
      </c>
      <c r="AV328" s="29">
        <f t="shared" si="467"/>
        <v>0</v>
      </c>
      <c r="AW328" s="29">
        <f t="shared" si="467"/>
        <v>0</v>
      </c>
      <c r="AX328" s="29">
        <f t="shared" ref="AX328:BP328" si="468">$G328*AX248</f>
        <v>0</v>
      </c>
      <c r="AY328" s="29">
        <f t="shared" si="468"/>
        <v>0</v>
      </c>
      <c r="AZ328" s="29">
        <f t="shared" si="468"/>
        <v>0</v>
      </c>
      <c r="BA328" s="29">
        <f t="shared" si="468"/>
        <v>0</v>
      </c>
      <c r="BB328" s="29">
        <f t="shared" si="468"/>
        <v>0</v>
      </c>
      <c r="BC328" s="29">
        <f t="shared" si="468"/>
        <v>0</v>
      </c>
      <c r="BD328" s="29">
        <f t="shared" si="468"/>
        <v>0</v>
      </c>
      <c r="BE328" s="29">
        <f t="shared" si="468"/>
        <v>0</v>
      </c>
      <c r="BF328" s="29">
        <f t="shared" si="468"/>
        <v>0</v>
      </c>
      <c r="BG328" s="29">
        <f t="shared" si="468"/>
        <v>0</v>
      </c>
      <c r="BH328" s="29">
        <f t="shared" si="468"/>
        <v>0</v>
      </c>
      <c r="BI328" s="29">
        <f t="shared" si="468"/>
        <v>0</v>
      </c>
      <c r="BJ328" s="29">
        <f t="shared" si="468"/>
        <v>0</v>
      </c>
      <c r="BK328" s="29">
        <f t="shared" si="468"/>
        <v>0</v>
      </c>
      <c r="BL328" s="29">
        <f t="shared" si="468"/>
        <v>0</v>
      </c>
      <c r="BM328" s="29">
        <f t="shared" si="468"/>
        <v>0</v>
      </c>
      <c r="BN328" s="29">
        <f t="shared" si="468"/>
        <v>0</v>
      </c>
      <c r="BO328" s="29">
        <f t="shared" si="468"/>
        <v>0</v>
      </c>
      <c r="BP328" s="29">
        <f t="shared" si="468"/>
        <v>0</v>
      </c>
    </row>
    <row r="329" spans="2:68" outlineLevel="1" x14ac:dyDescent="0.2">
      <c r="B329" s="20"/>
      <c r="C329" s="80"/>
      <c r="D329"/>
      <c r="E329"/>
      <c r="F329"/>
      <c r="G329" s="52"/>
      <c r="H329" s="52"/>
      <c r="I329" s="52"/>
      <c r="J329" s="123"/>
      <c r="K329"/>
      <c r="L329" s="112"/>
      <c r="M329" s="113"/>
      <c r="N329"/>
      <c r="O329"/>
      <c r="P329"/>
      <c r="Q329"/>
      <c r="R329"/>
      <c r="S329"/>
      <c r="T329"/>
      <c r="U329"/>
      <c r="V329"/>
      <c r="W329"/>
      <c r="X329"/>
      <c r="Y329"/>
      <c r="Z329"/>
      <c r="AA329"/>
      <c r="AB329"/>
      <c r="AC329"/>
      <c r="AD329"/>
      <c r="AE329"/>
      <c r="AF329"/>
      <c r="AG329"/>
      <c r="AH329"/>
      <c r="AI329"/>
      <c r="AJ329"/>
      <c r="AK329"/>
      <c r="AL329"/>
      <c r="AM329"/>
      <c r="AN329"/>
      <c r="AO329"/>
      <c r="AP329"/>
      <c r="AQ329"/>
      <c r="AR329"/>
      <c r="AS329"/>
      <c r="AT329"/>
      <c r="AU329"/>
      <c r="AV329"/>
      <c r="AW329"/>
      <c r="AX329"/>
      <c r="AY329"/>
      <c r="AZ329"/>
      <c r="BA329"/>
      <c r="BB329"/>
      <c r="BC329"/>
      <c r="BD329"/>
      <c r="BE329"/>
      <c r="BF329"/>
      <c r="BG329"/>
      <c r="BH329"/>
      <c r="BI329"/>
      <c r="BJ329"/>
      <c r="BK329"/>
      <c r="BL329"/>
      <c r="BM329"/>
      <c r="BN329"/>
      <c r="BO329"/>
      <c r="BP329"/>
    </row>
    <row r="330" spans="2:68" outlineLevel="1" x14ac:dyDescent="0.2">
      <c r="B330" s="20"/>
      <c r="C330" s="80"/>
      <c r="D330" s="10" t="s">
        <v>32</v>
      </c>
      <c r="E330"/>
      <c r="F330"/>
      <c r="G330" s="52"/>
      <c r="H330" s="52"/>
      <c r="I330" s="52"/>
      <c r="J330" s="123"/>
      <c r="K330"/>
      <c r="L330" s="112"/>
      <c r="M330" s="113"/>
      <c r="N330"/>
      <c r="O330"/>
      <c r="P330"/>
      <c r="Q330"/>
      <c r="R330"/>
      <c r="S330"/>
      <c r="T330"/>
      <c r="U330"/>
      <c r="V330"/>
      <c r="W330"/>
      <c r="X330"/>
      <c r="Y330"/>
      <c r="Z330"/>
      <c r="AA330"/>
      <c r="AB330"/>
      <c r="AC330"/>
      <c r="AD330"/>
      <c r="AE330"/>
      <c r="AF330"/>
      <c r="AG330"/>
      <c r="AH330"/>
      <c r="AI330"/>
      <c r="AJ330"/>
      <c r="AK330"/>
      <c r="AL330"/>
      <c r="AM330"/>
      <c r="AN330"/>
      <c r="AO330"/>
      <c r="AP330"/>
      <c r="AQ330"/>
      <c r="AR330"/>
      <c r="AS330"/>
      <c r="AT330"/>
      <c r="AU330"/>
      <c r="AV330"/>
      <c r="AW330"/>
      <c r="AX330"/>
      <c r="AY330"/>
      <c r="AZ330"/>
      <c r="BA330"/>
      <c r="BB330"/>
      <c r="BC330"/>
      <c r="BD330"/>
      <c r="BE330"/>
      <c r="BF330"/>
      <c r="BG330"/>
      <c r="BH330"/>
      <c r="BI330"/>
      <c r="BJ330"/>
      <c r="BK330"/>
      <c r="BL330"/>
      <c r="BM330"/>
      <c r="BN330"/>
      <c r="BO330"/>
      <c r="BP330"/>
    </row>
    <row r="331" spans="2:68" outlineLevel="1" x14ac:dyDescent="0.2">
      <c r="B331" s="20"/>
      <c r="C331" s="80"/>
      <c r="D331" s="66" t="s">
        <v>385</v>
      </c>
      <c r="E331"/>
      <c r="F331"/>
      <c r="G331" s="477">
        <f>Assumptions!$H$188</f>
        <v>0.21</v>
      </c>
      <c r="H331" s="477">
        <f>Assumptions!$I$188</f>
        <v>0.79</v>
      </c>
      <c r="I331" s="52"/>
      <c r="J331" s="85" t="str">
        <f>Assumptions!$K$188</f>
        <v>Investment opex</v>
      </c>
      <c r="K331" s="401">
        <f>SUMPRODUCT($R$297:$BP$297,R331:BP331)</f>
        <v>1180436.4060402988</v>
      </c>
      <c r="L331" s="436">
        <f>SUM(M331:BP331)</f>
        <v>1434096.692501365</v>
      </c>
      <c r="M331" s="457"/>
      <c r="N331" s="455"/>
      <c r="O331" s="455"/>
      <c r="P331" s="455"/>
      <c r="Q331" s="455"/>
      <c r="R331" s="29">
        <f t="shared" ref="R331:AW331" si="469">IF(R$159=0,$G$331*R$251,0)</f>
        <v>0</v>
      </c>
      <c r="S331" s="29">
        <f t="shared" si="469"/>
        <v>0</v>
      </c>
      <c r="T331" s="29">
        <f t="shared" si="469"/>
        <v>0</v>
      </c>
      <c r="U331" s="29">
        <f t="shared" si="469"/>
        <v>206768.96195547498</v>
      </c>
      <c r="V331" s="29">
        <f t="shared" si="469"/>
        <v>209794.7990968597</v>
      </c>
      <c r="W331" s="29">
        <f t="shared" si="469"/>
        <v>211211.0890828071</v>
      </c>
      <c r="X331" s="29">
        <f t="shared" si="469"/>
        <v>211357.3438993569</v>
      </c>
      <c r="Y331" s="29">
        <f t="shared" si="469"/>
        <v>211714.73939589749</v>
      </c>
      <c r="Z331" s="29">
        <f t="shared" si="469"/>
        <v>383249.75907096895</v>
      </c>
      <c r="AA331" s="29">
        <f t="shared" si="469"/>
        <v>0</v>
      </c>
      <c r="AB331" s="29">
        <f t="shared" si="469"/>
        <v>0</v>
      </c>
      <c r="AC331" s="29">
        <f t="shared" si="469"/>
        <v>0</v>
      </c>
      <c r="AD331" s="29">
        <f t="shared" si="469"/>
        <v>0</v>
      </c>
      <c r="AE331" s="29">
        <f t="shared" si="469"/>
        <v>0</v>
      </c>
      <c r="AF331" s="29">
        <f t="shared" si="469"/>
        <v>0</v>
      </c>
      <c r="AG331" s="29">
        <f t="shared" si="469"/>
        <v>0</v>
      </c>
      <c r="AH331" s="29">
        <f t="shared" si="469"/>
        <v>0</v>
      </c>
      <c r="AI331" s="29">
        <f t="shared" si="469"/>
        <v>0</v>
      </c>
      <c r="AJ331" s="29">
        <f t="shared" si="469"/>
        <v>0</v>
      </c>
      <c r="AK331" s="29">
        <f t="shared" si="469"/>
        <v>0</v>
      </c>
      <c r="AL331" s="29">
        <f t="shared" si="469"/>
        <v>0</v>
      </c>
      <c r="AM331" s="29">
        <f t="shared" si="469"/>
        <v>0</v>
      </c>
      <c r="AN331" s="29">
        <f t="shared" si="469"/>
        <v>0</v>
      </c>
      <c r="AO331" s="29">
        <f t="shared" si="469"/>
        <v>0</v>
      </c>
      <c r="AP331" s="29">
        <f t="shared" si="469"/>
        <v>0</v>
      </c>
      <c r="AQ331" s="29">
        <f t="shared" si="469"/>
        <v>0</v>
      </c>
      <c r="AR331" s="29">
        <f t="shared" si="469"/>
        <v>0</v>
      </c>
      <c r="AS331" s="29">
        <f t="shared" si="469"/>
        <v>0</v>
      </c>
      <c r="AT331" s="29">
        <f t="shared" si="469"/>
        <v>0</v>
      </c>
      <c r="AU331" s="29">
        <f t="shared" si="469"/>
        <v>0</v>
      </c>
      <c r="AV331" s="29">
        <f t="shared" si="469"/>
        <v>0</v>
      </c>
      <c r="AW331" s="29">
        <f t="shared" si="469"/>
        <v>0</v>
      </c>
      <c r="AX331" s="29">
        <f t="shared" ref="AX331:BP331" si="470">IF(AX$159=0,$G$331*AX$251,0)</f>
        <v>0</v>
      </c>
      <c r="AY331" s="29">
        <f t="shared" si="470"/>
        <v>0</v>
      </c>
      <c r="AZ331" s="29">
        <f t="shared" si="470"/>
        <v>0</v>
      </c>
      <c r="BA331" s="29">
        <f t="shared" si="470"/>
        <v>0</v>
      </c>
      <c r="BB331" s="29">
        <f t="shared" si="470"/>
        <v>0</v>
      </c>
      <c r="BC331" s="29">
        <f t="shared" si="470"/>
        <v>0</v>
      </c>
      <c r="BD331" s="29">
        <f t="shared" si="470"/>
        <v>0</v>
      </c>
      <c r="BE331" s="29">
        <f t="shared" si="470"/>
        <v>0</v>
      </c>
      <c r="BF331" s="29">
        <f t="shared" si="470"/>
        <v>0</v>
      </c>
      <c r="BG331" s="29">
        <f t="shared" si="470"/>
        <v>0</v>
      </c>
      <c r="BH331" s="29">
        <f t="shared" si="470"/>
        <v>0</v>
      </c>
      <c r="BI331" s="29">
        <f t="shared" si="470"/>
        <v>0</v>
      </c>
      <c r="BJ331" s="29">
        <f t="shared" si="470"/>
        <v>0</v>
      </c>
      <c r="BK331" s="29">
        <f t="shared" si="470"/>
        <v>0</v>
      </c>
      <c r="BL331" s="29">
        <f t="shared" si="470"/>
        <v>0</v>
      </c>
      <c r="BM331" s="29">
        <f t="shared" si="470"/>
        <v>0</v>
      </c>
      <c r="BN331" s="29">
        <f t="shared" si="470"/>
        <v>0</v>
      </c>
      <c r="BO331" s="29">
        <f t="shared" si="470"/>
        <v>0</v>
      </c>
      <c r="BP331" s="29">
        <f t="shared" si="470"/>
        <v>0</v>
      </c>
    </row>
    <row r="332" spans="2:68" outlineLevel="1" x14ac:dyDescent="0.2">
      <c r="B332" s="20"/>
      <c r="C332" s="80"/>
      <c r="D332"/>
      <c r="E332"/>
      <c r="F332"/>
      <c r="G332" s="52"/>
      <c r="H332" s="52"/>
      <c r="I332" s="52"/>
      <c r="J332" s="123"/>
      <c r="K332"/>
      <c r="L332" s="112"/>
      <c r="M332" s="113"/>
      <c r="N332"/>
      <c r="O332"/>
      <c r="P332"/>
      <c r="Q332"/>
      <c r="R332"/>
      <c r="S332"/>
      <c r="T332"/>
      <c r="U332"/>
      <c r="V332"/>
      <c r="W332"/>
      <c r="X332"/>
      <c r="Y332"/>
      <c r="Z332"/>
      <c r="AA332"/>
      <c r="AB332"/>
      <c r="AC332"/>
      <c r="AD332"/>
      <c r="AE332"/>
      <c r="AF332"/>
      <c r="AG332"/>
      <c r="AH332"/>
      <c r="AI332"/>
      <c r="AJ332"/>
      <c r="AK332"/>
      <c r="AL332"/>
      <c r="AM332"/>
      <c r="AN332"/>
      <c r="AO332"/>
      <c r="AP332"/>
      <c r="AQ332"/>
      <c r="AR332"/>
      <c r="AS332"/>
      <c r="AT332"/>
      <c r="AU332"/>
      <c r="AV332"/>
      <c r="AW332"/>
      <c r="AX332"/>
      <c r="AY332"/>
      <c r="AZ332"/>
      <c r="BA332"/>
      <c r="BB332"/>
      <c r="BC332"/>
      <c r="BD332"/>
      <c r="BE332"/>
      <c r="BF332"/>
      <c r="BG332"/>
      <c r="BH332"/>
      <c r="BI332"/>
      <c r="BJ332"/>
      <c r="BK332"/>
      <c r="BL332"/>
      <c r="BM332"/>
      <c r="BN332"/>
      <c r="BO332"/>
      <c r="BP332"/>
    </row>
    <row r="333" spans="2:68" outlineLevel="1" x14ac:dyDescent="0.2">
      <c r="B333" s="20"/>
      <c r="C333" s="80"/>
      <c r="D333" s="32" t="str">
        <f>$D$253</f>
        <v>Regulated revenue - Incentive schemes</v>
      </c>
      <c r="E333" s="80"/>
      <c r="F333" s="80"/>
      <c r="G333" s="83"/>
      <c r="H333" s="83"/>
      <c r="I333" s="83"/>
      <c r="J333" s="85"/>
      <c r="K333" s="401"/>
      <c r="L333" s="436"/>
      <c r="M333" s="437"/>
      <c r="N333" s="401"/>
      <c r="O333" s="401"/>
      <c r="P333" s="401"/>
      <c r="Q333" s="401"/>
      <c r="R333" s="401"/>
      <c r="S333" s="401"/>
      <c r="T333" s="401"/>
      <c r="U333" s="401"/>
      <c r="V333" s="401"/>
      <c r="W333" s="401"/>
      <c r="X333" s="401"/>
      <c r="Y333" s="401"/>
      <c r="Z333" s="401"/>
      <c r="AA333" s="401"/>
      <c r="AB333" s="401"/>
      <c r="AC333" s="401"/>
      <c r="AD333" s="401"/>
      <c r="AE333" s="401"/>
      <c r="AF333" s="401"/>
      <c r="AG333" s="401"/>
      <c r="AH333" s="401"/>
      <c r="AI333" s="401"/>
      <c r="AJ333" s="401"/>
      <c r="AK333" s="401"/>
      <c r="AL333" s="401"/>
      <c r="AM333" s="401"/>
      <c r="AN333" s="401"/>
      <c r="AO333" s="401"/>
      <c r="AP333" s="401"/>
      <c r="AQ333" s="401"/>
      <c r="AR333" s="401"/>
      <c r="AS333" s="401"/>
      <c r="AT333" s="401"/>
      <c r="AU333" s="401"/>
      <c r="AV333" s="401"/>
      <c r="AW333" s="401"/>
      <c r="AX333" s="401"/>
      <c r="AY333" s="401"/>
      <c r="AZ333" s="401"/>
      <c r="BA333" s="401"/>
      <c r="BB333" s="401"/>
      <c r="BC333" s="401"/>
      <c r="BD333" s="401"/>
      <c r="BE333" s="401"/>
      <c r="BF333" s="401"/>
      <c r="BG333" s="401"/>
      <c r="BH333" s="401"/>
      <c r="BI333" s="401"/>
      <c r="BJ333" s="401"/>
      <c r="BK333" s="401"/>
      <c r="BL333" s="401"/>
      <c r="BM333" s="401"/>
      <c r="BN333" s="401"/>
      <c r="BO333" s="401"/>
      <c r="BP333" s="401"/>
    </row>
    <row r="334" spans="2:68" outlineLevel="1" x14ac:dyDescent="0.2">
      <c r="B334" s="20"/>
      <c r="C334" s="80"/>
      <c r="D334" s="81" t="str">
        <f>$D$254</f>
        <v>STPIS</v>
      </c>
      <c r="E334" s="80"/>
      <c r="F334" s="80"/>
      <c r="G334" s="477">
        <f>Assumptions!$H$191</f>
        <v>1</v>
      </c>
      <c r="H334" s="477">
        <f>Assumptions!$I$191</f>
        <v>-1</v>
      </c>
      <c r="I334" s="83"/>
      <c r="J334" s="85" t="str">
        <f>Assumptions!$K$191</f>
        <v>STPIS</v>
      </c>
      <c r="K334" s="401">
        <f t="shared" ref="K334" si="471">SUMPRODUCT($R$297:$BP$297,R334:BP334)</f>
        <v>0</v>
      </c>
      <c r="L334" s="436">
        <f t="shared" ref="L334" si="472">SUM(M334:BP334)</f>
        <v>0</v>
      </c>
      <c r="M334" s="457"/>
      <c r="N334" s="455"/>
      <c r="O334" s="455"/>
      <c r="P334" s="455"/>
      <c r="Q334" s="455"/>
      <c r="R334" s="401">
        <f>(SUM(N255:R255)*$G$334)</f>
        <v>0</v>
      </c>
      <c r="S334" s="401">
        <f t="shared" ref="S334:BP334" si="473">(SUM(O255:S255)*$G$334)</f>
        <v>0</v>
      </c>
      <c r="T334" s="401">
        <f t="shared" si="473"/>
        <v>0</v>
      </c>
      <c r="U334" s="401">
        <f t="shared" si="473"/>
        <v>0</v>
      </c>
      <c r="V334" s="401">
        <f t="shared" si="473"/>
        <v>0</v>
      </c>
      <c r="W334" s="401">
        <f t="shared" si="473"/>
        <v>0</v>
      </c>
      <c r="X334" s="401">
        <f t="shared" si="473"/>
        <v>0</v>
      </c>
      <c r="Y334" s="401">
        <f t="shared" si="473"/>
        <v>0</v>
      </c>
      <c r="Z334" s="401">
        <f t="shared" si="473"/>
        <v>0</v>
      </c>
      <c r="AA334" s="401">
        <f t="shared" si="473"/>
        <v>0</v>
      </c>
      <c r="AB334" s="401">
        <f t="shared" si="473"/>
        <v>0</v>
      </c>
      <c r="AC334" s="401">
        <f t="shared" si="473"/>
        <v>0</v>
      </c>
      <c r="AD334" s="401">
        <f t="shared" si="473"/>
        <v>0</v>
      </c>
      <c r="AE334" s="401">
        <f t="shared" si="473"/>
        <v>0</v>
      </c>
      <c r="AF334" s="401">
        <f t="shared" si="473"/>
        <v>0</v>
      </c>
      <c r="AG334" s="401">
        <f t="shared" si="473"/>
        <v>0</v>
      </c>
      <c r="AH334" s="401">
        <f t="shared" si="473"/>
        <v>0</v>
      </c>
      <c r="AI334" s="401">
        <f t="shared" si="473"/>
        <v>0</v>
      </c>
      <c r="AJ334" s="401">
        <f t="shared" si="473"/>
        <v>0</v>
      </c>
      <c r="AK334" s="401">
        <f t="shared" si="473"/>
        <v>0</v>
      </c>
      <c r="AL334" s="401">
        <f t="shared" si="473"/>
        <v>0</v>
      </c>
      <c r="AM334" s="401">
        <f t="shared" si="473"/>
        <v>0</v>
      </c>
      <c r="AN334" s="401">
        <f t="shared" si="473"/>
        <v>0</v>
      </c>
      <c r="AO334" s="401">
        <f t="shared" si="473"/>
        <v>0</v>
      </c>
      <c r="AP334" s="401">
        <f t="shared" si="473"/>
        <v>0</v>
      </c>
      <c r="AQ334" s="401">
        <f t="shared" si="473"/>
        <v>0</v>
      </c>
      <c r="AR334" s="401">
        <f t="shared" si="473"/>
        <v>0</v>
      </c>
      <c r="AS334" s="401">
        <f t="shared" si="473"/>
        <v>0</v>
      </c>
      <c r="AT334" s="401">
        <f t="shared" si="473"/>
        <v>0</v>
      </c>
      <c r="AU334" s="401">
        <f t="shared" si="473"/>
        <v>0</v>
      </c>
      <c r="AV334" s="401">
        <f t="shared" si="473"/>
        <v>0</v>
      </c>
      <c r="AW334" s="401">
        <f t="shared" si="473"/>
        <v>0</v>
      </c>
      <c r="AX334" s="401">
        <f t="shared" si="473"/>
        <v>0</v>
      </c>
      <c r="AY334" s="401">
        <f t="shared" si="473"/>
        <v>0</v>
      </c>
      <c r="AZ334" s="401">
        <f t="shared" si="473"/>
        <v>0</v>
      </c>
      <c r="BA334" s="401">
        <f t="shared" si="473"/>
        <v>0</v>
      </c>
      <c r="BB334" s="401">
        <f t="shared" si="473"/>
        <v>0</v>
      </c>
      <c r="BC334" s="401">
        <f t="shared" si="473"/>
        <v>0</v>
      </c>
      <c r="BD334" s="401">
        <f t="shared" si="473"/>
        <v>0</v>
      </c>
      <c r="BE334" s="401">
        <f t="shared" si="473"/>
        <v>0</v>
      </c>
      <c r="BF334" s="401">
        <f t="shared" si="473"/>
        <v>0</v>
      </c>
      <c r="BG334" s="401">
        <f t="shared" si="473"/>
        <v>0</v>
      </c>
      <c r="BH334" s="401">
        <f t="shared" si="473"/>
        <v>0</v>
      </c>
      <c r="BI334" s="401">
        <f t="shared" si="473"/>
        <v>0</v>
      </c>
      <c r="BJ334" s="401">
        <f t="shared" si="473"/>
        <v>0</v>
      </c>
      <c r="BK334" s="401">
        <f t="shared" si="473"/>
        <v>0</v>
      </c>
      <c r="BL334" s="401">
        <f t="shared" si="473"/>
        <v>0</v>
      </c>
      <c r="BM334" s="401">
        <f t="shared" si="473"/>
        <v>0</v>
      </c>
      <c r="BN334" s="401">
        <f t="shared" si="473"/>
        <v>0</v>
      </c>
      <c r="BO334" s="401">
        <f t="shared" si="473"/>
        <v>0</v>
      </c>
      <c r="BP334" s="401">
        <f t="shared" si="473"/>
        <v>0</v>
      </c>
    </row>
    <row r="335" spans="2:68" outlineLevel="1" x14ac:dyDescent="0.2">
      <c r="B335" s="20"/>
      <c r="C335" s="80"/>
      <c r="D335" s="81" t="str">
        <f>$D$256</f>
        <v>EBSS</v>
      </c>
      <c r="E335" s="80"/>
      <c r="F335" s="80"/>
      <c r="G335" s="477">
        <f>Assumptions!$H$193</f>
        <v>1</v>
      </c>
      <c r="H335" s="477">
        <f>Assumptions!$I$193</f>
        <v>1</v>
      </c>
      <c r="I335" s="83"/>
      <c r="J335" s="85" t="str">
        <f>Assumptions!$K$193</f>
        <v>EBSS</v>
      </c>
      <c r="K335" s="401">
        <f>SUMPRODUCT($R$297:$BP$297,R335:BP335)</f>
        <v>0</v>
      </c>
      <c r="L335" s="436">
        <f>SUM(M335:BP335)</f>
        <v>0</v>
      </c>
      <c r="M335" s="457"/>
      <c r="N335" s="455"/>
      <c r="O335" s="455"/>
      <c r="P335" s="455"/>
      <c r="Q335" s="455"/>
      <c r="R335" s="401">
        <f t="shared" ref="R335:AW335" si="474">R257</f>
        <v>0</v>
      </c>
      <c r="S335" s="401">
        <f t="shared" si="474"/>
        <v>0</v>
      </c>
      <c r="T335" s="401">
        <f t="shared" si="474"/>
        <v>0</v>
      </c>
      <c r="U335" s="401">
        <f t="shared" si="474"/>
        <v>0</v>
      </c>
      <c r="V335" s="401">
        <f t="shared" si="474"/>
        <v>0</v>
      </c>
      <c r="W335" s="401">
        <f t="shared" si="474"/>
        <v>0</v>
      </c>
      <c r="X335" s="401">
        <f t="shared" si="474"/>
        <v>0</v>
      </c>
      <c r="Y335" s="401">
        <f t="shared" si="474"/>
        <v>0</v>
      </c>
      <c r="Z335" s="401">
        <f t="shared" si="474"/>
        <v>0</v>
      </c>
      <c r="AA335" s="401">
        <f t="shared" si="474"/>
        <v>0</v>
      </c>
      <c r="AB335" s="401">
        <f t="shared" si="474"/>
        <v>0</v>
      </c>
      <c r="AC335" s="401">
        <f t="shared" si="474"/>
        <v>0</v>
      </c>
      <c r="AD335" s="401">
        <f t="shared" si="474"/>
        <v>0</v>
      </c>
      <c r="AE335" s="401">
        <f t="shared" si="474"/>
        <v>0</v>
      </c>
      <c r="AF335" s="401">
        <f t="shared" si="474"/>
        <v>0</v>
      </c>
      <c r="AG335" s="401">
        <f t="shared" si="474"/>
        <v>0</v>
      </c>
      <c r="AH335" s="401">
        <f t="shared" si="474"/>
        <v>0</v>
      </c>
      <c r="AI335" s="401">
        <f t="shared" si="474"/>
        <v>0</v>
      </c>
      <c r="AJ335" s="401">
        <f t="shared" si="474"/>
        <v>0</v>
      </c>
      <c r="AK335" s="401">
        <f t="shared" si="474"/>
        <v>0</v>
      </c>
      <c r="AL335" s="401">
        <f t="shared" si="474"/>
        <v>0</v>
      </c>
      <c r="AM335" s="401">
        <f t="shared" si="474"/>
        <v>0</v>
      </c>
      <c r="AN335" s="401">
        <f t="shared" si="474"/>
        <v>0</v>
      </c>
      <c r="AO335" s="401">
        <f t="shared" si="474"/>
        <v>0</v>
      </c>
      <c r="AP335" s="401">
        <f t="shared" si="474"/>
        <v>0</v>
      </c>
      <c r="AQ335" s="401">
        <f t="shared" si="474"/>
        <v>0</v>
      </c>
      <c r="AR335" s="401">
        <f t="shared" si="474"/>
        <v>0</v>
      </c>
      <c r="AS335" s="401">
        <f t="shared" si="474"/>
        <v>0</v>
      </c>
      <c r="AT335" s="401">
        <f t="shared" si="474"/>
        <v>0</v>
      </c>
      <c r="AU335" s="401">
        <f t="shared" si="474"/>
        <v>0</v>
      </c>
      <c r="AV335" s="401">
        <f t="shared" si="474"/>
        <v>0</v>
      </c>
      <c r="AW335" s="401">
        <f t="shared" si="474"/>
        <v>0</v>
      </c>
      <c r="AX335" s="401">
        <f t="shared" ref="AX335:BP335" si="475">AX257</f>
        <v>0</v>
      </c>
      <c r="AY335" s="401">
        <f t="shared" si="475"/>
        <v>0</v>
      </c>
      <c r="AZ335" s="401">
        <f t="shared" si="475"/>
        <v>0</v>
      </c>
      <c r="BA335" s="401">
        <f t="shared" si="475"/>
        <v>0</v>
      </c>
      <c r="BB335" s="401">
        <f t="shared" si="475"/>
        <v>0</v>
      </c>
      <c r="BC335" s="401">
        <f t="shared" si="475"/>
        <v>0</v>
      </c>
      <c r="BD335" s="401">
        <f t="shared" si="475"/>
        <v>0</v>
      </c>
      <c r="BE335" s="401">
        <f t="shared" si="475"/>
        <v>0</v>
      </c>
      <c r="BF335" s="401">
        <f t="shared" si="475"/>
        <v>0</v>
      </c>
      <c r="BG335" s="401">
        <f t="shared" si="475"/>
        <v>0</v>
      </c>
      <c r="BH335" s="401">
        <f t="shared" si="475"/>
        <v>0</v>
      </c>
      <c r="BI335" s="401">
        <f t="shared" si="475"/>
        <v>0</v>
      </c>
      <c r="BJ335" s="401">
        <f t="shared" si="475"/>
        <v>0</v>
      </c>
      <c r="BK335" s="401">
        <f t="shared" si="475"/>
        <v>0</v>
      </c>
      <c r="BL335" s="401">
        <f t="shared" si="475"/>
        <v>0</v>
      </c>
      <c r="BM335" s="401">
        <f t="shared" si="475"/>
        <v>0</v>
      </c>
      <c r="BN335" s="401">
        <f t="shared" si="475"/>
        <v>0</v>
      </c>
      <c r="BO335" s="401">
        <f t="shared" si="475"/>
        <v>0</v>
      </c>
      <c r="BP335" s="401">
        <f t="shared" si="475"/>
        <v>0</v>
      </c>
    </row>
    <row r="336" spans="2:68" outlineLevel="1" x14ac:dyDescent="0.2">
      <c r="B336" s="20"/>
      <c r="C336" s="80"/>
      <c r="D336" s="81" t="str">
        <f>$D$259</f>
        <v>CESS</v>
      </c>
      <c r="E336" s="80"/>
      <c r="F336" s="80"/>
      <c r="G336" s="450"/>
      <c r="H336" s="83"/>
      <c r="I336" s="83"/>
      <c r="J336" s="85"/>
      <c r="K336" s="80"/>
      <c r="L336" s="80"/>
      <c r="M336" s="457"/>
      <c r="N336" s="455"/>
      <c r="O336" s="455"/>
      <c r="P336" s="455"/>
      <c r="Q336" s="455"/>
      <c r="R336" s="80"/>
      <c r="S336" s="80"/>
      <c r="T336" s="80"/>
      <c r="U336" s="80"/>
      <c r="V336" s="80"/>
      <c r="W336" s="80"/>
      <c r="X336" s="80"/>
      <c r="Y336" s="80"/>
      <c r="Z336" s="80"/>
      <c r="AA336" s="80"/>
      <c r="AB336" s="80"/>
      <c r="AC336" s="80"/>
      <c r="AD336" s="80"/>
      <c r="AE336" s="80"/>
      <c r="AF336" s="80"/>
      <c r="AG336" s="80"/>
      <c r="AH336" s="80"/>
      <c r="AI336" s="80"/>
      <c r="AJ336" s="80"/>
      <c r="AK336" s="80"/>
      <c r="AL336" s="80"/>
      <c r="AM336" s="80"/>
      <c r="AN336" s="80"/>
      <c r="AO336" s="80"/>
      <c r="AP336" s="80"/>
      <c r="AQ336" s="80"/>
      <c r="AR336" s="80"/>
      <c r="AS336" s="80"/>
      <c r="AT336" s="80"/>
      <c r="AU336" s="80"/>
      <c r="AV336" s="80"/>
      <c r="AW336" s="80"/>
      <c r="AX336" s="80"/>
      <c r="AY336" s="80"/>
      <c r="AZ336" s="80"/>
      <c r="BA336" s="80"/>
      <c r="BB336" s="80"/>
      <c r="BC336" s="80"/>
      <c r="BD336" s="80"/>
      <c r="BE336" s="80"/>
      <c r="BF336" s="80"/>
      <c r="BG336" s="80"/>
      <c r="BH336" s="80"/>
      <c r="BI336" s="80"/>
      <c r="BJ336" s="80"/>
      <c r="BK336" s="80"/>
      <c r="BL336" s="80"/>
      <c r="BM336" s="80"/>
      <c r="BN336" s="80"/>
      <c r="BO336" s="80"/>
      <c r="BP336" s="80"/>
    </row>
    <row r="337" spans="2:68" outlineLevel="1" x14ac:dyDescent="0.2">
      <c r="B337" s="20"/>
      <c r="C337" s="80"/>
      <c r="D337" s="92" t="s">
        <v>64</v>
      </c>
      <c r="E337" s="80"/>
      <c r="F337" s="80"/>
      <c r="G337" s="477">
        <f>Assumptions!$H$194</f>
        <v>1</v>
      </c>
      <c r="H337" s="477">
        <f>Assumptions!$I$194</f>
        <v>1</v>
      </c>
      <c r="I337" s="488"/>
      <c r="J337" s="489" t="str">
        <f>Assumptions!$K$194</f>
        <v>CESS</v>
      </c>
      <c r="K337" s="401">
        <f>SUMPRODUCT($R$297:$BP$297,R337:BP337)</f>
        <v>0</v>
      </c>
      <c r="L337" s="436">
        <f>SUM(M337:BP337)</f>
        <v>0</v>
      </c>
      <c r="M337" s="457"/>
      <c r="N337" s="455"/>
      <c r="O337" s="455"/>
      <c r="P337" s="455"/>
      <c r="Q337" s="455"/>
      <c r="R337" s="401">
        <f t="shared" ref="R337:AW337" si="476">$G337*R260</f>
        <v>0</v>
      </c>
      <c r="S337" s="401">
        <f t="shared" si="476"/>
        <v>0</v>
      </c>
      <c r="T337" s="401">
        <f t="shared" si="476"/>
        <v>0</v>
      </c>
      <c r="U337" s="401">
        <f t="shared" si="476"/>
        <v>0</v>
      </c>
      <c r="V337" s="401">
        <f t="shared" si="476"/>
        <v>0</v>
      </c>
      <c r="W337" s="401">
        <f t="shared" si="476"/>
        <v>0</v>
      </c>
      <c r="X337" s="401">
        <f t="shared" si="476"/>
        <v>0</v>
      </c>
      <c r="Y337" s="401">
        <f t="shared" si="476"/>
        <v>0</v>
      </c>
      <c r="Z337" s="401">
        <f t="shared" si="476"/>
        <v>0</v>
      </c>
      <c r="AA337" s="401">
        <f t="shared" si="476"/>
        <v>0</v>
      </c>
      <c r="AB337" s="401">
        <f t="shared" si="476"/>
        <v>0</v>
      </c>
      <c r="AC337" s="401">
        <f t="shared" si="476"/>
        <v>0</v>
      </c>
      <c r="AD337" s="401">
        <f t="shared" si="476"/>
        <v>0</v>
      </c>
      <c r="AE337" s="401">
        <f t="shared" si="476"/>
        <v>0</v>
      </c>
      <c r="AF337" s="401">
        <f t="shared" si="476"/>
        <v>0</v>
      </c>
      <c r="AG337" s="401">
        <f t="shared" si="476"/>
        <v>0</v>
      </c>
      <c r="AH337" s="401">
        <f t="shared" si="476"/>
        <v>0</v>
      </c>
      <c r="AI337" s="401">
        <f t="shared" si="476"/>
        <v>0</v>
      </c>
      <c r="AJ337" s="401">
        <f t="shared" si="476"/>
        <v>0</v>
      </c>
      <c r="AK337" s="401">
        <f t="shared" si="476"/>
        <v>0</v>
      </c>
      <c r="AL337" s="401">
        <f t="shared" si="476"/>
        <v>0</v>
      </c>
      <c r="AM337" s="401">
        <f t="shared" si="476"/>
        <v>0</v>
      </c>
      <c r="AN337" s="401">
        <f t="shared" si="476"/>
        <v>0</v>
      </c>
      <c r="AO337" s="401">
        <f t="shared" si="476"/>
        <v>0</v>
      </c>
      <c r="AP337" s="401">
        <f t="shared" si="476"/>
        <v>0</v>
      </c>
      <c r="AQ337" s="401">
        <f t="shared" si="476"/>
        <v>0</v>
      </c>
      <c r="AR337" s="401">
        <f t="shared" si="476"/>
        <v>0</v>
      </c>
      <c r="AS337" s="401">
        <f t="shared" si="476"/>
        <v>0</v>
      </c>
      <c r="AT337" s="401">
        <f t="shared" si="476"/>
        <v>0</v>
      </c>
      <c r="AU337" s="401">
        <f t="shared" si="476"/>
        <v>0</v>
      </c>
      <c r="AV337" s="401">
        <f t="shared" si="476"/>
        <v>0</v>
      </c>
      <c r="AW337" s="401">
        <f t="shared" si="476"/>
        <v>0</v>
      </c>
      <c r="AX337" s="401">
        <f t="shared" ref="AX337:BP337" si="477">$G337*AX260</f>
        <v>0</v>
      </c>
      <c r="AY337" s="401">
        <f t="shared" si="477"/>
        <v>0</v>
      </c>
      <c r="AZ337" s="401">
        <f t="shared" si="477"/>
        <v>0</v>
      </c>
      <c r="BA337" s="401">
        <f t="shared" si="477"/>
        <v>0</v>
      </c>
      <c r="BB337" s="401">
        <f t="shared" si="477"/>
        <v>0</v>
      </c>
      <c r="BC337" s="401">
        <f t="shared" si="477"/>
        <v>0</v>
      </c>
      <c r="BD337" s="401">
        <f t="shared" si="477"/>
        <v>0</v>
      </c>
      <c r="BE337" s="401">
        <f t="shared" si="477"/>
        <v>0</v>
      </c>
      <c r="BF337" s="401">
        <f t="shared" si="477"/>
        <v>0</v>
      </c>
      <c r="BG337" s="401">
        <f t="shared" si="477"/>
        <v>0</v>
      </c>
      <c r="BH337" s="401">
        <f t="shared" si="477"/>
        <v>0</v>
      </c>
      <c r="BI337" s="401">
        <f t="shared" si="477"/>
        <v>0</v>
      </c>
      <c r="BJ337" s="401">
        <f t="shared" si="477"/>
        <v>0</v>
      </c>
      <c r="BK337" s="401">
        <f t="shared" si="477"/>
        <v>0</v>
      </c>
      <c r="BL337" s="401">
        <f t="shared" si="477"/>
        <v>0</v>
      </c>
      <c r="BM337" s="401">
        <f t="shared" si="477"/>
        <v>0</v>
      </c>
      <c r="BN337" s="401">
        <f t="shared" si="477"/>
        <v>0</v>
      </c>
      <c r="BO337" s="401">
        <f t="shared" si="477"/>
        <v>0</v>
      </c>
      <c r="BP337" s="401">
        <f t="shared" si="477"/>
        <v>0</v>
      </c>
    </row>
    <row r="338" spans="2:68" outlineLevel="1" x14ac:dyDescent="0.2">
      <c r="B338" s="20"/>
      <c r="C338" s="80"/>
      <c r="D338" s="92" t="s">
        <v>63</v>
      </c>
      <c r="E338" s="80"/>
      <c r="F338" s="80"/>
      <c r="G338" s="396">
        <v>0</v>
      </c>
      <c r="H338" s="396">
        <v>0</v>
      </c>
      <c r="I338" s="488"/>
      <c r="J338" s="85" t="str">
        <f>Assumptions!$K$194</f>
        <v>CESS</v>
      </c>
      <c r="K338" s="401">
        <f>SUMPRODUCT($R$297:$BP$297,R338:BP338)</f>
        <v>0</v>
      </c>
      <c r="L338" s="436">
        <f>SUM(M338:BP338)</f>
        <v>0</v>
      </c>
      <c r="M338" s="457"/>
      <c r="N338" s="455"/>
      <c r="O338" s="455"/>
      <c r="P338" s="455"/>
      <c r="Q338" s="455"/>
      <c r="R338" s="401">
        <f t="shared" ref="R338:AW338" si="478">$G338*R261</f>
        <v>0</v>
      </c>
      <c r="S338" s="401">
        <f t="shared" si="478"/>
        <v>0</v>
      </c>
      <c r="T338" s="401">
        <f t="shared" si="478"/>
        <v>0</v>
      </c>
      <c r="U338" s="401">
        <f t="shared" si="478"/>
        <v>0</v>
      </c>
      <c r="V338" s="401">
        <f t="shared" si="478"/>
        <v>0</v>
      </c>
      <c r="W338" s="401">
        <f t="shared" si="478"/>
        <v>0</v>
      </c>
      <c r="X338" s="401">
        <f t="shared" si="478"/>
        <v>0</v>
      </c>
      <c r="Y338" s="401">
        <f t="shared" si="478"/>
        <v>0</v>
      </c>
      <c r="Z338" s="401">
        <f t="shared" si="478"/>
        <v>0</v>
      </c>
      <c r="AA338" s="401">
        <f t="shared" si="478"/>
        <v>0</v>
      </c>
      <c r="AB338" s="401">
        <f t="shared" si="478"/>
        <v>0</v>
      </c>
      <c r="AC338" s="401">
        <f t="shared" si="478"/>
        <v>0</v>
      </c>
      <c r="AD338" s="401">
        <f t="shared" si="478"/>
        <v>0</v>
      </c>
      <c r="AE338" s="401">
        <f t="shared" si="478"/>
        <v>0</v>
      </c>
      <c r="AF338" s="401">
        <f t="shared" si="478"/>
        <v>0</v>
      </c>
      <c r="AG338" s="401">
        <f t="shared" si="478"/>
        <v>0</v>
      </c>
      <c r="AH338" s="401">
        <f t="shared" si="478"/>
        <v>0</v>
      </c>
      <c r="AI338" s="401">
        <f t="shared" si="478"/>
        <v>0</v>
      </c>
      <c r="AJ338" s="401">
        <f t="shared" si="478"/>
        <v>0</v>
      </c>
      <c r="AK338" s="401">
        <f t="shared" si="478"/>
        <v>0</v>
      </c>
      <c r="AL338" s="401">
        <f t="shared" si="478"/>
        <v>0</v>
      </c>
      <c r="AM338" s="401">
        <f t="shared" si="478"/>
        <v>0</v>
      </c>
      <c r="AN338" s="401">
        <f t="shared" si="478"/>
        <v>0</v>
      </c>
      <c r="AO338" s="401">
        <f t="shared" si="478"/>
        <v>0</v>
      </c>
      <c r="AP338" s="401">
        <f t="shared" si="478"/>
        <v>0</v>
      </c>
      <c r="AQ338" s="401">
        <f t="shared" si="478"/>
        <v>0</v>
      </c>
      <c r="AR338" s="401">
        <f t="shared" si="478"/>
        <v>0</v>
      </c>
      <c r="AS338" s="401">
        <f t="shared" si="478"/>
        <v>0</v>
      </c>
      <c r="AT338" s="401">
        <f t="shared" si="478"/>
        <v>0</v>
      </c>
      <c r="AU338" s="401">
        <f t="shared" si="478"/>
        <v>0</v>
      </c>
      <c r="AV338" s="401">
        <f t="shared" si="478"/>
        <v>0</v>
      </c>
      <c r="AW338" s="401">
        <f t="shared" si="478"/>
        <v>0</v>
      </c>
      <c r="AX338" s="401">
        <f t="shared" ref="AX338:BP338" si="479">$G338*AX261</f>
        <v>0</v>
      </c>
      <c r="AY338" s="401">
        <f t="shared" si="479"/>
        <v>0</v>
      </c>
      <c r="AZ338" s="401">
        <f t="shared" si="479"/>
        <v>0</v>
      </c>
      <c r="BA338" s="401">
        <f t="shared" si="479"/>
        <v>0</v>
      </c>
      <c r="BB338" s="401">
        <f t="shared" si="479"/>
        <v>0</v>
      </c>
      <c r="BC338" s="401">
        <f t="shared" si="479"/>
        <v>0</v>
      </c>
      <c r="BD338" s="401">
        <f t="shared" si="479"/>
        <v>0</v>
      </c>
      <c r="BE338" s="401">
        <f t="shared" si="479"/>
        <v>0</v>
      </c>
      <c r="BF338" s="401">
        <f t="shared" si="479"/>
        <v>0</v>
      </c>
      <c r="BG338" s="401">
        <f t="shared" si="479"/>
        <v>0</v>
      </c>
      <c r="BH338" s="401">
        <f t="shared" si="479"/>
        <v>0</v>
      </c>
      <c r="BI338" s="401">
        <f t="shared" si="479"/>
        <v>0</v>
      </c>
      <c r="BJ338" s="401">
        <f t="shared" si="479"/>
        <v>0</v>
      </c>
      <c r="BK338" s="401">
        <f t="shared" si="479"/>
        <v>0</v>
      </c>
      <c r="BL338" s="401">
        <f t="shared" si="479"/>
        <v>0</v>
      </c>
      <c r="BM338" s="401">
        <f t="shared" si="479"/>
        <v>0</v>
      </c>
      <c r="BN338" s="401">
        <f t="shared" si="479"/>
        <v>0</v>
      </c>
      <c r="BO338" s="401">
        <f t="shared" si="479"/>
        <v>0</v>
      </c>
      <c r="BP338" s="401">
        <f t="shared" si="479"/>
        <v>0</v>
      </c>
    </row>
    <row r="339" spans="2:68" outlineLevel="1" x14ac:dyDescent="0.2">
      <c r="B339" s="20"/>
      <c r="C339" s="80"/>
      <c r="D339" s="81" t="str">
        <f>$D$262</f>
        <v>DMIS</v>
      </c>
      <c r="E339" s="80"/>
      <c r="F339" s="80"/>
      <c r="G339" s="477">
        <f>Assumptions!$H$195</f>
        <v>1</v>
      </c>
      <c r="H339" s="477">
        <f>Assumptions!$I$195</f>
        <v>-1</v>
      </c>
      <c r="I339" s="83"/>
      <c r="J339" s="85" t="str">
        <f>Assumptions!$K$195</f>
        <v>DMIS</v>
      </c>
      <c r="K339" s="401">
        <f>SUMPRODUCT($R$297:$BP$297,R339:BP339)</f>
        <v>0</v>
      </c>
      <c r="L339" s="436">
        <f>SUM(M339:BP339)</f>
        <v>0</v>
      </c>
      <c r="M339" s="457"/>
      <c r="N339" s="455"/>
      <c r="O339" s="455"/>
      <c r="P339" s="455"/>
      <c r="Q339" s="455"/>
      <c r="R339" s="401">
        <f t="shared" ref="R339:AW339" si="480">$G339*R262</f>
        <v>0</v>
      </c>
      <c r="S339" s="401">
        <f t="shared" si="480"/>
        <v>0</v>
      </c>
      <c r="T339" s="401">
        <f t="shared" si="480"/>
        <v>0</v>
      </c>
      <c r="U339" s="401">
        <f t="shared" si="480"/>
        <v>0</v>
      </c>
      <c r="V339" s="401">
        <f t="shared" si="480"/>
        <v>0</v>
      </c>
      <c r="W339" s="401">
        <f t="shared" si="480"/>
        <v>0</v>
      </c>
      <c r="X339" s="401">
        <f t="shared" si="480"/>
        <v>0</v>
      </c>
      <c r="Y339" s="401">
        <f t="shared" si="480"/>
        <v>0</v>
      </c>
      <c r="Z339" s="401">
        <f t="shared" si="480"/>
        <v>0</v>
      </c>
      <c r="AA339" s="401">
        <f t="shared" si="480"/>
        <v>0</v>
      </c>
      <c r="AB339" s="401">
        <f t="shared" si="480"/>
        <v>0</v>
      </c>
      <c r="AC339" s="401">
        <f t="shared" si="480"/>
        <v>0</v>
      </c>
      <c r="AD339" s="401">
        <f t="shared" si="480"/>
        <v>0</v>
      </c>
      <c r="AE339" s="401">
        <f t="shared" si="480"/>
        <v>0</v>
      </c>
      <c r="AF339" s="401">
        <f t="shared" si="480"/>
        <v>0</v>
      </c>
      <c r="AG339" s="401">
        <f t="shared" si="480"/>
        <v>0</v>
      </c>
      <c r="AH339" s="401">
        <f t="shared" si="480"/>
        <v>0</v>
      </c>
      <c r="AI339" s="401">
        <f t="shared" si="480"/>
        <v>0</v>
      </c>
      <c r="AJ339" s="401">
        <f t="shared" si="480"/>
        <v>0</v>
      </c>
      <c r="AK339" s="401">
        <f t="shared" si="480"/>
        <v>0</v>
      </c>
      <c r="AL339" s="401">
        <f t="shared" si="480"/>
        <v>0</v>
      </c>
      <c r="AM339" s="401">
        <f t="shared" si="480"/>
        <v>0</v>
      </c>
      <c r="AN339" s="401">
        <f t="shared" si="480"/>
        <v>0</v>
      </c>
      <c r="AO339" s="401">
        <f t="shared" si="480"/>
        <v>0</v>
      </c>
      <c r="AP339" s="401">
        <f t="shared" si="480"/>
        <v>0</v>
      </c>
      <c r="AQ339" s="401">
        <f t="shared" si="480"/>
        <v>0</v>
      </c>
      <c r="AR339" s="401">
        <f t="shared" si="480"/>
        <v>0</v>
      </c>
      <c r="AS339" s="401">
        <f t="shared" si="480"/>
        <v>0</v>
      </c>
      <c r="AT339" s="401">
        <f t="shared" si="480"/>
        <v>0</v>
      </c>
      <c r="AU339" s="401">
        <f t="shared" si="480"/>
        <v>0</v>
      </c>
      <c r="AV339" s="401">
        <f t="shared" si="480"/>
        <v>0</v>
      </c>
      <c r="AW339" s="401">
        <f t="shared" si="480"/>
        <v>0</v>
      </c>
      <c r="AX339" s="401">
        <f t="shared" ref="AX339:BP339" si="481">$G339*AX262</f>
        <v>0</v>
      </c>
      <c r="AY339" s="401">
        <f t="shared" si="481"/>
        <v>0</v>
      </c>
      <c r="AZ339" s="401">
        <f t="shared" si="481"/>
        <v>0</v>
      </c>
      <c r="BA339" s="401">
        <f t="shared" si="481"/>
        <v>0</v>
      </c>
      <c r="BB339" s="401">
        <f t="shared" si="481"/>
        <v>0</v>
      </c>
      <c r="BC339" s="401">
        <f t="shared" si="481"/>
        <v>0</v>
      </c>
      <c r="BD339" s="401">
        <f t="shared" si="481"/>
        <v>0</v>
      </c>
      <c r="BE339" s="401">
        <f t="shared" si="481"/>
        <v>0</v>
      </c>
      <c r="BF339" s="401">
        <f t="shared" si="481"/>
        <v>0</v>
      </c>
      <c r="BG339" s="401">
        <f t="shared" si="481"/>
        <v>0</v>
      </c>
      <c r="BH339" s="401">
        <f t="shared" si="481"/>
        <v>0</v>
      </c>
      <c r="BI339" s="401">
        <f t="shared" si="481"/>
        <v>0</v>
      </c>
      <c r="BJ339" s="401">
        <f t="shared" si="481"/>
        <v>0</v>
      </c>
      <c r="BK339" s="401">
        <f t="shared" si="481"/>
        <v>0</v>
      </c>
      <c r="BL339" s="401">
        <f t="shared" si="481"/>
        <v>0</v>
      </c>
      <c r="BM339" s="401">
        <f t="shared" si="481"/>
        <v>0</v>
      </c>
      <c r="BN339" s="401">
        <f t="shared" si="481"/>
        <v>0</v>
      </c>
      <c r="BO339" s="401">
        <f t="shared" si="481"/>
        <v>0</v>
      </c>
      <c r="BP339" s="401">
        <f t="shared" si="481"/>
        <v>0</v>
      </c>
    </row>
    <row r="340" spans="2:68" outlineLevel="1" x14ac:dyDescent="0.2">
      <c r="B340" s="20"/>
      <c r="C340" s="80"/>
      <c r="D340" s="81"/>
      <c r="E340" s="80"/>
      <c r="F340" s="80"/>
      <c r="G340" s="83"/>
      <c r="H340" s="83"/>
      <c r="I340" s="83"/>
      <c r="J340" s="85"/>
      <c r="K340" s="401"/>
      <c r="L340" s="436"/>
      <c r="M340" s="437"/>
      <c r="N340" s="401"/>
      <c r="O340" s="401"/>
      <c r="P340" s="401"/>
      <c r="Q340" s="401"/>
      <c r="R340" s="401">
        <f>IF(EBSS_CESS!C32&lt;&gt;0,EBSS_CESS!C32,0)</f>
        <v>0</v>
      </c>
      <c r="S340" s="401">
        <f>IF(EBSS_CESS!D32&lt;&gt;0,EBSS_CESS!D32,0)</f>
        <v>0</v>
      </c>
      <c r="T340" s="401">
        <f>IF(EBSS_CESS!E32&lt;&gt;0,EBSS_CESS!E32,0)</f>
        <v>0</v>
      </c>
      <c r="U340" s="401">
        <f>IF(EBSS_CESS!F32&lt;&gt;0,EBSS_CESS!F32,0)</f>
        <v>0</v>
      </c>
      <c r="V340" s="401">
        <f>IF(EBSS_CESS!G32&lt;&gt;0,EBSS_CESS!G32,0)</f>
        <v>0</v>
      </c>
      <c r="W340" s="401">
        <f>IF(EBSS_CESS!H32&lt;&gt;0,EBSS_CESS!H32,0)</f>
        <v>0</v>
      </c>
      <c r="X340" s="401">
        <f>IF(EBSS_CESS!I32&lt;&gt;0,EBSS_CESS!I32,0)</f>
        <v>0</v>
      </c>
      <c r="Y340" s="401">
        <f>IF(EBSS_CESS!J32&lt;&gt;0,EBSS_CESS!J32,0)</f>
        <v>0</v>
      </c>
      <c r="Z340" s="401">
        <f>IF(EBSS_CESS!K32&lt;&gt;0,EBSS_CESS!K32,0)</f>
        <v>0</v>
      </c>
      <c r="AA340" s="401">
        <f>IF(EBSS_CESS!L32&lt;&gt;0,EBSS_CESS!L32,0)</f>
        <v>0</v>
      </c>
      <c r="AB340" s="401">
        <f>IF(EBSS_CESS!M32&lt;&gt;0,EBSS_CESS!M32,0)</f>
        <v>0</v>
      </c>
      <c r="AC340" s="401">
        <f>IF(EBSS_CESS!N32&lt;&gt;0,EBSS_CESS!N32,0)</f>
        <v>0</v>
      </c>
      <c r="AD340" s="401">
        <f>IF(EBSS_CESS!O32&lt;&gt;0,EBSS_CESS!O32,0)</f>
        <v>0</v>
      </c>
      <c r="AE340" s="401">
        <f>IF(EBSS_CESS!P32&lt;&gt;0,EBSS_CESS!P32,0)</f>
        <v>0</v>
      </c>
      <c r="AF340" s="401">
        <f>IF(EBSS_CESS!Q32&lt;&gt;0,EBSS_CESS!Q32,0)</f>
        <v>0</v>
      </c>
      <c r="AG340" s="401">
        <f>IF(EBSS_CESS!R32&lt;&gt;0,EBSS_CESS!R32,0)</f>
        <v>0</v>
      </c>
      <c r="AH340" s="401">
        <f>IF(EBSS_CESS!S32&lt;&gt;0,EBSS_CESS!S32,0)</f>
        <v>0</v>
      </c>
      <c r="AI340" s="401">
        <f>IF(EBSS_CESS!T32&lt;&gt;0,EBSS_CESS!T32,0)</f>
        <v>0</v>
      </c>
      <c r="AJ340" s="401">
        <f>IF(EBSS_CESS!U32&lt;&gt;0,EBSS_CESS!U32,0)</f>
        <v>0</v>
      </c>
      <c r="AK340" s="401">
        <f>IF(EBSS_CESS!V32&lt;&gt;0,EBSS_CESS!V32,0)</f>
        <v>0</v>
      </c>
      <c r="AL340" s="401">
        <f>IF(EBSS_CESS!W32&lt;&gt;0,EBSS_CESS!W32,0)</f>
        <v>0</v>
      </c>
      <c r="AM340" s="401">
        <f>IF(EBSS_CESS!X32&lt;&gt;0,EBSS_CESS!X32,0)</f>
        <v>0</v>
      </c>
      <c r="AN340" s="401">
        <f>IF(EBSS_CESS!Y32&lt;&gt;0,EBSS_CESS!Y32,0)</f>
        <v>0</v>
      </c>
      <c r="AO340" s="401">
        <f>IF(EBSS_CESS!Z32&lt;&gt;0,EBSS_CESS!Z32,0)</f>
        <v>0</v>
      </c>
      <c r="AP340" s="401">
        <f>IF(EBSS_CESS!AA32&lt;&gt;0,EBSS_CESS!AA32,0)</f>
        <v>0</v>
      </c>
      <c r="AQ340" s="401">
        <f>IF(EBSS_CESS!AB32&lt;&gt;0,EBSS_CESS!AB32,0)</f>
        <v>0</v>
      </c>
      <c r="AR340" s="401">
        <f>IF(EBSS_CESS!AC32&lt;&gt;0,EBSS_CESS!AC32,0)</f>
        <v>0</v>
      </c>
      <c r="AS340" s="401">
        <f>IF(EBSS_CESS!AD32&lt;&gt;0,EBSS_CESS!AD32,0)</f>
        <v>0</v>
      </c>
      <c r="AT340" s="401">
        <f>IF(EBSS_CESS!AE32&lt;&gt;0,EBSS_CESS!AE32,0)</f>
        <v>0</v>
      </c>
      <c r="AU340" s="401">
        <f>IF(EBSS_CESS!AF32&lt;&gt;0,EBSS_CESS!AF32,0)</f>
        <v>0</v>
      </c>
      <c r="AV340" s="401">
        <f>IF(EBSS_CESS!AG32&lt;&gt;0,EBSS_CESS!AG32,0)</f>
        <v>0</v>
      </c>
      <c r="AW340" s="401">
        <f>IF(EBSS_CESS!AH32&lt;&gt;0,EBSS_CESS!AH32,0)</f>
        <v>0</v>
      </c>
      <c r="AX340" s="401">
        <f>IF(EBSS_CESS!AI32&lt;&gt;0,EBSS_CESS!AI32,0)</f>
        <v>0</v>
      </c>
      <c r="AY340" s="401">
        <f>IF(EBSS_CESS!AJ32&lt;&gt;0,EBSS_CESS!AJ32,0)</f>
        <v>0</v>
      </c>
      <c r="AZ340" s="401">
        <f>IF(EBSS_CESS!AK32&lt;&gt;0,EBSS_CESS!AK32,0)</f>
        <v>0</v>
      </c>
      <c r="BA340" s="401">
        <f>IF(EBSS_CESS!AL32&lt;&gt;0,EBSS_CESS!AL32,0)</f>
        <v>0</v>
      </c>
      <c r="BB340" s="401">
        <f>IF(EBSS_CESS!AM32&lt;&gt;0,EBSS_CESS!AM32,0)</f>
        <v>0</v>
      </c>
      <c r="BC340" s="401">
        <f>IF(EBSS_CESS!AN32&lt;&gt;0,EBSS_CESS!AN32,0)</f>
        <v>0</v>
      </c>
      <c r="BD340" s="401">
        <f>IF(EBSS_CESS!AO32&lt;&gt;0,EBSS_CESS!AO32,0)</f>
        <v>0</v>
      </c>
      <c r="BE340" s="401">
        <f>IF(EBSS_CESS!AP32&lt;&gt;0,EBSS_CESS!AP32,0)</f>
        <v>0</v>
      </c>
      <c r="BF340" s="401">
        <f>IF(EBSS_CESS!AQ32&lt;&gt;0,EBSS_CESS!AQ32,0)</f>
        <v>0</v>
      </c>
      <c r="BG340" s="401">
        <f>IF(EBSS_CESS!AR32&lt;&gt;0,EBSS_CESS!AR32,0)</f>
        <v>0</v>
      </c>
      <c r="BH340" s="401">
        <f>IF(EBSS_CESS!AS32&lt;&gt;0,EBSS_CESS!AS32,0)</f>
        <v>0</v>
      </c>
      <c r="BI340" s="401">
        <f>IF(EBSS_CESS!AT32&lt;&gt;0,EBSS_CESS!AT32,0)</f>
        <v>0</v>
      </c>
      <c r="BJ340" s="401">
        <f>IF(EBSS_CESS!AU32&lt;&gt;0,EBSS_CESS!AU32,0)</f>
        <v>0</v>
      </c>
      <c r="BK340" s="401">
        <f>IF(EBSS_CESS!AV32&lt;&gt;0,EBSS_CESS!AV32,0)</f>
        <v>0</v>
      </c>
      <c r="BL340" s="401">
        <f>IF(EBSS_CESS!AW32&lt;&gt;0,EBSS_CESS!AW32,0)</f>
        <v>0</v>
      </c>
      <c r="BM340" s="401">
        <f>IF(EBSS_CESS!AX32&lt;&gt;0,EBSS_CESS!AX32,0)</f>
        <v>0</v>
      </c>
      <c r="BN340" s="401">
        <f>IF(EBSS_CESS!AY32&lt;&gt;0,EBSS_CESS!AY32,0)</f>
        <v>0</v>
      </c>
      <c r="BO340" s="401">
        <f>IF(EBSS_CESS!AZ32&lt;&gt;0,EBSS_CESS!AZ32,0)</f>
        <v>0</v>
      </c>
      <c r="BP340" s="401">
        <f>IF(EBSS_CESS!BA32&lt;&gt;0,EBSS_CESS!BA32,0)</f>
        <v>0</v>
      </c>
    </row>
    <row r="341" spans="2:68" outlineLevel="1" x14ac:dyDescent="0.2">
      <c r="B341" s="20"/>
      <c r="C341" s="80"/>
      <c r="D341" s="32" t="str">
        <f>$D$264</f>
        <v>Probabilistic cost &amp; benefits</v>
      </c>
      <c r="E341" s="80"/>
      <c r="F341" s="80"/>
      <c r="G341" s="83"/>
      <c r="H341" s="83"/>
      <c r="I341" s="83"/>
      <c r="J341" s="85"/>
      <c r="K341" s="401"/>
      <c r="L341" s="436"/>
      <c r="M341" s="437"/>
      <c r="N341" s="401"/>
      <c r="O341" s="401"/>
      <c r="P341" s="401"/>
      <c r="Q341" s="401"/>
      <c r="R341" s="401"/>
      <c r="S341" s="35"/>
      <c r="T341" s="35"/>
      <c r="U341" s="35"/>
      <c r="V341" s="35"/>
      <c r="W341" s="35"/>
      <c r="X341" s="35"/>
      <c r="Y341" s="35"/>
      <c r="Z341" s="35"/>
      <c r="AA341" s="35"/>
      <c r="AB341" s="35"/>
      <c r="AC341" s="35"/>
      <c r="AD341" s="35"/>
      <c r="AE341" s="35"/>
      <c r="AF341" s="35"/>
      <c r="AG341" s="35"/>
      <c r="AH341" s="35"/>
      <c r="AI341" s="35"/>
      <c r="AJ341" s="35"/>
      <c r="AK341" s="35"/>
      <c r="AL341" s="35"/>
      <c r="AM341" s="35"/>
      <c r="AN341" s="35"/>
      <c r="AO341" s="35"/>
      <c r="AP341" s="35"/>
      <c r="AQ341" s="35"/>
      <c r="AR341" s="35"/>
      <c r="AS341" s="35"/>
      <c r="AT341" s="35"/>
      <c r="AU341" s="35"/>
      <c r="AV341" s="35"/>
      <c r="AW341" s="35"/>
      <c r="AX341" s="35"/>
      <c r="AY341" s="35"/>
      <c r="AZ341" s="35"/>
      <c r="BA341" s="35"/>
      <c r="BB341" s="35"/>
      <c r="BC341" s="35"/>
      <c r="BD341" s="35"/>
      <c r="BE341" s="35"/>
      <c r="BF341" s="35"/>
      <c r="BG341" s="35"/>
      <c r="BH341" s="35"/>
      <c r="BI341" s="35"/>
      <c r="BJ341" s="35"/>
      <c r="BK341" s="35"/>
      <c r="BL341" s="35"/>
      <c r="BM341" s="35"/>
      <c r="BN341" s="35"/>
      <c r="BO341" s="35"/>
      <c r="BP341" s="35"/>
    </row>
    <row r="342" spans="2:68" outlineLevel="1" x14ac:dyDescent="0.2">
      <c r="B342" s="20"/>
      <c r="C342" s="80"/>
      <c r="D342" s="81" t="str">
        <f>$D$265</f>
        <v>Safety risk</v>
      </c>
      <c r="E342" s="80"/>
      <c r="F342" s="80"/>
      <c r="G342" s="477">
        <f>Assumptions!$H$198</f>
        <v>0</v>
      </c>
      <c r="H342" s="477">
        <f>Assumptions!$I$198</f>
        <v>1</v>
      </c>
      <c r="I342" s="83"/>
      <c r="J342" s="85" t="str">
        <f>Assumptions!$K$198</f>
        <v>Safety risk</v>
      </c>
      <c r="K342" s="401">
        <f t="shared" ref="K342:K349" si="482">SUMPRODUCT($R$297:$BP$297,R342:BP342)</f>
        <v>0</v>
      </c>
      <c r="L342" s="436">
        <f t="shared" ref="L342:L349" si="483">SUM(M342:BP342)</f>
        <v>0</v>
      </c>
      <c r="M342" s="457"/>
      <c r="N342" s="455"/>
      <c r="O342" s="455"/>
      <c r="P342" s="455"/>
      <c r="Q342" s="455"/>
      <c r="R342" s="401">
        <f t="shared" ref="R342:AW342" si="484">$G342*R265</f>
        <v>0</v>
      </c>
      <c r="S342" s="401">
        <f t="shared" si="484"/>
        <v>0</v>
      </c>
      <c r="T342" s="401">
        <f t="shared" si="484"/>
        <v>0</v>
      </c>
      <c r="U342" s="401">
        <f t="shared" si="484"/>
        <v>0</v>
      </c>
      <c r="V342" s="401">
        <f t="shared" si="484"/>
        <v>0</v>
      </c>
      <c r="W342" s="401">
        <f t="shared" si="484"/>
        <v>0</v>
      </c>
      <c r="X342" s="401">
        <f t="shared" si="484"/>
        <v>0</v>
      </c>
      <c r="Y342" s="401">
        <f t="shared" si="484"/>
        <v>0</v>
      </c>
      <c r="Z342" s="401">
        <f t="shared" si="484"/>
        <v>0</v>
      </c>
      <c r="AA342" s="401">
        <f t="shared" si="484"/>
        <v>0</v>
      </c>
      <c r="AB342" s="401">
        <f t="shared" si="484"/>
        <v>0</v>
      </c>
      <c r="AC342" s="401">
        <f t="shared" si="484"/>
        <v>0</v>
      </c>
      <c r="AD342" s="401">
        <f t="shared" si="484"/>
        <v>0</v>
      </c>
      <c r="AE342" s="401">
        <f t="shared" si="484"/>
        <v>0</v>
      </c>
      <c r="AF342" s="401">
        <f t="shared" si="484"/>
        <v>0</v>
      </c>
      <c r="AG342" s="401">
        <f t="shared" si="484"/>
        <v>0</v>
      </c>
      <c r="AH342" s="401">
        <f t="shared" si="484"/>
        <v>0</v>
      </c>
      <c r="AI342" s="401">
        <f t="shared" si="484"/>
        <v>0</v>
      </c>
      <c r="AJ342" s="401">
        <f t="shared" si="484"/>
        <v>0</v>
      </c>
      <c r="AK342" s="401">
        <f t="shared" si="484"/>
        <v>0</v>
      </c>
      <c r="AL342" s="401">
        <f t="shared" si="484"/>
        <v>0</v>
      </c>
      <c r="AM342" s="401">
        <f t="shared" si="484"/>
        <v>0</v>
      </c>
      <c r="AN342" s="401">
        <f t="shared" si="484"/>
        <v>0</v>
      </c>
      <c r="AO342" s="401">
        <f t="shared" si="484"/>
        <v>0</v>
      </c>
      <c r="AP342" s="401">
        <f t="shared" si="484"/>
        <v>0</v>
      </c>
      <c r="AQ342" s="401">
        <f t="shared" si="484"/>
        <v>0</v>
      </c>
      <c r="AR342" s="401">
        <f t="shared" si="484"/>
        <v>0</v>
      </c>
      <c r="AS342" s="401">
        <f t="shared" si="484"/>
        <v>0</v>
      </c>
      <c r="AT342" s="401">
        <f t="shared" si="484"/>
        <v>0</v>
      </c>
      <c r="AU342" s="401">
        <f t="shared" si="484"/>
        <v>0</v>
      </c>
      <c r="AV342" s="401">
        <f t="shared" si="484"/>
        <v>0</v>
      </c>
      <c r="AW342" s="401">
        <f t="shared" si="484"/>
        <v>0</v>
      </c>
      <c r="AX342" s="401">
        <f t="shared" ref="AX342:BP342" si="485">$G342*AX265</f>
        <v>0</v>
      </c>
      <c r="AY342" s="401">
        <f t="shared" si="485"/>
        <v>0</v>
      </c>
      <c r="AZ342" s="401">
        <f t="shared" si="485"/>
        <v>0</v>
      </c>
      <c r="BA342" s="401">
        <f t="shared" si="485"/>
        <v>0</v>
      </c>
      <c r="BB342" s="401">
        <f t="shared" si="485"/>
        <v>0</v>
      </c>
      <c r="BC342" s="401">
        <f t="shared" si="485"/>
        <v>0</v>
      </c>
      <c r="BD342" s="401">
        <f t="shared" si="485"/>
        <v>0</v>
      </c>
      <c r="BE342" s="401">
        <f t="shared" si="485"/>
        <v>0</v>
      </c>
      <c r="BF342" s="401">
        <f t="shared" si="485"/>
        <v>0</v>
      </c>
      <c r="BG342" s="401">
        <f t="shared" si="485"/>
        <v>0</v>
      </c>
      <c r="BH342" s="401">
        <f t="shared" si="485"/>
        <v>0</v>
      </c>
      <c r="BI342" s="401">
        <f t="shared" si="485"/>
        <v>0</v>
      </c>
      <c r="BJ342" s="401">
        <f t="shared" si="485"/>
        <v>0</v>
      </c>
      <c r="BK342" s="401">
        <f t="shared" si="485"/>
        <v>0</v>
      </c>
      <c r="BL342" s="401">
        <f t="shared" si="485"/>
        <v>0</v>
      </c>
      <c r="BM342" s="401">
        <f t="shared" si="485"/>
        <v>0</v>
      </c>
      <c r="BN342" s="401">
        <f t="shared" si="485"/>
        <v>0</v>
      </c>
      <c r="BO342" s="401">
        <f t="shared" si="485"/>
        <v>0</v>
      </c>
      <c r="BP342" s="401">
        <f t="shared" si="485"/>
        <v>0</v>
      </c>
    </row>
    <row r="343" spans="2:68" outlineLevel="1" x14ac:dyDescent="0.2">
      <c r="B343" s="20"/>
      <c r="C343" s="80"/>
      <c r="D343" s="81" t="str">
        <f>$D$266</f>
        <v>Fire risk</v>
      </c>
      <c r="E343" s="80"/>
      <c r="F343" s="80"/>
      <c r="G343" s="477">
        <f>Assumptions!$H$199</f>
        <v>0</v>
      </c>
      <c r="H343" s="477">
        <f>Assumptions!$I$199</f>
        <v>1</v>
      </c>
      <c r="I343" s="83"/>
      <c r="J343" s="85" t="str">
        <f>Assumptions!$K$199</f>
        <v>Fire risk</v>
      </c>
      <c r="K343" s="401">
        <f t="shared" si="482"/>
        <v>0</v>
      </c>
      <c r="L343" s="436">
        <f t="shared" si="483"/>
        <v>0</v>
      </c>
      <c r="M343" s="457"/>
      <c r="N343" s="455"/>
      <c r="O343" s="455"/>
      <c r="P343" s="455"/>
      <c r="Q343" s="455"/>
      <c r="R343" s="401">
        <f t="shared" ref="R343:AW343" si="486">$G343*R266</f>
        <v>0</v>
      </c>
      <c r="S343" s="401">
        <f t="shared" si="486"/>
        <v>0</v>
      </c>
      <c r="T343" s="401">
        <f t="shared" si="486"/>
        <v>0</v>
      </c>
      <c r="U343" s="401">
        <f t="shared" si="486"/>
        <v>0</v>
      </c>
      <c r="V343" s="401">
        <f t="shared" si="486"/>
        <v>0</v>
      </c>
      <c r="W343" s="401">
        <f t="shared" si="486"/>
        <v>0</v>
      </c>
      <c r="X343" s="401">
        <f t="shared" si="486"/>
        <v>0</v>
      </c>
      <c r="Y343" s="401">
        <f t="shared" si="486"/>
        <v>0</v>
      </c>
      <c r="Z343" s="401">
        <f t="shared" si="486"/>
        <v>0</v>
      </c>
      <c r="AA343" s="401">
        <f t="shared" si="486"/>
        <v>0</v>
      </c>
      <c r="AB343" s="401">
        <f t="shared" si="486"/>
        <v>0</v>
      </c>
      <c r="AC343" s="401">
        <f t="shared" si="486"/>
        <v>0</v>
      </c>
      <c r="AD343" s="401">
        <f t="shared" si="486"/>
        <v>0</v>
      </c>
      <c r="AE343" s="401">
        <f t="shared" si="486"/>
        <v>0</v>
      </c>
      <c r="AF343" s="401">
        <f t="shared" si="486"/>
        <v>0</v>
      </c>
      <c r="AG343" s="401">
        <f t="shared" si="486"/>
        <v>0</v>
      </c>
      <c r="AH343" s="401">
        <f t="shared" si="486"/>
        <v>0</v>
      </c>
      <c r="AI343" s="401">
        <f t="shared" si="486"/>
        <v>0</v>
      </c>
      <c r="AJ343" s="401">
        <f t="shared" si="486"/>
        <v>0</v>
      </c>
      <c r="AK343" s="401">
        <f t="shared" si="486"/>
        <v>0</v>
      </c>
      <c r="AL343" s="401">
        <f t="shared" si="486"/>
        <v>0</v>
      </c>
      <c r="AM343" s="401">
        <f t="shared" si="486"/>
        <v>0</v>
      </c>
      <c r="AN343" s="401">
        <f t="shared" si="486"/>
        <v>0</v>
      </c>
      <c r="AO343" s="401">
        <f t="shared" si="486"/>
        <v>0</v>
      </c>
      <c r="AP343" s="401">
        <f t="shared" si="486"/>
        <v>0</v>
      </c>
      <c r="AQ343" s="401">
        <f t="shared" si="486"/>
        <v>0</v>
      </c>
      <c r="AR343" s="401">
        <f t="shared" si="486"/>
        <v>0</v>
      </c>
      <c r="AS343" s="401">
        <f t="shared" si="486"/>
        <v>0</v>
      </c>
      <c r="AT343" s="401">
        <f t="shared" si="486"/>
        <v>0</v>
      </c>
      <c r="AU343" s="401">
        <f t="shared" si="486"/>
        <v>0</v>
      </c>
      <c r="AV343" s="401">
        <f t="shared" si="486"/>
        <v>0</v>
      </c>
      <c r="AW343" s="401">
        <f t="shared" si="486"/>
        <v>0</v>
      </c>
      <c r="AX343" s="401">
        <f t="shared" ref="AX343:BP343" si="487">$G343*AX266</f>
        <v>0</v>
      </c>
      <c r="AY343" s="401">
        <f t="shared" si="487"/>
        <v>0</v>
      </c>
      <c r="AZ343" s="401">
        <f t="shared" si="487"/>
        <v>0</v>
      </c>
      <c r="BA343" s="401">
        <f t="shared" si="487"/>
        <v>0</v>
      </c>
      <c r="BB343" s="401">
        <f t="shared" si="487"/>
        <v>0</v>
      </c>
      <c r="BC343" s="401">
        <f t="shared" si="487"/>
        <v>0</v>
      </c>
      <c r="BD343" s="401">
        <f t="shared" si="487"/>
        <v>0</v>
      </c>
      <c r="BE343" s="401">
        <f t="shared" si="487"/>
        <v>0</v>
      </c>
      <c r="BF343" s="401">
        <f t="shared" si="487"/>
        <v>0</v>
      </c>
      <c r="BG343" s="401">
        <f t="shared" si="487"/>
        <v>0</v>
      </c>
      <c r="BH343" s="401">
        <f t="shared" si="487"/>
        <v>0</v>
      </c>
      <c r="BI343" s="401">
        <f t="shared" si="487"/>
        <v>0</v>
      </c>
      <c r="BJ343" s="401">
        <f t="shared" si="487"/>
        <v>0</v>
      </c>
      <c r="BK343" s="401">
        <f t="shared" si="487"/>
        <v>0</v>
      </c>
      <c r="BL343" s="401">
        <f t="shared" si="487"/>
        <v>0</v>
      </c>
      <c r="BM343" s="401">
        <f t="shared" si="487"/>
        <v>0</v>
      </c>
      <c r="BN343" s="401">
        <f t="shared" si="487"/>
        <v>0</v>
      </c>
      <c r="BO343" s="401">
        <f t="shared" si="487"/>
        <v>0</v>
      </c>
      <c r="BP343" s="401">
        <f t="shared" si="487"/>
        <v>0</v>
      </c>
    </row>
    <row r="344" spans="2:68" outlineLevel="1" x14ac:dyDescent="0.2">
      <c r="B344" s="20"/>
      <c r="C344" s="80"/>
      <c r="D344" s="81" t="str">
        <f>$D$267</f>
        <v>Environment risk</v>
      </c>
      <c r="E344" s="80"/>
      <c r="F344" s="80"/>
      <c r="G344" s="477">
        <f>Assumptions!$H$200</f>
        <v>0</v>
      </c>
      <c r="H344" s="477">
        <f>Assumptions!$I$200</f>
        <v>1</v>
      </c>
      <c r="I344" s="83"/>
      <c r="J344" s="85" t="str">
        <f>Assumptions!$K$200</f>
        <v>Environment risk</v>
      </c>
      <c r="K344" s="401">
        <f t="shared" si="482"/>
        <v>0</v>
      </c>
      <c r="L344" s="436">
        <f t="shared" si="483"/>
        <v>0</v>
      </c>
      <c r="M344" s="457"/>
      <c r="N344" s="455"/>
      <c r="O344" s="455"/>
      <c r="P344" s="455"/>
      <c r="Q344" s="455"/>
      <c r="R344" s="401">
        <f t="shared" ref="R344:AW344" si="488">$G344*R267</f>
        <v>0</v>
      </c>
      <c r="S344" s="401">
        <f t="shared" si="488"/>
        <v>0</v>
      </c>
      <c r="T344" s="401">
        <f t="shared" si="488"/>
        <v>0</v>
      </c>
      <c r="U344" s="401">
        <f t="shared" si="488"/>
        <v>0</v>
      </c>
      <c r="V344" s="401">
        <f t="shared" si="488"/>
        <v>0</v>
      </c>
      <c r="W344" s="401">
        <f t="shared" si="488"/>
        <v>0</v>
      </c>
      <c r="X344" s="401">
        <f t="shared" si="488"/>
        <v>0</v>
      </c>
      <c r="Y344" s="401">
        <f t="shared" si="488"/>
        <v>0</v>
      </c>
      <c r="Z344" s="401">
        <f t="shared" si="488"/>
        <v>0</v>
      </c>
      <c r="AA344" s="401">
        <f t="shared" si="488"/>
        <v>0</v>
      </c>
      <c r="AB344" s="401">
        <f t="shared" si="488"/>
        <v>0</v>
      </c>
      <c r="AC344" s="401">
        <f t="shared" si="488"/>
        <v>0</v>
      </c>
      <c r="AD344" s="401">
        <f t="shared" si="488"/>
        <v>0</v>
      </c>
      <c r="AE344" s="401">
        <f t="shared" si="488"/>
        <v>0</v>
      </c>
      <c r="AF344" s="401">
        <f t="shared" si="488"/>
        <v>0</v>
      </c>
      <c r="AG344" s="401">
        <f t="shared" si="488"/>
        <v>0</v>
      </c>
      <c r="AH344" s="401">
        <f t="shared" si="488"/>
        <v>0</v>
      </c>
      <c r="AI344" s="401">
        <f t="shared" si="488"/>
        <v>0</v>
      </c>
      <c r="AJ344" s="401">
        <f t="shared" si="488"/>
        <v>0</v>
      </c>
      <c r="AK344" s="401">
        <f t="shared" si="488"/>
        <v>0</v>
      </c>
      <c r="AL344" s="401">
        <f t="shared" si="488"/>
        <v>0</v>
      </c>
      <c r="AM344" s="401">
        <f t="shared" si="488"/>
        <v>0</v>
      </c>
      <c r="AN344" s="401">
        <f t="shared" si="488"/>
        <v>0</v>
      </c>
      <c r="AO344" s="401">
        <f t="shared" si="488"/>
        <v>0</v>
      </c>
      <c r="AP344" s="401">
        <f t="shared" si="488"/>
        <v>0</v>
      </c>
      <c r="AQ344" s="401">
        <f t="shared" si="488"/>
        <v>0</v>
      </c>
      <c r="AR344" s="401">
        <f t="shared" si="488"/>
        <v>0</v>
      </c>
      <c r="AS344" s="401">
        <f t="shared" si="488"/>
        <v>0</v>
      </c>
      <c r="AT344" s="401">
        <f t="shared" si="488"/>
        <v>0</v>
      </c>
      <c r="AU344" s="401">
        <f t="shared" si="488"/>
        <v>0</v>
      </c>
      <c r="AV344" s="401">
        <f t="shared" si="488"/>
        <v>0</v>
      </c>
      <c r="AW344" s="401">
        <f t="shared" si="488"/>
        <v>0</v>
      </c>
      <c r="AX344" s="401">
        <f t="shared" ref="AX344:BP344" si="489">$G344*AX267</f>
        <v>0</v>
      </c>
      <c r="AY344" s="401">
        <f t="shared" si="489"/>
        <v>0</v>
      </c>
      <c r="AZ344" s="401">
        <f t="shared" si="489"/>
        <v>0</v>
      </c>
      <c r="BA344" s="401">
        <f t="shared" si="489"/>
        <v>0</v>
      </c>
      <c r="BB344" s="401">
        <f t="shared" si="489"/>
        <v>0</v>
      </c>
      <c r="BC344" s="401">
        <f t="shared" si="489"/>
        <v>0</v>
      </c>
      <c r="BD344" s="401">
        <f t="shared" si="489"/>
        <v>0</v>
      </c>
      <c r="BE344" s="401">
        <f t="shared" si="489"/>
        <v>0</v>
      </c>
      <c r="BF344" s="401">
        <f t="shared" si="489"/>
        <v>0</v>
      </c>
      <c r="BG344" s="401">
        <f t="shared" si="489"/>
        <v>0</v>
      </c>
      <c r="BH344" s="401">
        <f t="shared" si="489"/>
        <v>0</v>
      </c>
      <c r="BI344" s="401">
        <f t="shared" si="489"/>
        <v>0</v>
      </c>
      <c r="BJ344" s="401">
        <f t="shared" si="489"/>
        <v>0</v>
      </c>
      <c r="BK344" s="401">
        <f t="shared" si="489"/>
        <v>0</v>
      </c>
      <c r="BL344" s="401">
        <f t="shared" si="489"/>
        <v>0</v>
      </c>
      <c r="BM344" s="401">
        <f t="shared" si="489"/>
        <v>0</v>
      </c>
      <c r="BN344" s="401">
        <f t="shared" si="489"/>
        <v>0</v>
      </c>
      <c r="BO344" s="401">
        <f t="shared" si="489"/>
        <v>0</v>
      </c>
      <c r="BP344" s="401">
        <f t="shared" si="489"/>
        <v>0</v>
      </c>
    </row>
    <row r="345" spans="2:68" outlineLevel="1" x14ac:dyDescent="0.2">
      <c r="B345" s="20"/>
      <c r="C345" s="80"/>
      <c r="D345" s="81" t="str">
        <f>$D$268</f>
        <v>Network asset failure EUE</v>
      </c>
      <c r="E345" s="80"/>
      <c r="F345" s="80"/>
      <c r="G345" s="477">
        <f>Assumptions!$H$201</f>
        <v>0</v>
      </c>
      <c r="H345" s="477">
        <f>Assumptions!$I$201</f>
        <v>1</v>
      </c>
      <c r="I345" s="83"/>
      <c r="J345" s="85" t="str">
        <f>Assumptions!$K$201</f>
        <v>Network asset failure EUE</v>
      </c>
      <c r="K345" s="401">
        <f t="shared" si="482"/>
        <v>0</v>
      </c>
      <c r="L345" s="436">
        <f t="shared" si="483"/>
        <v>0</v>
      </c>
      <c r="M345" s="457"/>
      <c r="N345" s="455"/>
      <c r="O345" s="455"/>
      <c r="P345" s="455"/>
      <c r="Q345" s="455"/>
      <c r="R345" s="401">
        <f t="shared" ref="R345:AW345" si="490">$G345*R268</f>
        <v>0</v>
      </c>
      <c r="S345" s="401">
        <f t="shared" si="490"/>
        <v>0</v>
      </c>
      <c r="T345" s="401">
        <f t="shared" si="490"/>
        <v>0</v>
      </c>
      <c r="U345" s="401">
        <f t="shared" si="490"/>
        <v>0</v>
      </c>
      <c r="V345" s="401">
        <f t="shared" si="490"/>
        <v>0</v>
      </c>
      <c r="W345" s="401">
        <f t="shared" si="490"/>
        <v>0</v>
      </c>
      <c r="X345" s="401">
        <f t="shared" si="490"/>
        <v>0</v>
      </c>
      <c r="Y345" s="401">
        <f t="shared" si="490"/>
        <v>0</v>
      </c>
      <c r="Z345" s="401">
        <f t="shared" si="490"/>
        <v>0</v>
      </c>
      <c r="AA345" s="401">
        <f t="shared" si="490"/>
        <v>0</v>
      </c>
      <c r="AB345" s="401">
        <f t="shared" si="490"/>
        <v>0</v>
      </c>
      <c r="AC345" s="401">
        <f t="shared" si="490"/>
        <v>0</v>
      </c>
      <c r="AD345" s="401">
        <f t="shared" si="490"/>
        <v>0</v>
      </c>
      <c r="AE345" s="401">
        <f t="shared" si="490"/>
        <v>0</v>
      </c>
      <c r="AF345" s="401">
        <f t="shared" si="490"/>
        <v>0</v>
      </c>
      <c r="AG345" s="401">
        <f t="shared" si="490"/>
        <v>0</v>
      </c>
      <c r="AH345" s="401">
        <f t="shared" si="490"/>
        <v>0</v>
      </c>
      <c r="AI345" s="401">
        <f t="shared" si="490"/>
        <v>0</v>
      </c>
      <c r="AJ345" s="401">
        <f t="shared" si="490"/>
        <v>0</v>
      </c>
      <c r="AK345" s="401">
        <f t="shared" si="490"/>
        <v>0</v>
      </c>
      <c r="AL345" s="401">
        <f t="shared" si="490"/>
        <v>0</v>
      </c>
      <c r="AM345" s="401">
        <f t="shared" si="490"/>
        <v>0</v>
      </c>
      <c r="AN345" s="401">
        <f t="shared" si="490"/>
        <v>0</v>
      </c>
      <c r="AO345" s="401">
        <f t="shared" si="490"/>
        <v>0</v>
      </c>
      <c r="AP345" s="401">
        <f t="shared" si="490"/>
        <v>0</v>
      </c>
      <c r="AQ345" s="401">
        <f t="shared" si="490"/>
        <v>0</v>
      </c>
      <c r="AR345" s="401">
        <f t="shared" si="490"/>
        <v>0</v>
      </c>
      <c r="AS345" s="401">
        <f t="shared" si="490"/>
        <v>0</v>
      </c>
      <c r="AT345" s="401">
        <f t="shared" si="490"/>
        <v>0</v>
      </c>
      <c r="AU345" s="401">
        <f t="shared" si="490"/>
        <v>0</v>
      </c>
      <c r="AV345" s="401">
        <f t="shared" si="490"/>
        <v>0</v>
      </c>
      <c r="AW345" s="401">
        <f t="shared" si="490"/>
        <v>0</v>
      </c>
      <c r="AX345" s="401">
        <f t="shared" ref="AX345:BP345" si="491">$G345*AX268</f>
        <v>0</v>
      </c>
      <c r="AY345" s="401">
        <f t="shared" si="491"/>
        <v>0</v>
      </c>
      <c r="AZ345" s="401">
        <f t="shared" si="491"/>
        <v>0</v>
      </c>
      <c r="BA345" s="401">
        <f t="shared" si="491"/>
        <v>0</v>
      </c>
      <c r="BB345" s="401">
        <f t="shared" si="491"/>
        <v>0</v>
      </c>
      <c r="BC345" s="401">
        <f t="shared" si="491"/>
        <v>0</v>
      </c>
      <c r="BD345" s="401">
        <f t="shared" si="491"/>
        <v>0</v>
      </c>
      <c r="BE345" s="401">
        <f t="shared" si="491"/>
        <v>0</v>
      </c>
      <c r="BF345" s="401">
        <f t="shared" si="491"/>
        <v>0</v>
      </c>
      <c r="BG345" s="401">
        <f t="shared" si="491"/>
        <v>0</v>
      </c>
      <c r="BH345" s="401">
        <f t="shared" si="491"/>
        <v>0</v>
      </c>
      <c r="BI345" s="401">
        <f t="shared" si="491"/>
        <v>0</v>
      </c>
      <c r="BJ345" s="401">
        <f t="shared" si="491"/>
        <v>0</v>
      </c>
      <c r="BK345" s="401">
        <f t="shared" si="491"/>
        <v>0</v>
      </c>
      <c r="BL345" s="401">
        <f t="shared" si="491"/>
        <v>0</v>
      </c>
      <c r="BM345" s="401">
        <f t="shared" si="491"/>
        <v>0</v>
      </c>
      <c r="BN345" s="401">
        <f t="shared" si="491"/>
        <v>0</v>
      </c>
      <c r="BO345" s="401">
        <f t="shared" si="491"/>
        <v>0</v>
      </c>
      <c r="BP345" s="401">
        <f t="shared" si="491"/>
        <v>0</v>
      </c>
    </row>
    <row r="346" spans="2:68" outlineLevel="1" x14ac:dyDescent="0.2">
      <c r="B346" s="20"/>
      <c r="C346" s="80"/>
      <c r="D346" s="81" t="str">
        <f>$D$269</f>
        <v>Reactive replacement cost</v>
      </c>
      <c r="E346" s="80"/>
      <c r="F346" s="80"/>
      <c r="G346" s="477">
        <f>Assumptions!$H$202</f>
        <v>0</v>
      </c>
      <c r="H346" s="477">
        <f>Assumptions!$I$202</f>
        <v>1</v>
      </c>
      <c r="I346" s="83"/>
      <c r="J346" s="85" t="str">
        <f>Assumptions!$K$202</f>
        <v>Reactive replacement cost</v>
      </c>
      <c r="K346" s="401">
        <f t="shared" si="482"/>
        <v>0</v>
      </c>
      <c r="L346" s="436">
        <f t="shared" si="483"/>
        <v>0</v>
      </c>
      <c r="M346" s="457"/>
      <c r="N346" s="455"/>
      <c r="O346" s="455"/>
      <c r="P346" s="455"/>
      <c r="Q346" s="455"/>
      <c r="R346" s="401">
        <f t="shared" ref="R346:AW346" si="492">$G346*R269</f>
        <v>0</v>
      </c>
      <c r="S346" s="401">
        <f t="shared" si="492"/>
        <v>0</v>
      </c>
      <c r="T346" s="401">
        <f t="shared" si="492"/>
        <v>0</v>
      </c>
      <c r="U346" s="401">
        <f t="shared" si="492"/>
        <v>0</v>
      </c>
      <c r="V346" s="401">
        <f t="shared" si="492"/>
        <v>0</v>
      </c>
      <c r="W346" s="401">
        <f t="shared" si="492"/>
        <v>0</v>
      </c>
      <c r="X346" s="401">
        <f t="shared" si="492"/>
        <v>0</v>
      </c>
      <c r="Y346" s="401">
        <f t="shared" si="492"/>
        <v>0</v>
      </c>
      <c r="Z346" s="401">
        <f t="shared" si="492"/>
        <v>0</v>
      </c>
      <c r="AA346" s="401">
        <f t="shared" si="492"/>
        <v>0</v>
      </c>
      <c r="AB346" s="401">
        <f t="shared" si="492"/>
        <v>0</v>
      </c>
      <c r="AC346" s="401">
        <f t="shared" si="492"/>
        <v>0</v>
      </c>
      <c r="AD346" s="401">
        <f t="shared" si="492"/>
        <v>0</v>
      </c>
      <c r="AE346" s="401">
        <f t="shared" si="492"/>
        <v>0</v>
      </c>
      <c r="AF346" s="401">
        <f t="shared" si="492"/>
        <v>0</v>
      </c>
      <c r="AG346" s="401">
        <f t="shared" si="492"/>
        <v>0</v>
      </c>
      <c r="AH346" s="401">
        <f t="shared" si="492"/>
        <v>0</v>
      </c>
      <c r="AI346" s="401">
        <f t="shared" si="492"/>
        <v>0</v>
      </c>
      <c r="AJ346" s="401">
        <f t="shared" si="492"/>
        <v>0</v>
      </c>
      <c r="AK346" s="401">
        <f t="shared" si="492"/>
        <v>0</v>
      </c>
      <c r="AL346" s="401">
        <f t="shared" si="492"/>
        <v>0</v>
      </c>
      <c r="AM346" s="401">
        <f t="shared" si="492"/>
        <v>0</v>
      </c>
      <c r="AN346" s="401">
        <f t="shared" si="492"/>
        <v>0</v>
      </c>
      <c r="AO346" s="401">
        <f t="shared" si="492"/>
        <v>0</v>
      </c>
      <c r="AP346" s="401">
        <f t="shared" si="492"/>
        <v>0</v>
      </c>
      <c r="AQ346" s="401">
        <f t="shared" si="492"/>
        <v>0</v>
      </c>
      <c r="AR346" s="401">
        <f t="shared" si="492"/>
        <v>0</v>
      </c>
      <c r="AS346" s="401">
        <f t="shared" si="492"/>
        <v>0</v>
      </c>
      <c r="AT346" s="401">
        <f t="shared" si="492"/>
        <v>0</v>
      </c>
      <c r="AU346" s="401">
        <f t="shared" si="492"/>
        <v>0</v>
      </c>
      <c r="AV346" s="401">
        <f t="shared" si="492"/>
        <v>0</v>
      </c>
      <c r="AW346" s="401">
        <f t="shared" si="492"/>
        <v>0</v>
      </c>
      <c r="AX346" s="401">
        <f t="shared" ref="AX346:BP346" si="493">$G346*AX269</f>
        <v>0</v>
      </c>
      <c r="AY346" s="401">
        <f t="shared" si="493"/>
        <v>0</v>
      </c>
      <c r="AZ346" s="401">
        <f t="shared" si="493"/>
        <v>0</v>
      </c>
      <c r="BA346" s="401">
        <f t="shared" si="493"/>
        <v>0</v>
      </c>
      <c r="BB346" s="401">
        <f t="shared" si="493"/>
        <v>0</v>
      </c>
      <c r="BC346" s="401">
        <f t="shared" si="493"/>
        <v>0</v>
      </c>
      <c r="BD346" s="401">
        <f t="shared" si="493"/>
        <v>0</v>
      </c>
      <c r="BE346" s="401">
        <f t="shared" si="493"/>
        <v>0</v>
      </c>
      <c r="BF346" s="401">
        <f t="shared" si="493"/>
        <v>0</v>
      </c>
      <c r="BG346" s="401">
        <f t="shared" si="493"/>
        <v>0</v>
      </c>
      <c r="BH346" s="401">
        <f t="shared" si="493"/>
        <v>0</v>
      </c>
      <c r="BI346" s="401">
        <f t="shared" si="493"/>
        <v>0</v>
      </c>
      <c r="BJ346" s="401">
        <f t="shared" si="493"/>
        <v>0</v>
      </c>
      <c r="BK346" s="401">
        <f t="shared" si="493"/>
        <v>0</v>
      </c>
      <c r="BL346" s="401">
        <f t="shared" si="493"/>
        <v>0</v>
      </c>
      <c r="BM346" s="401">
        <f t="shared" si="493"/>
        <v>0</v>
      </c>
      <c r="BN346" s="401">
        <f t="shared" si="493"/>
        <v>0</v>
      </c>
      <c r="BO346" s="401">
        <f t="shared" si="493"/>
        <v>0</v>
      </c>
      <c r="BP346" s="401">
        <f t="shared" si="493"/>
        <v>0</v>
      </c>
    </row>
    <row r="347" spans="2:68" outlineLevel="1" x14ac:dyDescent="0.2">
      <c r="B347" s="20"/>
      <c r="C347" s="80"/>
      <c r="D347" s="81" t="str">
        <f>$D$270</f>
        <v>3rd party property damage risk</v>
      </c>
      <c r="E347" s="80"/>
      <c r="F347" s="80"/>
      <c r="G347" s="477">
        <f>Assumptions!$H$203</f>
        <v>1</v>
      </c>
      <c r="H347" s="477">
        <f>Assumptions!$I$203</f>
        <v>0</v>
      </c>
      <c r="I347" s="83"/>
      <c r="J347" s="85" t="str">
        <f>Assumptions!$K$203</f>
        <v>3rd party property damage risk</v>
      </c>
      <c r="K347" s="401">
        <f t="shared" si="482"/>
        <v>0</v>
      </c>
      <c r="L347" s="436">
        <f t="shared" si="483"/>
        <v>0</v>
      </c>
      <c r="M347" s="457"/>
      <c r="N347" s="455"/>
      <c r="O347" s="455"/>
      <c r="P347" s="455"/>
      <c r="Q347" s="455"/>
      <c r="R347" s="401">
        <f t="shared" ref="R347:AW347" si="494">$G347*R270</f>
        <v>0</v>
      </c>
      <c r="S347" s="401">
        <f t="shared" si="494"/>
        <v>0</v>
      </c>
      <c r="T347" s="401">
        <f t="shared" si="494"/>
        <v>0</v>
      </c>
      <c r="U347" s="401">
        <f t="shared" si="494"/>
        <v>0</v>
      </c>
      <c r="V347" s="401">
        <f t="shared" si="494"/>
        <v>0</v>
      </c>
      <c r="W347" s="401">
        <f t="shared" si="494"/>
        <v>0</v>
      </c>
      <c r="X347" s="401">
        <f t="shared" si="494"/>
        <v>0</v>
      </c>
      <c r="Y347" s="401">
        <f t="shared" si="494"/>
        <v>0</v>
      </c>
      <c r="Z347" s="401">
        <f t="shared" si="494"/>
        <v>0</v>
      </c>
      <c r="AA347" s="401">
        <f t="shared" si="494"/>
        <v>0</v>
      </c>
      <c r="AB347" s="401">
        <f t="shared" si="494"/>
        <v>0</v>
      </c>
      <c r="AC347" s="401">
        <f t="shared" si="494"/>
        <v>0</v>
      </c>
      <c r="AD347" s="401">
        <f t="shared" si="494"/>
        <v>0</v>
      </c>
      <c r="AE347" s="401">
        <f t="shared" si="494"/>
        <v>0</v>
      </c>
      <c r="AF347" s="401">
        <f t="shared" si="494"/>
        <v>0</v>
      </c>
      <c r="AG347" s="401">
        <f t="shared" si="494"/>
        <v>0</v>
      </c>
      <c r="AH347" s="401">
        <f t="shared" si="494"/>
        <v>0</v>
      </c>
      <c r="AI347" s="401">
        <f t="shared" si="494"/>
        <v>0</v>
      </c>
      <c r="AJ347" s="401">
        <f t="shared" si="494"/>
        <v>0</v>
      </c>
      <c r="AK347" s="401">
        <f t="shared" si="494"/>
        <v>0</v>
      </c>
      <c r="AL347" s="401">
        <f t="shared" si="494"/>
        <v>0</v>
      </c>
      <c r="AM347" s="401">
        <f t="shared" si="494"/>
        <v>0</v>
      </c>
      <c r="AN347" s="401">
        <f t="shared" si="494"/>
        <v>0</v>
      </c>
      <c r="AO347" s="401">
        <f t="shared" si="494"/>
        <v>0</v>
      </c>
      <c r="AP347" s="401">
        <f t="shared" si="494"/>
        <v>0</v>
      </c>
      <c r="AQ347" s="401">
        <f t="shared" si="494"/>
        <v>0</v>
      </c>
      <c r="AR347" s="401">
        <f t="shared" si="494"/>
        <v>0</v>
      </c>
      <c r="AS347" s="401">
        <f t="shared" si="494"/>
        <v>0</v>
      </c>
      <c r="AT347" s="401">
        <f t="shared" si="494"/>
        <v>0</v>
      </c>
      <c r="AU347" s="401">
        <f t="shared" si="494"/>
        <v>0</v>
      </c>
      <c r="AV347" s="401">
        <f t="shared" si="494"/>
        <v>0</v>
      </c>
      <c r="AW347" s="401">
        <f t="shared" si="494"/>
        <v>0</v>
      </c>
      <c r="AX347" s="401">
        <f t="shared" ref="AX347:BP347" si="495">$G347*AX270</f>
        <v>0</v>
      </c>
      <c r="AY347" s="401">
        <f t="shared" si="495"/>
        <v>0</v>
      </c>
      <c r="AZ347" s="401">
        <f t="shared" si="495"/>
        <v>0</v>
      </c>
      <c r="BA347" s="401">
        <f t="shared" si="495"/>
        <v>0</v>
      </c>
      <c r="BB347" s="401">
        <f t="shared" si="495"/>
        <v>0</v>
      </c>
      <c r="BC347" s="401">
        <f t="shared" si="495"/>
        <v>0</v>
      </c>
      <c r="BD347" s="401">
        <f t="shared" si="495"/>
        <v>0</v>
      </c>
      <c r="BE347" s="401">
        <f t="shared" si="495"/>
        <v>0</v>
      </c>
      <c r="BF347" s="401">
        <f t="shared" si="495"/>
        <v>0</v>
      </c>
      <c r="BG347" s="401">
        <f t="shared" si="495"/>
        <v>0</v>
      </c>
      <c r="BH347" s="401">
        <f t="shared" si="495"/>
        <v>0</v>
      </c>
      <c r="BI347" s="401">
        <f t="shared" si="495"/>
        <v>0</v>
      </c>
      <c r="BJ347" s="401">
        <f t="shared" si="495"/>
        <v>0</v>
      </c>
      <c r="BK347" s="401">
        <f t="shared" si="495"/>
        <v>0</v>
      </c>
      <c r="BL347" s="401">
        <f t="shared" si="495"/>
        <v>0</v>
      </c>
      <c r="BM347" s="401">
        <f t="shared" si="495"/>
        <v>0</v>
      </c>
      <c r="BN347" s="401">
        <f t="shared" si="495"/>
        <v>0</v>
      </c>
      <c r="BO347" s="401">
        <f t="shared" si="495"/>
        <v>0</v>
      </c>
      <c r="BP347" s="401">
        <f t="shared" si="495"/>
        <v>0</v>
      </c>
    </row>
    <row r="348" spans="2:68" outlineLevel="1" x14ac:dyDescent="0.2">
      <c r="B348" s="20"/>
      <c r="C348" s="80"/>
      <c r="D348" s="81" t="str">
        <f>$D$271</f>
        <v>Construction EUE risk</v>
      </c>
      <c r="E348" s="80"/>
      <c r="F348" s="80"/>
      <c r="G348" s="477">
        <f>Assumptions!$H$204</f>
        <v>0</v>
      </c>
      <c r="H348" s="477">
        <f>Assumptions!$I$204</f>
        <v>1</v>
      </c>
      <c r="I348" s="83"/>
      <c r="J348" s="85" t="str">
        <f>Assumptions!$K$204</f>
        <v>Construction EUE risk</v>
      </c>
      <c r="K348" s="401">
        <f t="shared" si="482"/>
        <v>0</v>
      </c>
      <c r="L348" s="436">
        <f t="shared" si="483"/>
        <v>0</v>
      </c>
      <c r="M348" s="457"/>
      <c r="N348" s="455"/>
      <c r="O348" s="455"/>
      <c r="P348" s="455"/>
      <c r="Q348" s="455"/>
      <c r="R348" s="401">
        <f t="shared" ref="R348:AW348" si="496">$G348*R271</f>
        <v>0</v>
      </c>
      <c r="S348" s="401">
        <f t="shared" si="496"/>
        <v>0</v>
      </c>
      <c r="T348" s="401">
        <f t="shared" si="496"/>
        <v>0</v>
      </c>
      <c r="U348" s="401">
        <f t="shared" si="496"/>
        <v>0</v>
      </c>
      <c r="V348" s="401">
        <f t="shared" si="496"/>
        <v>0</v>
      </c>
      <c r="W348" s="401">
        <f t="shared" si="496"/>
        <v>0</v>
      </c>
      <c r="X348" s="401">
        <f t="shared" si="496"/>
        <v>0</v>
      </c>
      <c r="Y348" s="401">
        <f t="shared" si="496"/>
        <v>0</v>
      </c>
      <c r="Z348" s="401">
        <f t="shared" si="496"/>
        <v>0</v>
      </c>
      <c r="AA348" s="401">
        <f t="shared" si="496"/>
        <v>0</v>
      </c>
      <c r="AB348" s="401">
        <f t="shared" si="496"/>
        <v>0</v>
      </c>
      <c r="AC348" s="401">
        <f t="shared" si="496"/>
        <v>0</v>
      </c>
      <c r="AD348" s="401">
        <f t="shared" si="496"/>
        <v>0</v>
      </c>
      <c r="AE348" s="401">
        <f t="shared" si="496"/>
        <v>0</v>
      </c>
      <c r="AF348" s="401">
        <f t="shared" si="496"/>
        <v>0</v>
      </c>
      <c r="AG348" s="401">
        <f t="shared" si="496"/>
        <v>0</v>
      </c>
      <c r="AH348" s="401">
        <f t="shared" si="496"/>
        <v>0</v>
      </c>
      <c r="AI348" s="401">
        <f t="shared" si="496"/>
        <v>0</v>
      </c>
      <c r="AJ348" s="401">
        <f t="shared" si="496"/>
        <v>0</v>
      </c>
      <c r="AK348" s="401">
        <f t="shared" si="496"/>
        <v>0</v>
      </c>
      <c r="AL348" s="401">
        <f t="shared" si="496"/>
        <v>0</v>
      </c>
      <c r="AM348" s="401">
        <f t="shared" si="496"/>
        <v>0</v>
      </c>
      <c r="AN348" s="401">
        <f t="shared" si="496"/>
        <v>0</v>
      </c>
      <c r="AO348" s="401">
        <f t="shared" si="496"/>
        <v>0</v>
      </c>
      <c r="AP348" s="401">
        <f t="shared" si="496"/>
        <v>0</v>
      </c>
      <c r="AQ348" s="401">
        <f t="shared" si="496"/>
        <v>0</v>
      </c>
      <c r="AR348" s="401">
        <f t="shared" si="496"/>
        <v>0</v>
      </c>
      <c r="AS348" s="401">
        <f t="shared" si="496"/>
        <v>0</v>
      </c>
      <c r="AT348" s="401">
        <f t="shared" si="496"/>
        <v>0</v>
      </c>
      <c r="AU348" s="401">
        <f t="shared" si="496"/>
        <v>0</v>
      </c>
      <c r="AV348" s="401">
        <f t="shared" si="496"/>
        <v>0</v>
      </c>
      <c r="AW348" s="401">
        <f t="shared" si="496"/>
        <v>0</v>
      </c>
      <c r="AX348" s="401">
        <f t="shared" ref="AX348:BP348" si="497">$G348*AX271</f>
        <v>0</v>
      </c>
      <c r="AY348" s="401">
        <f t="shared" si="497"/>
        <v>0</v>
      </c>
      <c r="AZ348" s="401">
        <f t="shared" si="497"/>
        <v>0</v>
      </c>
      <c r="BA348" s="401">
        <f t="shared" si="497"/>
        <v>0</v>
      </c>
      <c r="BB348" s="401">
        <f t="shared" si="497"/>
        <v>0</v>
      </c>
      <c r="BC348" s="401">
        <f t="shared" si="497"/>
        <v>0</v>
      </c>
      <c r="BD348" s="401">
        <f t="shared" si="497"/>
        <v>0</v>
      </c>
      <c r="BE348" s="401">
        <f t="shared" si="497"/>
        <v>0</v>
      </c>
      <c r="BF348" s="401">
        <f t="shared" si="497"/>
        <v>0</v>
      </c>
      <c r="BG348" s="401">
        <f t="shared" si="497"/>
        <v>0</v>
      </c>
      <c r="BH348" s="401">
        <f t="shared" si="497"/>
        <v>0</v>
      </c>
      <c r="BI348" s="401">
        <f t="shared" si="497"/>
        <v>0</v>
      </c>
      <c r="BJ348" s="401">
        <f t="shared" si="497"/>
        <v>0</v>
      </c>
      <c r="BK348" s="401">
        <f t="shared" si="497"/>
        <v>0</v>
      </c>
      <c r="BL348" s="401">
        <f t="shared" si="497"/>
        <v>0</v>
      </c>
      <c r="BM348" s="401">
        <f t="shared" si="497"/>
        <v>0</v>
      </c>
      <c r="BN348" s="401">
        <f t="shared" si="497"/>
        <v>0</v>
      </c>
      <c r="BO348" s="401">
        <f t="shared" si="497"/>
        <v>0</v>
      </c>
      <c r="BP348" s="401">
        <f t="shared" si="497"/>
        <v>0</v>
      </c>
    </row>
    <row r="349" spans="2:68" outlineLevel="1" x14ac:dyDescent="0.2">
      <c r="B349" s="20"/>
      <c r="C349" s="80"/>
      <c r="D349" s="81" t="str">
        <f>$D$272</f>
        <v>Carbon emissions</v>
      </c>
      <c r="E349" s="80"/>
      <c r="F349" s="80"/>
      <c r="G349" s="477">
        <f>Assumptions!$H$205</f>
        <v>0</v>
      </c>
      <c r="H349" s="477">
        <f>Assumptions!$I$205</f>
        <v>1</v>
      </c>
      <c r="I349" s="83"/>
      <c r="J349" s="85" t="str">
        <f>Assumptions!$K$205</f>
        <v>Carbon emissions</v>
      </c>
      <c r="K349" s="401">
        <f t="shared" si="482"/>
        <v>0</v>
      </c>
      <c r="L349" s="436">
        <f t="shared" si="483"/>
        <v>0</v>
      </c>
      <c r="M349" s="457"/>
      <c r="N349" s="455"/>
      <c r="O349" s="455"/>
      <c r="P349" s="455"/>
      <c r="Q349" s="455"/>
      <c r="R349" s="401">
        <f t="shared" ref="R349:AW349" si="498">$G349*R272</f>
        <v>0</v>
      </c>
      <c r="S349" s="401">
        <f t="shared" si="498"/>
        <v>0</v>
      </c>
      <c r="T349" s="401">
        <f t="shared" si="498"/>
        <v>0</v>
      </c>
      <c r="U349" s="401">
        <f t="shared" si="498"/>
        <v>0</v>
      </c>
      <c r="V349" s="401">
        <f t="shared" si="498"/>
        <v>0</v>
      </c>
      <c r="W349" s="401">
        <f t="shared" si="498"/>
        <v>0</v>
      </c>
      <c r="X349" s="401">
        <f t="shared" si="498"/>
        <v>0</v>
      </c>
      <c r="Y349" s="401">
        <f t="shared" si="498"/>
        <v>0</v>
      </c>
      <c r="Z349" s="401">
        <f t="shared" si="498"/>
        <v>0</v>
      </c>
      <c r="AA349" s="401">
        <f t="shared" si="498"/>
        <v>0</v>
      </c>
      <c r="AB349" s="401">
        <f t="shared" si="498"/>
        <v>0</v>
      </c>
      <c r="AC349" s="401">
        <f t="shared" si="498"/>
        <v>0</v>
      </c>
      <c r="AD349" s="401">
        <f t="shared" si="498"/>
        <v>0</v>
      </c>
      <c r="AE349" s="401">
        <f t="shared" si="498"/>
        <v>0</v>
      </c>
      <c r="AF349" s="401">
        <f t="shared" si="498"/>
        <v>0</v>
      </c>
      <c r="AG349" s="401">
        <f t="shared" si="498"/>
        <v>0</v>
      </c>
      <c r="AH349" s="401">
        <f t="shared" si="498"/>
        <v>0</v>
      </c>
      <c r="AI349" s="401">
        <f t="shared" si="498"/>
        <v>0</v>
      </c>
      <c r="AJ349" s="401">
        <f t="shared" si="498"/>
        <v>0</v>
      </c>
      <c r="AK349" s="401">
        <f t="shared" si="498"/>
        <v>0</v>
      </c>
      <c r="AL349" s="401">
        <f t="shared" si="498"/>
        <v>0</v>
      </c>
      <c r="AM349" s="401">
        <f t="shared" si="498"/>
        <v>0</v>
      </c>
      <c r="AN349" s="401">
        <f t="shared" si="498"/>
        <v>0</v>
      </c>
      <c r="AO349" s="401">
        <f t="shared" si="498"/>
        <v>0</v>
      </c>
      <c r="AP349" s="401">
        <f t="shared" si="498"/>
        <v>0</v>
      </c>
      <c r="AQ349" s="401">
        <f t="shared" si="498"/>
        <v>0</v>
      </c>
      <c r="AR349" s="401">
        <f t="shared" si="498"/>
        <v>0</v>
      </c>
      <c r="AS349" s="401">
        <f t="shared" si="498"/>
        <v>0</v>
      </c>
      <c r="AT349" s="401">
        <f t="shared" si="498"/>
        <v>0</v>
      </c>
      <c r="AU349" s="401">
        <f t="shared" si="498"/>
        <v>0</v>
      </c>
      <c r="AV349" s="401">
        <f t="shared" si="498"/>
        <v>0</v>
      </c>
      <c r="AW349" s="401">
        <f t="shared" si="498"/>
        <v>0</v>
      </c>
      <c r="AX349" s="401">
        <f t="shared" ref="AX349:BP349" si="499">$G349*AX272</f>
        <v>0</v>
      </c>
      <c r="AY349" s="401">
        <f t="shared" si="499"/>
        <v>0</v>
      </c>
      <c r="AZ349" s="401">
        <f t="shared" si="499"/>
        <v>0</v>
      </c>
      <c r="BA349" s="401">
        <f t="shared" si="499"/>
        <v>0</v>
      </c>
      <c r="BB349" s="401">
        <f t="shared" si="499"/>
        <v>0</v>
      </c>
      <c r="BC349" s="401">
        <f t="shared" si="499"/>
        <v>0</v>
      </c>
      <c r="BD349" s="401">
        <f t="shared" si="499"/>
        <v>0</v>
      </c>
      <c r="BE349" s="401">
        <f t="shared" si="499"/>
        <v>0</v>
      </c>
      <c r="BF349" s="401">
        <f t="shared" si="499"/>
        <v>0</v>
      </c>
      <c r="BG349" s="401">
        <f t="shared" si="499"/>
        <v>0</v>
      </c>
      <c r="BH349" s="401">
        <f t="shared" si="499"/>
        <v>0</v>
      </c>
      <c r="BI349" s="401">
        <f t="shared" si="499"/>
        <v>0</v>
      </c>
      <c r="BJ349" s="401">
        <f t="shared" si="499"/>
        <v>0</v>
      </c>
      <c r="BK349" s="401">
        <f t="shared" si="499"/>
        <v>0</v>
      </c>
      <c r="BL349" s="401">
        <f t="shared" si="499"/>
        <v>0</v>
      </c>
      <c r="BM349" s="401">
        <f t="shared" si="499"/>
        <v>0</v>
      </c>
      <c r="BN349" s="401">
        <f t="shared" si="499"/>
        <v>0</v>
      </c>
      <c r="BO349" s="401">
        <f t="shared" si="499"/>
        <v>0</v>
      </c>
      <c r="BP349" s="401">
        <f t="shared" si="499"/>
        <v>0</v>
      </c>
    </row>
    <row r="350" spans="2:68" outlineLevel="1" x14ac:dyDescent="0.2">
      <c r="B350" s="20"/>
      <c r="C350" s="80"/>
      <c r="D350" s="81" t="str">
        <f>$D$273</f>
        <v>Protective security risk</v>
      </c>
      <c r="E350" s="80"/>
      <c r="F350" s="80"/>
      <c r="G350" s="83"/>
      <c r="H350" s="83"/>
      <c r="I350" s="83"/>
      <c r="J350" s="85"/>
      <c r="K350" s="401"/>
      <c r="L350" s="436"/>
      <c r="M350" s="457"/>
      <c r="N350" s="455"/>
      <c r="O350" s="455"/>
      <c r="P350" s="455"/>
      <c r="Q350" s="455"/>
      <c r="R350" s="455"/>
      <c r="S350" s="455"/>
      <c r="T350" s="455"/>
      <c r="U350" s="455"/>
      <c r="V350" s="455"/>
      <c r="W350" s="455"/>
      <c r="X350" s="455"/>
      <c r="Y350" s="455"/>
      <c r="Z350" s="455"/>
      <c r="AA350" s="455"/>
      <c r="AB350" s="455"/>
      <c r="AC350" s="455"/>
      <c r="AD350" s="455"/>
      <c r="AE350" s="455"/>
      <c r="AF350" s="455"/>
      <c r="AG350" s="455"/>
      <c r="AH350" s="455"/>
      <c r="AI350" s="455"/>
      <c r="AJ350" s="455"/>
      <c r="AK350" s="455"/>
      <c r="AL350" s="455"/>
      <c r="AM350" s="455"/>
      <c r="AN350" s="455"/>
      <c r="AO350" s="455"/>
      <c r="AP350" s="455"/>
      <c r="AQ350" s="455"/>
      <c r="AR350" s="455"/>
      <c r="AS350" s="455"/>
      <c r="AT350" s="455"/>
      <c r="AU350" s="455"/>
      <c r="AV350" s="455"/>
      <c r="AW350" s="455"/>
      <c r="AX350" s="455"/>
      <c r="AY350" s="455"/>
      <c r="AZ350" s="455"/>
      <c r="BA350" s="455"/>
      <c r="BB350" s="455"/>
      <c r="BC350" s="455"/>
      <c r="BD350" s="455"/>
      <c r="BE350" s="455"/>
      <c r="BF350" s="455"/>
      <c r="BG350" s="455"/>
      <c r="BH350" s="455"/>
      <c r="BI350" s="455"/>
      <c r="BJ350" s="455"/>
      <c r="BK350" s="455"/>
      <c r="BL350" s="455"/>
      <c r="BM350" s="455"/>
      <c r="BN350" s="455"/>
      <c r="BO350" s="455"/>
      <c r="BP350" s="455"/>
    </row>
    <row r="351" spans="2:68" outlineLevel="1" x14ac:dyDescent="0.2">
      <c r="B351" s="20"/>
      <c r="C351" s="80"/>
      <c r="D351" s="402" t="str">
        <f>$D$274</f>
        <v>Cost to respond to crisis</v>
      </c>
      <c r="E351" s="80"/>
      <c r="F351" s="80"/>
      <c r="G351" s="477">
        <f>Assumptions!$H$207</f>
        <v>1</v>
      </c>
      <c r="H351" s="477">
        <f>Assumptions!$I$207</f>
        <v>0</v>
      </c>
      <c r="I351" s="83"/>
      <c r="J351" s="85" t="str">
        <f>Assumptions!$K$207</f>
        <v>Protective security risk</v>
      </c>
      <c r="K351" s="401">
        <f>SUMPRODUCT($R$297:$BP$297,R351:BP351)</f>
        <v>0</v>
      </c>
      <c r="L351" s="436">
        <f t="shared" ref="L351:L367" si="500">SUM(M351:BP351)</f>
        <v>0</v>
      </c>
      <c r="M351" s="457"/>
      <c r="N351" s="455"/>
      <c r="O351" s="455"/>
      <c r="P351" s="455"/>
      <c r="Q351" s="455"/>
      <c r="R351" s="401">
        <f t="shared" ref="R351:AW351" si="501">$G351*R274</f>
        <v>0</v>
      </c>
      <c r="S351" s="401">
        <f t="shared" si="501"/>
        <v>0</v>
      </c>
      <c r="T351" s="401">
        <f t="shared" si="501"/>
        <v>0</v>
      </c>
      <c r="U351" s="401">
        <f t="shared" si="501"/>
        <v>0</v>
      </c>
      <c r="V351" s="401">
        <f t="shared" si="501"/>
        <v>0</v>
      </c>
      <c r="W351" s="401">
        <f t="shared" si="501"/>
        <v>0</v>
      </c>
      <c r="X351" s="401">
        <f t="shared" si="501"/>
        <v>0</v>
      </c>
      <c r="Y351" s="401">
        <f t="shared" si="501"/>
        <v>0</v>
      </c>
      <c r="Z351" s="401">
        <f t="shared" si="501"/>
        <v>0</v>
      </c>
      <c r="AA351" s="401">
        <f t="shared" si="501"/>
        <v>0</v>
      </c>
      <c r="AB351" s="401">
        <f t="shared" si="501"/>
        <v>0</v>
      </c>
      <c r="AC351" s="401">
        <f t="shared" si="501"/>
        <v>0</v>
      </c>
      <c r="AD351" s="401">
        <f t="shared" si="501"/>
        <v>0</v>
      </c>
      <c r="AE351" s="401">
        <f t="shared" si="501"/>
        <v>0</v>
      </c>
      <c r="AF351" s="401">
        <f t="shared" si="501"/>
        <v>0</v>
      </c>
      <c r="AG351" s="401">
        <f t="shared" si="501"/>
        <v>0</v>
      </c>
      <c r="AH351" s="401">
        <f t="shared" si="501"/>
        <v>0</v>
      </c>
      <c r="AI351" s="401">
        <f t="shared" si="501"/>
        <v>0</v>
      </c>
      <c r="AJ351" s="401">
        <f t="shared" si="501"/>
        <v>0</v>
      </c>
      <c r="AK351" s="401">
        <f t="shared" si="501"/>
        <v>0</v>
      </c>
      <c r="AL351" s="401">
        <f t="shared" si="501"/>
        <v>0</v>
      </c>
      <c r="AM351" s="401">
        <f t="shared" si="501"/>
        <v>0</v>
      </c>
      <c r="AN351" s="401">
        <f t="shared" si="501"/>
        <v>0</v>
      </c>
      <c r="AO351" s="401">
        <f t="shared" si="501"/>
        <v>0</v>
      </c>
      <c r="AP351" s="401">
        <f t="shared" si="501"/>
        <v>0</v>
      </c>
      <c r="AQ351" s="401">
        <f t="shared" si="501"/>
        <v>0</v>
      </c>
      <c r="AR351" s="401">
        <f t="shared" si="501"/>
        <v>0</v>
      </c>
      <c r="AS351" s="401">
        <f t="shared" si="501"/>
        <v>0</v>
      </c>
      <c r="AT351" s="401">
        <f t="shared" si="501"/>
        <v>0</v>
      </c>
      <c r="AU351" s="401">
        <f t="shared" si="501"/>
        <v>0</v>
      </c>
      <c r="AV351" s="401">
        <f t="shared" si="501"/>
        <v>0</v>
      </c>
      <c r="AW351" s="401">
        <f t="shared" si="501"/>
        <v>0</v>
      </c>
      <c r="AX351" s="401">
        <f t="shared" ref="AX351:BP351" si="502">$G351*AX274</f>
        <v>0</v>
      </c>
      <c r="AY351" s="401">
        <f t="shared" si="502"/>
        <v>0</v>
      </c>
      <c r="AZ351" s="401">
        <f t="shared" si="502"/>
        <v>0</v>
      </c>
      <c r="BA351" s="401">
        <f t="shared" si="502"/>
        <v>0</v>
      </c>
      <c r="BB351" s="401">
        <f t="shared" si="502"/>
        <v>0</v>
      </c>
      <c r="BC351" s="401">
        <f t="shared" si="502"/>
        <v>0</v>
      </c>
      <c r="BD351" s="401">
        <f t="shared" si="502"/>
        <v>0</v>
      </c>
      <c r="BE351" s="401">
        <f t="shared" si="502"/>
        <v>0</v>
      </c>
      <c r="BF351" s="401">
        <f t="shared" si="502"/>
        <v>0</v>
      </c>
      <c r="BG351" s="401">
        <f t="shared" si="502"/>
        <v>0</v>
      </c>
      <c r="BH351" s="401">
        <f t="shared" si="502"/>
        <v>0</v>
      </c>
      <c r="BI351" s="401">
        <f t="shared" si="502"/>
        <v>0</v>
      </c>
      <c r="BJ351" s="401">
        <f t="shared" si="502"/>
        <v>0</v>
      </c>
      <c r="BK351" s="401">
        <f t="shared" si="502"/>
        <v>0</v>
      </c>
      <c r="BL351" s="401">
        <f t="shared" si="502"/>
        <v>0</v>
      </c>
      <c r="BM351" s="401">
        <f t="shared" si="502"/>
        <v>0</v>
      </c>
      <c r="BN351" s="401">
        <f t="shared" si="502"/>
        <v>0</v>
      </c>
      <c r="BO351" s="401">
        <f t="shared" si="502"/>
        <v>0</v>
      </c>
      <c r="BP351" s="401">
        <f t="shared" si="502"/>
        <v>0</v>
      </c>
    </row>
    <row r="352" spans="2:68" outlineLevel="1" x14ac:dyDescent="0.2">
      <c r="B352" s="20"/>
      <c r="C352" s="80"/>
      <c r="D352" s="402" t="str">
        <f>$D$275</f>
        <v>Loss productive time</v>
      </c>
      <c r="E352" s="80"/>
      <c r="F352" s="80"/>
      <c r="G352" s="83"/>
      <c r="H352" s="83"/>
      <c r="I352" s="83"/>
      <c r="J352" s="85"/>
      <c r="K352" s="401"/>
      <c r="L352" s="436"/>
      <c r="M352" s="457"/>
      <c r="N352" s="455"/>
      <c r="O352" s="455"/>
      <c r="P352" s="455"/>
      <c r="Q352" s="455"/>
      <c r="R352" s="455"/>
      <c r="S352" s="455"/>
      <c r="T352" s="455"/>
      <c r="U352" s="455"/>
      <c r="V352" s="455"/>
      <c r="W352" s="455"/>
      <c r="X352" s="455"/>
      <c r="Y352" s="455"/>
      <c r="Z352" s="455"/>
      <c r="AA352" s="455"/>
      <c r="AB352" s="455"/>
      <c r="AC352" s="455"/>
      <c r="AD352" s="455"/>
      <c r="AE352" s="455"/>
      <c r="AF352" s="455"/>
      <c r="AG352" s="455"/>
      <c r="AH352" s="455"/>
      <c r="AI352" s="455"/>
      <c r="AJ352" s="455"/>
      <c r="AK352" s="455"/>
      <c r="AL352" s="455"/>
      <c r="AM352" s="455"/>
      <c r="AN352" s="455"/>
      <c r="AO352" s="455"/>
      <c r="AP352" s="455"/>
      <c r="AQ352" s="455"/>
      <c r="AR352" s="455"/>
      <c r="AS352" s="455"/>
      <c r="AT352" s="455"/>
      <c r="AU352" s="455"/>
      <c r="AV352" s="455"/>
      <c r="AW352" s="455"/>
      <c r="AX352" s="455"/>
      <c r="AY352" s="455"/>
      <c r="AZ352" s="455"/>
      <c r="BA352" s="455"/>
      <c r="BB352" s="455"/>
      <c r="BC352" s="455"/>
      <c r="BD352" s="455"/>
      <c r="BE352" s="455"/>
      <c r="BF352" s="455"/>
      <c r="BG352" s="455"/>
      <c r="BH352" s="455"/>
      <c r="BI352" s="455"/>
      <c r="BJ352" s="455"/>
      <c r="BK352" s="455"/>
      <c r="BL352" s="455"/>
      <c r="BM352" s="455"/>
      <c r="BN352" s="455"/>
      <c r="BO352" s="455"/>
      <c r="BP352" s="455"/>
    </row>
    <row r="353" spans="2:68" outlineLevel="1" x14ac:dyDescent="0.2">
      <c r="B353" s="20"/>
      <c r="C353" s="80"/>
      <c r="D353" s="403" t="str">
        <f>$D$276</f>
        <v>Additional capex completed without additional labour cost</v>
      </c>
      <c r="E353" s="80"/>
      <c r="F353" s="80"/>
      <c r="G353" s="477">
        <f>Assumptions!$H$209</f>
        <v>1</v>
      </c>
      <c r="H353" s="477">
        <f>Assumptions!$I$209</f>
        <v>0</v>
      </c>
      <c r="I353" s="83"/>
      <c r="J353" s="85" t="str">
        <f>Assumptions!$K$209</f>
        <v>Protective security risk</v>
      </c>
      <c r="K353" s="401">
        <f>SUMPRODUCT($R$297:$BP$297,R353:BP353)</f>
        <v>0</v>
      </c>
      <c r="L353" s="436">
        <f t="shared" si="500"/>
        <v>0</v>
      </c>
      <c r="M353" s="457"/>
      <c r="N353" s="455"/>
      <c r="O353" s="455"/>
      <c r="P353" s="455"/>
      <c r="Q353" s="455"/>
      <c r="R353" s="401">
        <f t="shared" ref="R353:AW353" si="503">$G353*R276</f>
        <v>0</v>
      </c>
      <c r="S353" s="401">
        <f t="shared" si="503"/>
        <v>0</v>
      </c>
      <c r="T353" s="401">
        <f t="shared" si="503"/>
        <v>0</v>
      </c>
      <c r="U353" s="401">
        <f t="shared" si="503"/>
        <v>0</v>
      </c>
      <c r="V353" s="401">
        <f t="shared" si="503"/>
        <v>0</v>
      </c>
      <c r="W353" s="401">
        <f t="shared" si="503"/>
        <v>0</v>
      </c>
      <c r="X353" s="401">
        <f t="shared" si="503"/>
        <v>0</v>
      </c>
      <c r="Y353" s="401">
        <f t="shared" si="503"/>
        <v>0</v>
      </c>
      <c r="Z353" s="401">
        <f t="shared" si="503"/>
        <v>0</v>
      </c>
      <c r="AA353" s="401">
        <f t="shared" si="503"/>
        <v>0</v>
      </c>
      <c r="AB353" s="401">
        <f t="shared" si="503"/>
        <v>0</v>
      </c>
      <c r="AC353" s="401">
        <f t="shared" si="503"/>
        <v>0</v>
      </c>
      <c r="AD353" s="401">
        <f t="shared" si="503"/>
        <v>0</v>
      </c>
      <c r="AE353" s="401">
        <f t="shared" si="503"/>
        <v>0</v>
      </c>
      <c r="AF353" s="401">
        <f t="shared" si="503"/>
        <v>0</v>
      </c>
      <c r="AG353" s="401">
        <f t="shared" si="503"/>
        <v>0</v>
      </c>
      <c r="AH353" s="401">
        <f t="shared" si="503"/>
        <v>0</v>
      </c>
      <c r="AI353" s="401">
        <f t="shared" si="503"/>
        <v>0</v>
      </c>
      <c r="AJ353" s="401">
        <f t="shared" si="503"/>
        <v>0</v>
      </c>
      <c r="AK353" s="401">
        <f t="shared" si="503"/>
        <v>0</v>
      </c>
      <c r="AL353" s="401">
        <f t="shared" si="503"/>
        <v>0</v>
      </c>
      <c r="AM353" s="401">
        <f t="shared" si="503"/>
        <v>0</v>
      </c>
      <c r="AN353" s="401">
        <f t="shared" si="503"/>
        <v>0</v>
      </c>
      <c r="AO353" s="401">
        <f t="shared" si="503"/>
        <v>0</v>
      </c>
      <c r="AP353" s="401">
        <f t="shared" si="503"/>
        <v>0</v>
      </c>
      <c r="AQ353" s="401">
        <f t="shared" si="503"/>
        <v>0</v>
      </c>
      <c r="AR353" s="401">
        <f t="shared" si="503"/>
        <v>0</v>
      </c>
      <c r="AS353" s="401">
        <f t="shared" si="503"/>
        <v>0</v>
      </c>
      <c r="AT353" s="401">
        <f t="shared" si="503"/>
        <v>0</v>
      </c>
      <c r="AU353" s="401">
        <f t="shared" si="503"/>
        <v>0</v>
      </c>
      <c r="AV353" s="401">
        <f t="shared" si="503"/>
        <v>0</v>
      </c>
      <c r="AW353" s="401">
        <f t="shared" si="503"/>
        <v>0</v>
      </c>
      <c r="AX353" s="401">
        <f t="shared" ref="AX353:BP353" si="504">$G353*AX276</f>
        <v>0</v>
      </c>
      <c r="AY353" s="401">
        <f t="shared" si="504"/>
        <v>0</v>
      </c>
      <c r="AZ353" s="401">
        <f t="shared" si="504"/>
        <v>0</v>
      </c>
      <c r="BA353" s="401">
        <f t="shared" si="504"/>
        <v>0</v>
      </c>
      <c r="BB353" s="401">
        <f t="shared" si="504"/>
        <v>0</v>
      </c>
      <c r="BC353" s="401">
        <f t="shared" si="504"/>
        <v>0</v>
      </c>
      <c r="BD353" s="401">
        <f t="shared" si="504"/>
        <v>0</v>
      </c>
      <c r="BE353" s="401">
        <f t="shared" si="504"/>
        <v>0</v>
      </c>
      <c r="BF353" s="401">
        <f t="shared" si="504"/>
        <v>0</v>
      </c>
      <c r="BG353" s="401">
        <f t="shared" si="504"/>
        <v>0</v>
      </c>
      <c r="BH353" s="401">
        <f t="shared" si="504"/>
        <v>0</v>
      </c>
      <c r="BI353" s="401">
        <f t="shared" si="504"/>
        <v>0</v>
      </c>
      <c r="BJ353" s="401">
        <f t="shared" si="504"/>
        <v>0</v>
      </c>
      <c r="BK353" s="401">
        <f t="shared" si="504"/>
        <v>0</v>
      </c>
      <c r="BL353" s="401">
        <f t="shared" si="504"/>
        <v>0</v>
      </c>
      <c r="BM353" s="401">
        <f t="shared" si="504"/>
        <v>0</v>
      </c>
      <c r="BN353" s="401">
        <f t="shared" si="504"/>
        <v>0</v>
      </c>
      <c r="BO353" s="401">
        <f t="shared" si="504"/>
        <v>0</v>
      </c>
      <c r="BP353" s="401">
        <f t="shared" si="504"/>
        <v>0</v>
      </c>
    </row>
    <row r="354" spans="2:68" outlineLevel="1" x14ac:dyDescent="0.2">
      <c r="B354" s="20"/>
      <c r="C354" s="80"/>
      <c r="D354" s="403" t="str">
        <f>$D$277</f>
        <v>Decrease in opex costs</v>
      </c>
      <c r="E354" s="80"/>
      <c r="F354" s="80"/>
      <c r="G354" s="477">
        <f>Assumptions!$H$210</f>
        <v>1</v>
      </c>
      <c r="H354" s="477">
        <f>Assumptions!$I$210</f>
        <v>1</v>
      </c>
      <c r="I354" s="83"/>
      <c r="J354" s="85" t="str">
        <f>Assumptions!$K$210</f>
        <v>Protective security risk</v>
      </c>
      <c r="K354" s="401">
        <f>SUMPRODUCT($R$297:$BP$297,R354:BP354)</f>
        <v>0</v>
      </c>
      <c r="L354" s="436">
        <f t="shared" si="500"/>
        <v>0</v>
      </c>
      <c r="M354" s="457"/>
      <c r="N354" s="455"/>
      <c r="O354" s="455"/>
      <c r="P354" s="455"/>
      <c r="Q354" s="455"/>
      <c r="R354" s="401">
        <f>IF(R$15&lt;Assumptions!$O210+$L$197,$G354*R277,0)</f>
        <v>0</v>
      </c>
      <c r="S354" s="401">
        <f>IF(S$15&lt;Assumptions!$O210+$L$197,$G354*S277,0)</f>
        <v>0</v>
      </c>
      <c r="T354" s="401">
        <f>IF(T$15&lt;Assumptions!$O210+$L$197,$G354*T277,0)</f>
        <v>0</v>
      </c>
      <c r="U354" s="401">
        <f>IF(U$15&lt;Assumptions!$O210+$L$197,$G354*U277,0)</f>
        <v>0</v>
      </c>
      <c r="V354" s="401">
        <f>IF(V$15&lt;Assumptions!$O210+$L$197,$G354*V277,0)</f>
        <v>0</v>
      </c>
      <c r="W354" s="401">
        <f>IF(W$15&lt;Assumptions!$O210+$L$197,$G354*W277,0)</f>
        <v>0</v>
      </c>
      <c r="X354" s="401">
        <f>IF(X$15&lt;Assumptions!$O210+$L$197,$G354*X277,0)</f>
        <v>0</v>
      </c>
      <c r="Y354" s="401">
        <f>IF(Y$15&lt;Assumptions!$O210+$L$197,$G354*Y277,0)</f>
        <v>0</v>
      </c>
      <c r="Z354" s="401">
        <f>IF(Z$15&lt;Assumptions!$O210+$L$197,$G354*Z277,0)</f>
        <v>0</v>
      </c>
      <c r="AA354" s="401">
        <f>IF(AA$15&lt;Assumptions!$O210+$L$197,$G354*AA277,0)</f>
        <v>0</v>
      </c>
      <c r="AB354" s="401">
        <f>IF(AB$15&lt;Assumptions!$O210+$L$197,$G354*AB277,0)</f>
        <v>0</v>
      </c>
      <c r="AC354" s="401">
        <f>IF(AC$15&lt;Assumptions!$O210+$L$197,$G354*AC277,0)</f>
        <v>0</v>
      </c>
      <c r="AD354" s="401">
        <f>IF(AD$15&lt;Assumptions!$O210+$L$197,$G354*AD277,0)</f>
        <v>0</v>
      </c>
      <c r="AE354" s="401">
        <f>IF(AE$15&lt;Assumptions!$O210+$L$197,$G354*AE277,0)</f>
        <v>0</v>
      </c>
      <c r="AF354" s="401">
        <f>IF(AF$15&lt;Assumptions!$O210+$L$197,$G354*AF277,0)</f>
        <v>0</v>
      </c>
      <c r="AG354" s="401">
        <f>IF(AG$15&lt;Assumptions!$O210+$L$197,$G354*AG277,0)</f>
        <v>0</v>
      </c>
      <c r="AH354" s="401">
        <f>IF(AH$15&lt;Assumptions!$O210+$L$197,$G354*AH277,0)</f>
        <v>0</v>
      </c>
      <c r="AI354" s="401">
        <f>IF(AI$15&lt;Assumptions!$O210+$L$197,$G354*AI277,0)</f>
        <v>0</v>
      </c>
      <c r="AJ354" s="401">
        <f>IF(AJ$15&lt;Assumptions!$O210+$L$197,$G354*AJ277,0)</f>
        <v>0</v>
      </c>
      <c r="AK354" s="401">
        <f>IF(AK$15&lt;Assumptions!$O210+$L$197,$G354*AK277,0)</f>
        <v>0</v>
      </c>
      <c r="AL354" s="401">
        <f>IF(AL$15&lt;Assumptions!$O210+$L$197,$G354*AL277,0)</f>
        <v>0</v>
      </c>
      <c r="AM354" s="401">
        <f>IF(AM$15&lt;Assumptions!$O210+$L$197,$G354*AM277,0)</f>
        <v>0</v>
      </c>
      <c r="AN354" s="401">
        <f>IF(AN$15&lt;Assumptions!$O210+$L$197,$G354*AN277,0)</f>
        <v>0</v>
      </c>
      <c r="AO354" s="401">
        <f>IF(AO$15&lt;Assumptions!$O210+$L$197,$G354*AO277,0)</f>
        <v>0</v>
      </c>
      <c r="AP354" s="401">
        <f>IF(AP$15&lt;Assumptions!$O210+$L$197,$G354*AP277,0)</f>
        <v>0</v>
      </c>
      <c r="AQ354" s="401">
        <f>IF(AQ$15&lt;Assumptions!$O210+$L$197,$G354*AQ277,0)</f>
        <v>0</v>
      </c>
      <c r="AR354" s="401">
        <f>IF(AR$15&lt;Assumptions!$O210+$L$197,$G354*AR277,0)</f>
        <v>0</v>
      </c>
      <c r="AS354" s="401">
        <f>IF(AS$15&lt;Assumptions!$O210+$L$197,$G354*AS277,0)</f>
        <v>0</v>
      </c>
      <c r="AT354" s="401">
        <f>IF(AT$15&lt;Assumptions!$O210+$L$197,$G354*AT277,0)</f>
        <v>0</v>
      </c>
      <c r="AU354" s="401">
        <f>IF(AU$15&lt;Assumptions!$O210+$L$197,$G354*AU277,0)</f>
        <v>0</v>
      </c>
      <c r="AV354" s="401">
        <f>IF(AV$15&lt;Assumptions!$O210+$L$197,$G354*AV277,0)</f>
        <v>0</v>
      </c>
      <c r="AW354" s="401">
        <f>IF(AW$15&lt;Assumptions!$O210+$L$197,$G354*AW277,0)</f>
        <v>0</v>
      </c>
      <c r="AX354" s="401">
        <f>IF(AX$15&lt;Assumptions!$O210+$L$197,$G354*AX277,0)</f>
        <v>0</v>
      </c>
      <c r="AY354" s="401">
        <f>IF(AY$15&lt;Assumptions!$O210+$L$197,$G354*AY277,0)</f>
        <v>0</v>
      </c>
      <c r="AZ354" s="401">
        <f>IF(AZ$15&lt;Assumptions!$O210+$L$197,$G354*AZ277,0)</f>
        <v>0</v>
      </c>
      <c r="BA354" s="401">
        <f>IF(BA$15&lt;Assumptions!$O210+$L$197,$G354*BA277,0)</f>
        <v>0</v>
      </c>
      <c r="BB354" s="401">
        <f>IF(BB$15&lt;Assumptions!$O210+$L$197,$G354*BB277,0)</f>
        <v>0</v>
      </c>
      <c r="BC354" s="401">
        <f>IF(BC$15&lt;Assumptions!$O210+$L$197,$G354*BC277,0)</f>
        <v>0</v>
      </c>
      <c r="BD354" s="401">
        <f>IF(BD$15&lt;Assumptions!$O210+$L$197,$G354*BD277,0)</f>
        <v>0</v>
      </c>
      <c r="BE354" s="401">
        <f>IF(BE$15&lt;Assumptions!$O210+$L$197,$G354*BE277,0)</f>
        <v>0</v>
      </c>
      <c r="BF354" s="401">
        <f>IF(BF$15&lt;Assumptions!$O210+$L$197,$G354*BF277,0)</f>
        <v>0</v>
      </c>
      <c r="BG354" s="401">
        <f>IF(BG$15&lt;Assumptions!$O210+$L$197,$G354*BG277,0)</f>
        <v>0</v>
      </c>
      <c r="BH354" s="401">
        <f>IF(BH$15&lt;Assumptions!$O210+$L$197,$G354*BH277,0)</f>
        <v>0</v>
      </c>
      <c r="BI354" s="401">
        <f>IF(BI$15&lt;Assumptions!$O210+$L$197,$G354*BI277,0)</f>
        <v>0</v>
      </c>
      <c r="BJ354" s="401">
        <f>IF(BJ$15&lt;Assumptions!$O210+$L$197,$G354*BJ277,0)</f>
        <v>0</v>
      </c>
      <c r="BK354" s="401">
        <f>IF(BK$15&lt;Assumptions!$O210+$L$197,$G354*BK277,0)</f>
        <v>0</v>
      </c>
      <c r="BL354" s="401">
        <f>IF(BL$15&lt;Assumptions!$O210+$L$197,$G354*BL277,0)</f>
        <v>0</v>
      </c>
      <c r="BM354" s="401">
        <f>IF(BM$15&lt;Assumptions!$O210+$L$197,$G354*BM277,0)</f>
        <v>0</v>
      </c>
      <c r="BN354" s="401">
        <f>IF(BN$15&lt;Assumptions!$O210+$L$197,$G354*BN277,0)</f>
        <v>0</v>
      </c>
      <c r="BO354" s="401">
        <f>IF(BO$15&lt;Assumptions!$O210+$L$197,$G354*BO277,0)</f>
        <v>0</v>
      </c>
      <c r="BP354" s="401">
        <f>IF(BP$15&lt;Assumptions!$O210+$L$197,$G354*BP277,0)</f>
        <v>0</v>
      </c>
    </row>
    <row r="355" spans="2:68" outlineLevel="1" x14ac:dyDescent="0.2">
      <c r="B355" s="20"/>
      <c r="C355" s="80"/>
      <c r="D355" s="402" t="str">
        <f>$D$278</f>
        <v>Fines and penalties</v>
      </c>
      <c r="E355" s="80"/>
      <c r="F355" s="80"/>
      <c r="G355" s="477">
        <f>Assumptions!$H$211</f>
        <v>1</v>
      </c>
      <c r="H355" s="477">
        <f>Assumptions!$I$211</f>
        <v>0</v>
      </c>
      <c r="I355" s="83"/>
      <c r="J355" s="85" t="str">
        <f>Assumptions!$K$211</f>
        <v>Protective security risk</v>
      </c>
      <c r="K355" s="401">
        <f>SUMPRODUCT($R$297:$BP$297,R355:BP355)</f>
        <v>0</v>
      </c>
      <c r="L355" s="436">
        <f t="shared" si="500"/>
        <v>0</v>
      </c>
      <c r="M355" s="457"/>
      <c r="N355" s="455"/>
      <c r="O355" s="455"/>
      <c r="P355" s="455"/>
      <c r="Q355" s="455"/>
      <c r="R355" s="401">
        <f t="shared" ref="R355:AW355" si="505">$G355*R278</f>
        <v>0</v>
      </c>
      <c r="S355" s="401">
        <f t="shared" si="505"/>
        <v>0</v>
      </c>
      <c r="T355" s="401">
        <f t="shared" si="505"/>
        <v>0</v>
      </c>
      <c r="U355" s="401">
        <f t="shared" si="505"/>
        <v>0</v>
      </c>
      <c r="V355" s="401">
        <f t="shared" si="505"/>
        <v>0</v>
      </c>
      <c r="W355" s="401">
        <f t="shared" si="505"/>
        <v>0</v>
      </c>
      <c r="X355" s="401">
        <f t="shared" si="505"/>
        <v>0</v>
      </c>
      <c r="Y355" s="401">
        <f t="shared" si="505"/>
        <v>0</v>
      </c>
      <c r="Z355" s="401">
        <f t="shared" si="505"/>
        <v>0</v>
      </c>
      <c r="AA355" s="401">
        <f t="shared" si="505"/>
        <v>0</v>
      </c>
      <c r="AB355" s="401">
        <f t="shared" si="505"/>
        <v>0</v>
      </c>
      <c r="AC355" s="401">
        <f t="shared" si="505"/>
        <v>0</v>
      </c>
      <c r="AD355" s="401">
        <f t="shared" si="505"/>
        <v>0</v>
      </c>
      <c r="AE355" s="401">
        <f t="shared" si="505"/>
        <v>0</v>
      </c>
      <c r="AF355" s="401">
        <f t="shared" si="505"/>
        <v>0</v>
      </c>
      <c r="AG355" s="401">
        <f t="shared" si="505"/>
        <v>0</v>
      </c>
      <c r="AH355" s="401">
        <f t="shared" si="505"/>
        <v>0</v>
      </c>
      <c r="AI355" s="401">
        <f t="shared" si="505"/>
        <v>0</v>
      </c>
      <c r="AJ355" s="401">
        <f t="shared" si="505"/>
        <v>0</v>
      </c>
      <c r="AK355" s="401">
        <f t="shared" si="505"/>
        <v>0</v>
      </c>
      <c r="AL355" s="401">
        <f t="shared" si="505"/>
        <v>0</v>
      </c>
      <c r="AM355" s="401">
        <f t="shared" si="505"/>
        <v>0</v>
      </c>
      <c r="AN355" s="401">
        <f t="shared" si="505"/>
        <v>0</v>
      </c>
      <c r="AO355" s="401">
        <f t="shared" si="505"/>
        <v>0</v>
      </c>
      <c r="AP355" s="401">
        <f t="shared" si="505"/>
        <v>0</v>
      </c>
      <c r="AQ355" s="401">
        <f t="shared" si="505"/>
        <v>0</v>
      </c>
      <c r="AR355" s="401">
        <f t="shared" si="505"/>
        <v>0</v>
      </c>
      <c r="AS355" s="401">
        <f t="shared" si="505"/>
        <v>0</v>
      </c>
      <c r="AT355" s="401">
        <f t="shared" si="505"/>
        <v>0</v>
      </c>
      <c r="AU355" s="401">
        <f t="shared" si="505"/>
        <v>0</v>
      </c>
      <c r="AV355" s="401">
        <f t="shared" si="505"/>
        <v>0</v>
      </c>
      <c r="AW355" s="401">
        <f t="shared" si="505"/>
        <v>0</v>
      </c>
      <c r="AX355" s="401">
        <f t="shared" ref="AX355:BP355" si="506">$G355*AX278</f>
        <v>0</v>
      </c>
      <c r="AY355" s="401">
        <f t="shared" si="506"/>
        <v>0</v>
      </c>
      <c r="AZ355" s="401">
        <f t="shared" si="506"/>
        <v>0</v>
      </c>
      <c r="BA355" s="401">
        <f t="shared" si="506"/>
        <v>0</v>
      </c>
      <c r="BB355" s="401">
        <f t="shared" si="506"/>
        <v>0</v>
      </c>
      <c r="BC355" s="401">
        <f t="shared" si="506"/>
        <v>0</v>
      </c>
      <c r="BD355" s="401">
        <f t="shared" si="506"/>
        <v>0</v>
      </c>
      <c r="BE355" s="401">
        <f t="shared" si="506"/>
        <v>0</v>
      </c>
      <c r="BF355" s="401">
        <f t="shared" si="506"/>
        <v>0</v>
      </c>
      <c r="BG355" s="401">
        <f t="shared" si="506"/>
        <v>0</v>
      </c>
      <c r="BH355" s="401">
        <f t="shared" si="506"/>
        <v>0</v>
      </c>
      <c r="BI355" s="401">
        <f t="shared" si="506"/>
        <v>0</v>
      </c>
      <c r="BJ355" s="401">
        <f t="shared" si="506"/>
        <v>0</v>
      </c>
      <c r="BK355" s="401">
        <f t="shared" si="506"/>
        <v>0</v>
      </c>
      <c r="BL355" s="401">
        <f t="shared" si="506"/>
        <v>0</v>
      </c>
      <c r="BM355" s="401">
        <f t="shared" si="506"/>
        <v>0</v>
      </c>
      <c r="BN355" s="401">
        <f t="shared" si="506"/>
        <v>0</v>
      </c>
      <c r="BO355" s="401">
        <f t="shared" si="506"/>
        <v>0</v>
      </c>
      <c r="BP355" s="401">
        <f t="shared" si="506"/>
        <v>0</v>
      </c>
    </row>
    <row r="356" spans="2:68" outlineLevel="1" x14ac:dyDescent="0.2">
      <c r="B356" s="20"/>
      <c r="C356" s="80"/>
      <c r="D356" s="402" t="str">
        <f>$D$279</f>
        <v>Damage / theft of assets</v>
      </c>
      <c r="E356" s="80"/>
      <c r="F356" s="80"/>
      <c r="G356" s="477">
        <f>Assumptions!$H$212</f>
        <v>1</v>
      </c>
      <c r="H356" s="477">
        <f>Assumptions!$I$212</f>
        <v>0</v>
      </c>
      <c r="I356" s="83"/>
      <c r="J356" s="85" t="str">
        <f>Assumptions!$K$212</f>
        <v>Protective security risk</v>
      </c>
      <c r="K356" s="401">
        <f>SUMPRODUCT($R$297:$BP$297,R356:BP356)</f>
        <v>0</v>
      </c>
      <c r="L356" s="436">
        <f>SUM(M356:BP356)</f>
        <v>0</v>
      </c>
      <c r="M356" s="457"/>
      <c r="N356" s="455"/>
      <c r="O356" s="455"/>
      <c r="P356" s="455"/>
      <c r="Q356" s="455"/>
      <c r="R356" s="401">
        <f t="shared" ref="R356:AW356" si="507">$G356*R279</f>
        <v>0</v>
      </c>
      <c r="S356" s="401">
        <f t="shared" si="507"/>
        <v>0</v>
      </c>
      <c r="T356" s="401">
        <f t="shared" si="507"/>
        <v>0</v>
      </c>
      <c r="U356" s="401">
        <f t="shared" si="507"/>
        <v>0</v>
      </c>
      <c r="V356" s="401">
        <f t="shared" si="507"/>
        <v>0</v>
      </c>
      <c r="W356" s="401">
        <f t="shared" si="507"/>
        <v>0</v>
      </c>
      <c r="X356" s="401">
        <f t="shared" si="507"/>
        <v>0</v>
      </c>
      <c r="Y356" s="401">
        <f t="shared" si="507"/>
        <v>0</v>
      </c>
      <c r="Z356" s="401">
        <f t="shared" si="507"/>
        <v>0</v>
      </c>
      <c r="AA356" s="401">
        <f t="shared" si="507"/>
        <v>0</v>
      </c>
      <c r="AB356" s="401">
        <f t="shared" si="507"/>
        <v>0</v>
      </c>
      <c r="AC356" s="401">
        <f t="shared" si="507"/>
        <v>0</v>
      </c>
      <c r="AD356" s="401">
        <f t="shared" si="507"/>
        <v>0</v>
      </c>
      <c r="AE356" s="401">
        <f t="shared" si="507"/>
        <v>0</v>
      </c>
      <c r="AF356" s="401">
        <f t="shared" si="507"/>
        <v>0</v>
      </c>
      <c r="AG356" s="401">
        <f t="shared" si="507"/>
        <v>0</v>
      </c>
      <c r="AH356" s="401">
        <f t="shared" si="507"/>
        <v>0</v>
      </c>
      <c r="AI356" s="401">
        <f t="shared" si="507"/>
        <v>0</v>
      </c>
      <c r="AJ356" s="401">
        <f t="shared" si="507"/>
        <v>0</v>
      </c>
      <c r="AK356" s="401">
        <f t="shared" si="507"/>
        <v>0</v>
      </c>
      <c r="AL356" s="401">
        <f t="shared" si="507"/>
        <v>0</v>
      </c>
      <c r="AM356" s="401">
        <f t="shared" si="507"/>
        <v>0</v>
      </c>
      <c r="AN356" s="401">
        <f t="shared" si="507"/>
        <v>0</v>
      </c>
      <c r="AO356" s="401">
        <f t="shared" si="507"/>
        <v>0</v>
      </c>
      <c r="AP356" s="401">
        <f t="shared" si="507"/>
        <v>0</v>
      </c>
      <c r="AQ356" s="401">
        <f t="shared" si="507"/>
        <v>0</v>
      </c>
      <c r="AR356" s="401">
        <f t="shared" si="507"/>
        <v>0</v>
      </c>
      <c r="AS356" s="401">
        <f t="shared" si="507"/>
        <v>0</v>
      </c>
      <c r="AT356" s="401">
        <f t="shared" si="507"/>
        <v>0</v>
      </c>
      <c r="AU356" s="401">
        <f t="shared" si="507"/>
        <v>0</v>
      </c>
      <c r="AV356" s="401">
        <f t="shared" si="507"/>
        <v>0</v>
      </c>
      <c r="AW356" s="401">
        <f t="shared" si="507"/>
        <v>0</v>
      </c>
      <c r="AX356" s="401">
        <f t="shared" ref="AX356:BP356" si="508">$G356*AX279</f>
        <v>0</v>
      </c>
      <c r="AY356" s="401">
        <f t="shared" si="508"/>
        <v>0</v>
      </c>
      <c r="AZ356" s="401">
        <f t="shared" si="508"/>
        <v>0</v>
      </c>
      <c r="BA356" s="401">
        <f t="shared" si="508"/>
        <v>0</v>
      </c>
      <c r="BB356" s="401">
        <f t="shared" si="508"/>
        <v>0</v>
      </c>
      <c r="BC356" s="401">
        <f t="shared" si="508"/>
        <v>0</v>
      </c>
      <c r="BD356" s="401">
        <f t="shared" si="508"/>
        <v>0</v>
      </c>
      <c r="BE356" s="401">
        <f t="shared" si="508"/>
        <v>0</v>
      </c>
      <c r="BF356" s="401">
        <f t="shared" si="508"/>
        <v>0</v>
      </c>
      <c r="BG356" s="401">
        <f t="shared" si="508"/>
        <v>0</v>
      </c>
      <c r="BH356" s="401">
        <f t="shared" si="508"/>
        <v>0</v>
      </c>
      <c r="BI356" s="401">
        <f t="shared" si="508"/>
        <v>0</v>
      </c>
      <c r="BJ356" s="401">
        <f t="shared" si="508"/>
        <v>0</v>
      </c>
      <c r="BK356" s="401">
        <f t="shared" si="508"/>
        <v>0</v>
      </c>
      <c r="BL356" s="401">
        <f t="shared" si="508"/>
        <v>0</v>
      </c>
      <c r="BM356" s="401">
        <f t="shared" si="508"/>
        <v>0</v>
      </c>
      <c r="BN356" s="401">
        <f t="shared" si="508"/>
        <v>0</v>
      </c>
      <c r="BO356" s="401">
        <f t="shared" si="508"/>
        <v>0</v>
      </c>
      <c r="BP356" s="401">
        <f t="shared" si="508"/>
        <v>0</v>
      </c>
    </row>
    <row r="357" spans="2:68" outlineLevel="1" x14ac:dyDescent="0.2">
      <c r="B357" s="20"/>
      <c r="C357" s="80"/>
      <c r="D357" s="402" t="str">
        <f>$D$280</f>
        <v>Loss of data</v>
      </c>
      <c r="E357" s="80"/>
      <c r="F357" s="80"/>
      <c r="G357" s="477">
        <f>Assumptions!$H$213</f>
        <v>0</v>
      </c>
      <c r="H357" s="477">
        <f>Assumptions!$I$213</f>
        <v>1</v>
      </c>
      <c r="I357" s="83"/>
      <c r="J357" s="85" t="str">
        <f>Assumptions!$K$213</f>
        <v>Protective security risk</v>
      </c>
      <c r="K357" s="401">
        <f>SUMPRODUCT($R$297:$BP$297,R357:BP357)</f>
        <v>0</v>
      </c>
      <c r="L357" s="436">
        <f t="shared" si="500"/>
        <v>0</v>
      </c>
      <c r="M357" s="457"/>
      <c r="N357" s="455"/>
      <c r="O357" s="455"/>
      <c r="P357" s="455"/>
      <c r="Q357" s="455"/>
      <c r="R357" s="401">
        <f t="shared" ref="R357:AW357" si="509">$G357*R280</f>
        <v>0</v>
      </c>
      <c r="S357" s="401">
        <f t="shared" si="509"/>
        <v>0</v>
      </c>
      <c r="T357" s="401">
        <f t="shared" si="509"/>
        <v>0</v>
      </c>
      <c r="U357" s="401">
        <f t="shared" si="509"/>
        <v>0</v>
      </c>
      <c r="V357" s="401">
        <f t="shared" si="509"/>
        <v>0</v>
      </c>
      <c r="W357" s="401">
        <f t="shared" si="509"/>
        <v>0</v>
      </c>
      <c r="X357" s="401">
        <f t="shared" si="509"/>
        <v>0</v>
      </c>
      <c r="Y357" s="401">
        <f t="shared" si="509"/>
        <v>0</v>
      </c>
      <c r="Z357" s="401">
        <f t="shared" si="509"/>
        <v>0</v>
      </c>
      <c r="AA357" s="401">
        <f t="shared" si="509"/>
        <v>0</v>
      </c>
      <c r="AB357" s="401">
        <f t="shared" si="509"/>
        <v>0</v>
      </c>
      <c r="AC357" s="401">
        <f t="shared" si="509"/>
        <v>0</v>
      </c>
      <c r="AD357" s="401">
        <f t="shared" si="509"/>
        <v>0</v>
      </c>
      <c r="AE357" s="401">
        <f t="shared" si="509"/>
        <v>0</v>
      </c>
      <c r="AF357" s="401">
        <f t="shared" si="509"/>
        <v>0</v>
      </c>
      <c r="AG357" s="401">
        <f t="shared" si="509"/>
        <v>0</v>
      </c>
      <c r="AH357" s="401">
        <f t="shared" si="509"/>
        <v>0</v>
      </c>
      <c r="AI357" s="401">
        <f t="shared" si="509"/>
        <v>0</v>
      </c>
      <c r="AJ357" s="401">
        <f t="shared" si="509"/>
        <v>0</v>
      </c>
      <c r="AK357" s="401">
        <f t="shared" si="509"/>
        <v>0</v>
      </c>
      <c r="AL357" s="401">
        <f t="shared" si="509"/>
        <v>0</v>
      </c>
      <c r="AM357" s="401">
        <f t="shared" si="509"/>
        <v>0</v>
      </c>
      <c r="AN357" s="401">
        <f t="shared" si="509"/>
        <v>0</v>
      </c>
      <c r="AO357" s="401">
        <f t="shared" si="509"/>
        <v>0</v>
      </c>
      <c r="AP357" s="401">
        <f t="shared" si="509"/>
        <v>0</v>
      </c>
      <c r="AQ357" s="401">
        <f t="shared" si="509"/>
        <v>0</v>
      </c>
      <c r="AR357" s="401">
        <f t="shared" si="509"/>
        <v>0</v>
      </c>
      <c r="AS357" s="401">
        <f t="shared" si="509"/>
        <v>0</v>
      </c>
      <c r="AT357" s="401">
        <f t="shared" si="509"/>
        <v>0</v>
      </c>
      <c r="AU357" s="401">
        <f t="shared" si="509"/>
        <v>0</v>
      </c>
      <c r="AV357" s="401">
        <f t="shared" si="509"/>
        <v>0</v>
      </c>
      <c r="AW357" s="401">
        <f t="shared" si="509"/>
        <v>0</v>
      </c>
      <c r="AX357" s="401">
        <f t="shared" ref="AX357:BP357" si="510">$G357*AX280</f>
        <v>0</v>
      </c>
      <c r="AY357" s="401">
        <f t="shared" si="510"/>
        <v>0</v>
      </c>
      <c r="AZ357" s="401">
        <f t="shared" si="510"/>
        <v>0</v>
      </c>
      <c r="BA357" s="401">
        <f t="shared" si="510"/>
        <v>0</v>
      </c>
      <c r="BB357" s="401">
        <f t="shared" si="510"/>
        <v>0</v>
      </c>
      <c r="BC357" s="401">
        <f t="shared" si="510"/>
        <v>0</v>
      </c>
      <c r="BD357" s="401">
        <f t="shared" si="510"/>
        <v>0</v>
      </c>
      <c r="BE357" s="401">
        <f t="shared" si="510"/>
        <v>0</v>
      </c>
      <c r="BF357" s="401">
        <f t="shared" si="510"/>
        <v>0</v>
      </c>
      <c r="BG357" s="401">
        <f t="shared" si="510"/>
        <v>0</v>
      </c>
      <c r="BH357" s="401">
        <f t="shared" si="510"/>
        <v>0</v>
      </c>
      <c r="BI357" s="401">
        <f t="shared" si="510"/>
        <v>0</v>
      </c>
      <c r="BJ357" s="401">
        <f t="shared" si="510"/>
        <v>0</v>
      </c>
      <c r="BK357" s="401">
        <f t="shared" si="510"/>
        <v>0</v>
      </c>
      <c r="BL357" s="401">
        <f t="shared" si="510"/>
        <v>0</v>
      </c>
      <c r="BM357" s="401">
        <f t="shared" si="510"/>
        <v>0</v>
      </c>
      <c r="BN357" s="401">
        <f t="shared" si="510"/>
        <v>0</v>
      </c>
      <c r="BO357" s="401">
        <f t="shared" si="510"/>
        <v>0</v>
      </c>
      <c r="BP357" s="401">
        <f t="shared" si="510"/>
        <v>0</v>
      </c>
    </row>
    <row r="358" spans="2:68" outlineLevel="1" x14ac:dyDescent="0.2">
      <c r="B358" s="20"/>
      <c r="C358" s="80"/>
      <c r="D358" s="81" t="str">
        <f>$D$281</f>
        <v>ICT/OT hardware or software failure risk</v>
      </c>
      <c r="E358" s="80"/>
      <c r="F358" s="80"/>
      <c r="G358" s="83"/>
      <c r="H358" s="83"/>
      <c r="I358" s="83"/>
      <c r="J358" s="85"/>
      <c r="K358" s="401"/>
      <c r="L358" s="436"/>
      <c r="M358" s="457"/>
      <c r="N358" s="455"/>
      <c r="O358" s="455"/>
      <c r="P358" s="455"/>
      <c r="Q358" s="455"/>
      <c r="R358" s="455"/>
      <c r="S358" s="455"/>
      <c r="T358" s="455"/>
      <c r="U358" s="455"/>
      <c r="V358" s="455"/>
      <c r="W358" s="455"/>
      <c r="X358" s="455"/>
      <c r="Y358" s="455"/>
      <c r="Z358" s="455"/>
      <c r="AA358" s="455"/>
      <c r="AB358" s="455"/>
      <c r="AC358" s="455"/>
      <c r="AD358" s="455"/>
      <c r="AE358" s="455"/>
      <c r="AF358" s="455"/>
      <c r="AG358" s="455"/>
      <c r="AH358" s="455"/>
      <c r="AI358" s="455"/>
      <c r="AJ358" s="455"/>
      <c r="AK358" s="455"/>
      <c r="AL358" s="455"/>
      <c r="AM358" s="455"/>
      <c r="AN358" s="455"/>
      <c r="AO358" s="455"/>
      <c r="AP358" s="455"/>
      <c r="AQ358" s="455"/>
      <c r="AR358" s="455"/>
      <c r="AS358" s="455"/>
      <c r="AT358" s="455"/>
      <c r="AU358" s="455"/>
      <c r="AV358" s="455"/>
      <c r="AW358" s="455"/>
      <c r="AX358" s="455"/>
      <c r="AY358" s="455"/>
      <c r="AZ358" s="455"/>
      <c r="BA358" s="455"/>
      <c r="BB358" s="455"/>
      <c r="BC358" s="455"/>
      <c r="BD358" s="455"/>
      <c r="BE358" s="455"/>
      <c r="BF358" s="455"/>
      <c r="BG358" s="455"/>
      <c r="BH358" s="455"/>
      <c r="BI358" s="455"/>
      <c r="BJ358" s="455"/>
      <c r="BK358" s="455"/>
      <c r="BL358" s="455"/>
      <c r="BM358" s="455"/>
      <c r="BN358" s="455"/>
      <c r="BO358" s="455"/>
      <c r="BP358" s="455"/>
    </row>
    <row r="359" spans="2:68" outlineLevel="1" x14ac:dyDescent="0.2">
      <c r="B359" s="20"/>
      <c r="C359" s="80"/>
      <c r="D359" s="402" t="str">
        <f>$D$282</f>
        <v>Cost of manual intervention</v>
      </c>
      <c r="E359" s="80"/>
      <c r="F359" s="80"/>
      <c r="G359" s="477">
        <f>Assumptions!$H$215</f>
        <v>1</v>
      </c>
      <c r="H359" s="477">
        <f>Assumptions!$I$215</f>
        <v>0</v>
      </c>
      <c r="I359" s="83"/>
      <c r="J359" s="85" t="str">
        <f>Assumptions!$K$215</f>
        <v>ICT/OT hardware or software failure risk</v>
      </c>
      <c r="K359" s="401">
        <f>SUMPRODUCT($R$297:$BP$297,R359:BP359)</f>
        <v>0</v>
      </c>
      <c r="L359" s="436">
        <f t="shared" si="500"/>
        <v>0</v>
      </c>
      <c r="M359" s="457"/>
      <c r="N359" s="455"/>
      <c r="O359" s="455"/>
      <c r="P359" s="455"/>
      <c r="Q359" s="455"/>
      <c r="R359" s="401">
        <f t="shared" ref="R359:AW359" si="511">$G359*R282</f>
        <v>0</v>
      </c>
      <c r="S359" s="401">
        <f t="shared" si="511"/>
        <v>0</v>
      </c>
      <c r="T359" s="401">
        <f t="shared" si="511"/>
        <v>0</v>
      </c>
      <c r="U359" s="401">
        <f t="shared" si="511"/>
        <v>0</v>
      </c>
      <c r="V359" s="401">
        <f t="shared" si="511"/>
        <v>0</v>
      </c>
      <c r="W359" s="401">
        <f t="shared" si="511"/>
        <v>0</v>
      </c>
      <c r="X359" s="401">
        <f t="shared" si="511"/>
        <v>0</v>
      </c>
      <c r="Y359" s="401">
        <f t="shared" si="511"/>
        <v>0</v>
      </c>
      <c r="Z359" s="401">
        <f t="shared" si="511"/>
        <v>0</v>
      </c>
      <c r="AA359" s="401">
        <f t="shared" si="511"/>
        <v>0</v>
      </c>
      <c r="AB359" s="401">
        <f t="shared" si="511"/>
        <v>0</v>
      </c>
      <c r="AC359" s="401">
        <f t="shared" si="511"/>
        <v>0</v>
      </c>
      <c r="AD359" s="401">
        <f t="shared" si="511"/>
        <v>0</v>
      </c>
      <c r="AE359" s="401">
        <f t="shared" si="511"/>
        <v>0</v>
      </c>
      <c r="AF359" s="401">
        <f t="shared" si="511"/>
        <v>0</v>
      </c>
      <c r="AG359" s="401">
        <f t="shared" si="511"/>
        <v>0</v>
      </c>
      <c r="AH359" s="401">
        <f t="shared" si="511"/>
        <v>0</v>
      </c>
      <c r="AI359" s="401">
        <f t="shared" si="511"/>
        <v>0</v>
      </c>
      <c r="AJ359" s="401">
        <f t="shared" si="511"/>
        <v>0</v>
      </c>
      <c r="AK359" s="401">
        <f t="shared" si="511"/>
        <v>0</v>
      </c>
      <c r="AL359" s="401">
        <f t="shared" si="511"/>
        <v>0</v>
      </c>
      <c r="AM359" s="401">
        <f t="shared" si="511"/>
        <v>0</v>
      </c>
      <c r="AN359" s="401">
        <f t="shared" si="511"/>
        <v>0</v>
      </c>
      <c r="AO359" s="401">
        <f t="shared" si="511"/>
        <v>0</v>
      </c>
      <c r="AP359" s="401">
        <f t="shared" si="511"/>
        <v>0</v>
      </c>
      <c r="AQ359" s="401">
        <f t="shared" si="511"/>
        <v>0</v>
      </c>
      <c r="AR359" s="401">
        <f t="shared" si="511"/>
        <v>0</v>
      </c>
      <c r="AS359" s="401">
        <f t="shared" si="511"/>
        <v>0</v>
      </c>
      <c r="AT359" s="401">
        <f t="shared" si="511"/>
        <v>0</v>
      </c>
      <c r="AU359" s="401">
        <f t="shared" si="511"/>
        <v>0</v>
      </c>
      <c r="AV359" s="401">
        <f t="shared" si="511"/>
        <v>0</v>
      </c>
      <c r="AW359" s="401">
        <f t="shared" si="511"/>
        <v>0</v>
      </c>
      <c r="AX359" s="401">
        <f t="shared" ref="AX359:BP359" si="512">$G359*AX282</f>
        <v>0</v>
      </c>
      <c r="AY359" s="401">
        <f t="shared" si="512"/>
        <v>0</v>
      </c>
      <c r="AZ359" s="401">
        <f t="shared" si="512"/>
        <v>0</v>
      </c>
      <c r="BA359" s="401">
        <f t="shared" si="512"/>
        <v>0</v>
      </c>
      <c r="BB359" s="401">
        <f t="shared" si="512"/>
        <v>0</v>
      </c>
      <c r="BC359" s="401">
        <f t="shared" si="512"/>
        <v>0</v>
      </c>
      <c r="BD359" s="401">
        <f t="shared" si="512"/>
        <v>0</v>
      </c>
      <c r="BE359" s="401">
        <f t="shared" si="512"/>
        <v>0</v>
      </c>
      <c r="BF359" s="401">
        <f t="shared" si="512"/>
        <v>0</v>
      </c>
      <c r="BG359" s="401">
        <f t="shared" si="512"/>
        <v>0</v>
      </c>
      <c r="BH359" s="401">
        <f t="shared" si="512"/>
        <v>0</v>
      </c>
      <c r="BI359" s="401">
        <f t="shared" si="512"/>
        <v>0</v>
      </c>
      <c r="BJ359" s="401">
        <f t="shared" si="512"/>
        <v>0</v>
      </c>
      <c r="BK359" s="401">
        <f t="shared" si="512"/>
        <v>0</v>
      </c>
      <c r="BL359" s="401">
        <f t="shared" si="512"/>
        <v>0</v>
      </c>
      <c r="BM359" s="401">
        <f t="shared" si="512"/>
        <v>0</v>
      </c>
      <c r="BN359" s="401">
        <f t="shared" si="512"/>
        <v>0</v>
      </c>
      <c r="BO359" s="401">
        <f t="shared" si="512"/>
        <v>0</v>
      </c>
      <c r="BP359" s="401">
        <f t="shared" si="512"/>
        <v>0</v>
      </c>
    </row>
    <row r="360" spans="2:68" outlineLevel="1" x14ac:dyDescent="0.2">
      <c r="B360" s="20"/>
      <c r="C360" s="80"/>
      <c r="D360" s="402" t="str">
        <f>$D$283</f>
        <v>Loss productive time</v>
      </c>
      <c r="E360" s="80"/>
      <c r="F360" s="80"/>
      <c r="G360" s="83"/>
      <c r="H360" s="83"/>
      <c r="I360" s="83"/>
      <c r="J360" s="85"/>
      <c r="K360" s="401"/>
      <c r="L360" s="436"/>
      <c r="M360" s="457"/>
      <c r="N360" s="455"/>
      <c r="O360" s="455"/>
      <c r="P360" s="455"/>
      <c r="Q360" s="455"/>
      <c r="R360" s="455"/>
      <c r="S360" s="455"/>
      <c r="T360" s="455"/>
      <c r="U360" s="455"/>
      <c r="V360" s="455"/>
      <c r="W360" s="455"/>
      <c r="X360" s="455"/>
      <c r="Y360" s="455"/>
      <c r="Z360" s="455"/>
      <c r="AA360" s="455"/>
      <c r="AB360" s="455"/>
      <c r="AC360" s="455"/>
      <c r="AD360" s="455"/>
      <c r="AE360" s="455"/>
      <c r="AF360" s="455"/>
      <c r="AG360" s="455"/>
      <c r="AH360" s="455"/>
      <c r="AI360" s="455"/>
      <c r="AJ360" s="455"/>
      <c r="AK360" s="455"/>
      <c r="AL360" s="455"/>
      <c r="AM360" s="455"/>
      <c r="AN360" s="455"/>
      <c r="AO360" s="455"/>
      <c r="AP360" s="455"/>
      <c r="AQ360" s="455"/>
      <c r="AR360" s="455"/>
      <c r="AS360" s="455"/>
      <c r="AT360" s="455"/>
      <c r="AU360" s="455"/>
      <c r="AV360" s="455"/>
      <c r="AW360" s="455"/>
      <c r="AX360" s="455"/>
      <c r="AY360" s="455"/>
      <c r="AZ360" s="455"/>
      <c r="BA360" s="455"/>
      <c r="BB360" s="455"/>
      <c r="BC360" s="455"/>
      <c r="BD360" s="455"/>
      <c r="BE360" s="455"/>
      <c r="BF360" s="455"/>
      <c r="BG360" s="455"/>
      <c r="BH360" s="455"/>
      <c r="BI360" s="455"/>
      <c r="BJ360" s="455"/>
      <c r="BK360" s="455"/>
      <c r="BL360" s="455"/>
      <c r="BM360" s="455"/>
      <c r="BN360" s="455"/>
      <c r="BO360" s="455"/>
      <c r="BP360" s="455"/>
    </row>
    <row r="361" spans="2:68" outlineLevel="1" x14ac:dyDescent="0.2">
      <c r="B361" s="20"/>
      <c r="C361" s="80"/>
      <c r="D361" s="403" t="str">
        <f>$D$284</f>
        <v>Additional capex completed without additional labour cost</v>
      </c>
      <c r="E361" s="80"/>
      <c r="F361" s="80"/>
      <c r="G361" s="477">
        <f>Assumptions!$H$217</f>
        <v>1</v>
      </c>
      <c r="H361" s="477">
        <f>Assumptions!$I$217</f>
        <v>0</v>
      </c>
      <c r="I361" s="83"/>
      <c r="J361" s="85" t="str">
        <f>Assumptions!$K$217</f>
        <v>ICT/OT hardware or software failure risk</v>
      </c>
      <c r="K361" s="401">
        <f>SUMPRODUCT($R$297:$BP$297,R361:BP361)</f>
        <v>0</v>
      </c>
      <c r="L361" s="436">
        <f t="shared" si="500"/>
        <v>0</v>
      </c>
      <c r="M361" s="457"/>
      <c r="N361" s="455"/>
      <c r="O361" s="455"/>
      <c r="P361" s="455"/>
      <c r="Q361" s="455"/>
      <c r="R361" s="401">
        <f t="shared" ref="R361:AW361" si="513">$G361*R284</f>
        <v>0</v>
      </c>
      <c r="S361" s="401">
        <f t="shared" si="513"/>
        <v>0</v>
      </c>
      <c r="T361" s="401">
        <f t="shared" si="513"/>
        <v>0</v>
      </c>
      <c r="U361" s="401">
        <f t="shared" si="513"/>
        <v>0</v>
      </c>
      <c r="V361" s="401">
        <f t="shared" si="513"/>
        <v>0</v>
      </c>
      <c r="W361" s="401">
        <f t="shared" si="513"/>
        <v>0</v>
      </c>
      <c r="X361" s="401">
        <f t="shared" si="513"/>
        <v>0</v>
      </c>
      <c r="Y361" s="401">
        <f t="shared" si="513"/>
        <v>0</v>
      </c>
      <c r="Z361" s="401">
        <f t="shared" si="513"/>
        <v>0</v>
      </c>
      <c r="AA361" s="401">
        <f t="shared" si="513"/>
        <v>0</v>
      </c>
      <c r="AB361" s="401">
        <f t="shared" si="513"/>
        <v>0</v>
      </c>
      <c r="AC361" s="401">
        <f t="shared" si="513"/>
        <v>0</v>
      </c>
      <c r="AD361" s="401">
        <f t="shared" si="513"/>
        <v>0</v>
      </c>
      <c r="AE361" s="401">
        <f t="shared" si="513"/>
        <v>0</v>
      </c>
      <c r="AF361" s="401">
        <f t="shared" si="513"/>
        <v>0</v>
      </c>
      <c r="AG361" s="401">
        <f t="shared" si="513"/>
        <v>0</v>
      </c>
      <c r="AH361" s="401">
        <f t="shared" si="513"/>
        <v>0</v>
      </c>
      <c r="AI361" s="401">
        <f t="shared" si="513"/>
        <v>0</v>
      </c>
      <c r="AJ361" s="401">
        <f t="shared" si="513"/>
        <v>0</v>
      </c>
      <c r="AK361" s="401">
        <f t="shared" si="513"/>
        <v>0</v>
      </c>
      <c r="AL361" s="401">
        <f t="shared" si="513"/>
        <v>0</v>
      </c>
      <c r="AM361" s="401">
        <f t="shared" si="513"/>
        <v>0</v>
      </c>
      <c r="AN361" s="401">
        <f t="shared" si="513"/>
        <v>0</v>
      </c>
      <c r="AO361" s="401">
        <f t="shared" si="513"/>
        <v>0</v>
      </c>
      <c r="AP361" s="401">
        <f t="shared" si="513"/>
        <v>0</v>
      </c>
      <c r="AQ361" s="401">
        <f t="shared" si="513"/>
        <v>0</v>
      </c>
      <c r="AR361" s="401">
        <f t="shared" si="513"/>
        <v>0</v>
      </c>
      <c r="AS361" s="401">
        <f t="shared" si="513"/>
        <v>0</v>
      </c>
      <c r="AT361" s="401">
        <f t="shared" si="513"/>
        <v>0</v>
      </c>
      <c r="AU361" s="401">
        <f t="shared" si="513"/>
        <v>0</v>
      </c>
      <c r="AV361" s="401">
        <f t="shared" si="513"/>
        <v>0</v>
      </c>
      <c r="AW361" s="401">
        <f t="shared" si="513"/>
        <v>0</v>
      </c>
      <c r="AX361" s="401">
        <f t="shared" ref="AX361:BP361" si="514">$G361*AX284</f>
        <v>0</v>
      </c>
      <c r="AY361" s="401">
        <f t="shared" si="514"/>
        <v>0</v>
      </c>
      <c r="AZ361" s="401">
        <f t="shared" si="514"/>
        <v>0</v>
      </c>
      <c r="BA361" s="401">
        <f t="shared" si="514"/>
        <v>0</v>
      </c>
      <c r="BB361" s="401">
        <f t="shared" si="514"/>
        <v>0</v>
      </c>
      <c r="BC361" s="401">
        <f t="shared" si="514"/>
        <v>0</v>
      </c>
      <c r="BD361" s="401">
        <f t="shared" si="514"/>
        <v>0</v>
      </c>
      <c r="BE361" s="401">
        <f t="shared" si="514"/>
        <v>0</v>
      </c>
      <c r="BF361" s="401">
        <f t="shared" si="514"/>
        <v>0</v>
      </c>
      <c r="BG361" s="401">
        <f t="shared" si="514"/>
        <v>0</v>
      </c>
      <c r="BH361" s="401">
        <f t="shared" si="514"/>
        <v>0</v>
      </c>
      <c r="BI361" s="401">
        <f t="shared" si="514"/>
        <v>0</v>
      </c>
      <c r="BJ361" s="401">
        <f t="shared" si="514"/>
        <v>0</v>
      </c>
      <c r="BK361" s="401">
        <f t="shared" si="514"/>
        <v>0</v>
      </c>
      <c r="BL361" s="401">
        <f t="shared" si="514"/>
        <v>0</v>
      </c>
      <c r="BM361" s="401">
        <f t="shared" si="514"/>
        <v>0</v>
      </c>
      <c r="BN361" s="401">
        <f t="shared" si="514"/>
        <v>0</v>
      </c>
      <c r="BO361" s="401">
        <f t="shared" si="514"/>
        <v>0</v>
      </c>
      <c r="BP361" s="401">
        <f t="shared" si="514"/>
        <v>0</v>
      </c>
    </row>
    <row r="362" spans="2:68" outlineLevel="1" x14ac:dyDescent="0.2">
      <c r="B362" s="20"/>
      <c r="C362" s="80"/>
      <c r="D362" s="403" t="str">
        <f>$D$285</f>
        <v>Decrease in opex costs</v>
      </c>
      <c r="E362" s="80"/>
      <c r="F362" s="80"/>
      <c r="G362" s="477">
        <f>Assumptions!$H$218</f>
        <v>1</v>
      </c>
      <c r="H362" s="477">
        <f>Assumptions!$I$218</f>
        <v>1</v>
      </c>
      <c r="I362" s="83"/>
      <c r="J362" s="85" t="str">
        <f>Assumptions!$K$218</f>
        <v>ICT/OT hardware or software failure risk</v>
      </c>
      <c r="K362" s="401">
        <f>SUMPRODUCT($R$297:$BP$297,R362:BP362)</f>
        <v>0</v>
      </c>
      <c r="L362" s="436">
        <f t="shared" si="500"/>
        <v>0</v>
      </c>
      <c r="M362" s="457"/>
      <c r="N362" s="455"/>
      <c r="O362" s="455"/>
      <c r="P362" s="455"/>
      <c r="Q362" s="455"/>
      <c r="R362" s="401">
        <f>IF(R$15&lt;Assumptions!$O218+$L$206,$G362*R285,0)</f>
        <v>0</v>
      </c>
      <c r="S362" s="401">
        <f>IF(S$15&lt;Assumptions!$O218+$L$206,$G362*S285,0)</f>
        <v>0</v>
      </c>
      <c r="T362" s="401">
        <f>IF(T$15&lt;Assumptions!$O218+$L$206,$G362*T285,0)</f>
        <v>0</v>
      </c>
      <c r="U362" s="401">
        <f>IF(U$15&lt;Assumptions!$O218+$L$206,$G362*U285,0)</f>
        <v>0</v>
      </c>
      <c r="V362" s="401">
        <f>IF(V$15&lt;Assumptions!$O218+$L$206,$G362*V285,0)</f>
        <v>0</v>
      </c>
      <c r="W362" s="401">
        <f>IF(W$15&lt;Assumptions!$O218+$L$206,$G362*W285,0)</f>
        <v>0</v>
      </c>
      <c r="X362" s="401">
        <f>IF(X$15&lt;Assumptions!$O218+$L$206,$G362*X285,0)</f>
        <v>0</v>
      </c>
      <c r="Y362" s="401">
        <f>IF(Y$15&lt;Assumptions!$O218+$L$206,$G362*Y285,0)</f>
        <v>0</v>
      </c>
      <c r="Z362" s="401">
        <f>IF(Z$15&lt;Assumptions!$O218+$L$206,$G362*Z285,0)</f>
        <v>0</v>
      </c>
      <c r="AA362" s="401">
        <f>IF(AA$15&lt;Assumptions!$O218+$L$206,$G362*AA285,0)</f>
        <v>0</v>
      </c>
      <c r="AB362" s="401">
        <f>IF(AB$15&lt;Assumptions!$O218+$L$206,$G362*AB285,0)</f>
        <v>0</v>
      </c>
      <c r="AC362" s="401">
        <f>IF(AC$15&lt;Assumptions!$O218+$L$206,$G362*AC285,0)</f>
        <v>0</v>
      </c>
      <c r="AD362" s="401">
        <f>IF(AD$15&lt;Assumptions!$O218+$L$206,$G362*AD285,0)</f>
        <v>0</v>
      </c>
      <c r="AE362" s="401">
        <f>IF(AE$15&lt;Assumptions!$O218+$L$206,$G362*AE285,0)</f>
        <v>0</v>
      </c>
      <c r="AF362" s="401">
        <f>IF(AF$15&lt;Assumptions!$O218+$L$206,$G362*AF285,0)</f>
        <v>0</v>
      </c>
      <c r="AG362" s="401">
        <f>IF(AG$15&lt;Assumptions!$O218+$L$206,$G362*AG285,0)</f>
        <v>0</v>
      </c>
      <c r="AH362" s="401">
        <f>IF(AH$15&lt;Assumptions!$O218+$L$206,$G362*AH285,0)</f>
        <v>0</v>
      </c>
      <c r="AI362" s="401">
        <f>IF(AI$15&lt;Assumptions!$O218+$L$206,$G362*AI285,0)</f>
        <v>0</v>
      </c>
      <c r="AJ362" s="401">
        <f>IF(AJ$15&lt;Assumptions!$O218+$L$206,$G362*AJ285,0)</f>
        <v>0</v>
      </c>
      <c r="AK362" s="401">
        <f>IF(AK$15&lt;Assumptions!$O218+$L$206,$G362*AK285,0)</f>
        <v>0</v>
      </c>
      <c r="AL362" s="401">
        <f>IF(AL$15&lt;Assumptions!$O218+$L$206,$G362*AL285,0)</f>
        <v>0</v>
      </c>
      <c r="AM362" s="401">
        <f>IF(AM$15&lt;Assumptions!$O218+$L$206,$G362*AM285,0)</f>
        <v>0</v>
      </c>
      <c r="AN362" s="401">
        <f>IF(AN$15&lt;Assumptions!$O218+$L$206,$G362*AN285,0)</f>
        <v>0</v>
      </c>
      <c r="AO362" s="401">
        <f>IF(AO$15&lt;Assumptions!$O218+$L$206,$G362*AO285,0)</f>
        <v>0</v>
      </c>
      <c r="AP362" s="401">
        <f>IF(AP$15&lt;Assumptions!$O218+$L$206,$G362*AP285,0)</f>
        <v>0</v>
      </c>
      <c r="AQ362" s="401">
        <f>IF(AQ$15&lt;Assumptions!$O218+$L$206,$G362*AQ285,0)</f>
        <v>0</v>
      </c>
      <c r="AR362" s="401">
        <f>IF(AR$15&lt;Assumptions!$O218+$L$206,$G362*AR285,0)</f>
        <v>0</v>
      </c>
      <c r="AS362" s="401">
        <f>IF(AS$15&lt;Assumptions!$O218+$L$206,$G362*AS285,0)</f>
        <v>0</v>
      </c>
      <c r="AT362" s="401">
        <f>IF(AT$15&lt;Assumptions!$O218+$L$206,$G362*AT285,0)</f>
        <v>0</v>
      </c>
      <c r="AU362" s="401">
        <f>IF(AU$15&lt;Assumptions!$O218+$L$206,$G362*AU285,0)</f>
        <v>0</v>
      </c>
      <c r="AV362" s="401">
        <f>IF(AV$15&lt;Assumptions!$O218+$L$206,$G362*AV285,0)</f>
        <v>0</v>
      </c>
      <c r="AW362" s="401">
        <f>IF(AW$15&lt;Assumptions!$O218+$L$206,$G362*AW285,0)</f>
        <v>0</v>
      </c>
      <c r="AX362" s="401">
        <f>IF(AX$15&lt;Assumptions!$O218+$L$206,$G362*AX285,0)</f>
        <v>0</v>
      </c>
      <c r="AY362" s="401">
        <f>IF(AY$15&lt;Assumptions!$O218+$L$206,$G362*AY285,0)</f>
        <v>0</v>
      </c>
      <c r="AZ362" s="401">
        <f>IF(AZ$15&lt;Assumptions!$O218+$L$206,$G362*AZ285,0)</f>
        <v>0</v>
      </c>
      <c r="BA362" s="401">
        <f>IF(BA$15&lt;Assumptions!$O218+$L$206,$G362*BA285,0)</f>
        <v>0</v>
      </c>
      <c r="BB362" s="401">
        <f>IF(BB$15&lt;Assumptions!$O218+$L$206,$G362*BB285,0)</f>
        <v>0</v>
      </c>
      <c r="BC362" s="401">
        <f>IF(BC$15&lt;Assumptions!$O218+$L$206,$G362*BC285,0)</f>
        <v>0</v>
      </c>
      <c r="BD362" s="401">
        <f>IF(BD$15&lt;Assumptions!$O218+$L$206,$G362*BD285,0)</f>
        <v>0</v>
      </c>
      <c r="BE362" s="401">
        <f>IF(BE$15&lt;Assumptions!$O218+$L$206,$G362*BE285,0)</f>
        <v>0</v>
      </c>
      <c r="BF362" s="401">
        <f>IF(BF$15&lt;Assumptions!$O218+$L$206,$G362*BF285,0)</f>
        <v>0</v>
      </c>
      <c r="BG362" s="401">
        <f>IF(BG$15&lt;Assumptions!$O218+$L$206,$G362*BG285,0)</f>
        <v>0</v>
      </c>
      <c r="BH362" s="401">
        <f>IF(BH$15&lt;Assumptions!$O218+$L$206,$G362*BH285,0)</f>
        <v>0</v>
      </c>
      <c r="BI362" s="401">
        <f>IF(BI$15&lt;Assumptions!$O218+$L$206,$G362*BI285,0)</f>
        <v>0</v>
      </c>
      <c r="BJ362" s="401">
        <f>IF(BJ$15&lt;Assumptions!$O218+$L$206,$G362*BJ285,0)</f>
        <v>0</v>
      </c>
      <c r="BK362" s="401">
        <f>IF(BK$15&lt;Assumptions!$O218+$L$206,$G362*BK285,0)</f>
        <v>0</v>
      </c>
      <c r="BL362" s="401">
        <f>IF(BL$15&lt;Assumptions!$O218+$L$206,$G362*BL285,0)</f>
        <v>0</v>
      </c>
      <c r="BM362" s="401">
        <f>IF(BM$15&lt;Assumptions!$O218+$L$206,$G362*BM285,0)</f>
        <v>0</v>
      </c>
      <c r="BN362" s="401">
        <f>IF(BN$15&lt;Assumptions!$O218+$L$206,$G362*BN285,0)</f>
        <v>0</v>
      </c>
      <c r="BO362" s="401">
        <f>IF(BO$15&lt;Assumptions!$O218+$L$206,$G362*BO285,0)</f>
        <v>0</v>
      </c>
      <c r="BP362" s="401">
        <f>IF(BP$15&lt;Assumptions!$O218+$L$206,$G362*BP285,0)</f>
        <v>0</v>
      </c>
    </row>
    <row r="363" spans="2:68" outlineLevel="1" x14ac:dyDescent="0.2">
      <c r="B363" s="20"/>
      <c r="C363" s="80"/>
      <c r="D363" s="402" t="str">
        <f>$D$286</f>
        <v>Safety risk</v>
      </c>
      <c r="E363" s="80"/>
      <c r="F363" s="80"/>
      <c r="G363" s="477">
        <f>Assumptions!$H$219</f>
        <v>0</v>
      </c>
      <c r="H363" s="477">
        <f>Assumptions!$I$219</f>
        <v>1</v>
      </c>
      <c r="I363" s="83"/>
      <c r="J363" s="85" t="str">
        <f>Assumptions!$K$219</f>
        <v>ICT/OT hardware or software failure risk</v>
      </c>
      <c r="K363" s="401">
        <f>SUMPRODUCT($R$297:$BP$297,R363:BP363)</f>
        <v>0</v>
      </c>
      <c r="L363" s="436">
        <f>SUM(M363:BP363)</f>
        <v>0</v>
      </c>
      <c r="M363" s="457"/>
      <c r="N363" s="455"/>
      <c r="O363" s="455"/>
      <c r="P363" s="455"/>
      <c r="Q363" s="455"/>
      <c r="R363" s="401">
        <f t="shared" ref="R363:AW363" si="515">$G363*R286</f>
        <v>0</v>
      </c>
      <c r="S363" s="401">
        <f t="shared" si="515"/>
        <v>0</v>
      </c>
      <c r="T363" s="401">
        <f t="shared" si="515"/>
        <v>0</v>
      </c>
      <c r="U363" s="401">
        <f t="shared" si="515"/>
        <v>0</v>
      </c>
      <c r="V363" s="401">
        <f t="shared" si="515"/>
        <v>0</v>
      </c>
      <c r="W363" s="401">
        <f t="shared" si="515"/>
        <v>0</v>
      </c>
      <c r="X363" s="401">
        <f t="shared" si="515"/>
        <v>0</v>
      </c>
      <c r="Y363" s="401">
        <f t="shared" si="515"/>
        <v>0</v>
      </c>
      <c r="Z363" s="401">
        <f t="shared" si="515"/>
        <v>0</v>
      </c>
      <c r="AA363" s="401">
        <f t="shared" si="515"/>
        <v>0</v>
      </c>
      <c r="AB363" s="401">
        <f t="shared" si="515"/>
        <v>0</v>
      </c>
      <c r="AC363" s="401">
        <f t="shared" si="515"/>
        <v>0</v>
      </c>
      <c r="AD363" s="401">
        <f t="shared" si="515"/>
        <v>0</v>
      </c>
      <c r="AE363" s="401">
        <f t="shared" si="515"/>
        <v>0</v>
      </c>
      <c r="AF363" s="401">
        <f t="shared" si="515"/>
        <v>0</v>
      </c>
      <c r="AG363" s="401">
        <f t="shared" si="515"/>
        <v>0</v>
      </c>
      <c r="AH363" s="401">
        <f t="shared" si="515"/>
        <v>0</v>
      </c>
      <c r="AI363" s="401">
        <f t="shared" si="515"/>
        <v>0</v>
      </c>
      <c r="AJ363" s="401">
        <f t="shared" si="515"/>
        <v>0</v>
      </c>
      <c r="AK363" s="401">
        <f t="shared" si="515"/>
        <v>0</v>
      </c>
      <c r="AL363" s="401">
        <f t="shared" si="515"/>
        <v>0</v>
      </c>
      <c r="AM363" s="401">
        <f t="shared" si="515"/>
        <v>0</v>
      </c>
      <c r="AN363" s="401">
        <f t="shared" si="515"/>
        <v>0</v>
      </c>
      <c r="AO363" s="401">
        <f t="shared" si="515"/>
        <v>0</v>
      </c>
      <c r="AP363" s="401">
        <f t="shared" si="515"/>
        <v>0</v>
      </c>
      <c r="AQ363" s="401">
        <f t="shared" si="515"/>
        <v>0</v>
      </c>
      <c r="AR363" s="401">
        <f t="shared" si="515"/>
        <v>0</v>
      </c>
      <c r="AS363" s="401">
        <f t="shared" si="515"/>
        <v>0</v>
      </c>
      <c r="AT363" s="401">
        <f t="shared" si="515"/>
        <v>0</v>
      </c>
      <c r="AU363" s="401">
        <f t="shared" si="515"/>
        <v>0</v>
      </c>
      <c r="AV363" s="401">
        <f t="shared" si="515"/>
        <v>0</v>
      </c>
      <c r="AW363" s="401">
        <f t="shared" si="515"/>
        <v>0</v>
      </c>
      <c r="AX363" s="401">
        <f t="shared" ref="AX363:BP363" si="516">$G363*AX286</f>
        <v>0</v>
      </c>
      <c r="AY363" s="401">
        <f t="shared" si="516"/>
        <v>0</v>
      </c>
      <c r="AZ363" s="401">
        <f t="shared" si="516"/>
        <v>0</v>
      </c>
      <c r="BA363" s="401">
        <f t="shared" si="516"/>
        <v>0</v>
      </c>
      <c r="BB363" s="401">
        <f t="shared" si="516"/>
        <v>0</v>
      </c>
      <c r="BC363" s="401">
        <f t="shared" si="516"/>
        <v>0</v>
      </c>
      <c r="BD363" s="401">
        <f t="shared" si="516"/>
        <v>0</v>
      </c>
      <c r="BE363" s="401">
        <f t="shared" si="516"/>
        <v>0</v>
      </c>
      <c r="BF363" s="401">
        <f t="shared" si="516"/>
        <v>0</v>
      </c>
      <c r="BG363" s="401">
        <f t="shared" si="516"/>
        <v>0</v>
      </c>
      <c r="BH363" s="401">
        <f t="shared" si="516"/>
        <v>0</v>
      </c>
      <c r="BI363" s="401">
        <f t="shared" si="516"/>
        <v>0</v>
      </c>
      <c r="BJ363" s="401">
        <f t="shared" si="516"/>
        <v>0</v>
      </c>
      <c r="BK363" s="401">
        <f t="shared" si="516"/>
        <v>0</v>
      </c>
      <c r="BL363" s="401">
        <f t="shared" si="516"/>
        <v>0</v>
      </c>
      <c r="BM363" s="401">
        <f t="shared" si="516"/>
        <v>0</v>
      </c>
      <c r="BN363" s="401">
        <f t="shared" si="516"/>
        <v>0</v>
      </c>
      <c r="BO363" s="401">
        <f t="shared" si="516"/>
        <v>0</v>
      </c>
      <c r="BP363" s="401">
        <f t="shared" si="516"/>
        <v>0</v>
      </c>
    </row>
    <row r="364" spans="2:68" outlineLevel="1" x14ac:dyDescent="0.2">
      <c r="B364" s="20"/>
      <c r="C364" s="80"/>
      <c r="D364" s="81" t="str">
        <f>$D$287</f>
        <v>Employee engagement</v>
      </c>
      <c r="E364" s="80"/>
      <c r="F364" s="80"/>
      <c r="G364" s="83"/>
      <c r="H364" s="83"/>
      <c r="I364" s="83"/>
      <c r="J364" s="85"/>
      <c r="K364" s="401"/>
      <c r="L364" s="436"/>
      <c r="M364" s="457"/>
      <c r="N364" s="455"/>
      <c r="O364" s="455"/>
      <c r="P364" s="455"/>
      <c r="Q364" s="455"/>
      <c r="R364" s="455"/>
      <c r="S364" s="455"/>
      <c r="T364" s="455"/>
      <c r="U364" s="455"/>
      <c r="V364" s="455"/>
      <c r="W364" s="455"/>
      <c r="X364" s="455"/>
      <c r="Y364" s="455"/>
      <c r="Z364" s="455"/>
      <c r="AA364" s="455"/>
      <c r="AB364" s="455"/>
      <c r="AC364" s="455"/>
      <c r="AD364" s="455"/>
      <c r="AE364" s="455"/>
      <c r="AF364" s="455"/>
      <c r="AG364" s="455"/>
      <c r="AH364" s="455"/>
      <c r="AI364" s="455"/>
      <c r="AJ364" s="455"/>
      <c r="AK364" s="455"/>
      <c r="AL364" s="455"/>
      <c r="AM364" s="455"/>
      <c r="AN364" s="455"/>
      <c r="AO364" s="455"/>
      <c r="AP364" s="455"/>
      <c r="AQ364" s="455"/>
      <c r="AR364" s="455"/>
      <c r="AS364" s="455"/>
      <c r="AT364" s="455"/>
      <c r="AU364" s="455"/>
      <c r="AV364" s="455"/>
      <c r="AW364" s="455"/>
      <c r="AX364" s="455"/>
      <c r="AY364" s="455"/>
      <c r="AZ364" s="455"/>
      <c r="BA364" s="455"/>
      <c r="BB364" s="455"/>
      <c r="BC364" s="455"/>
      <c r="BD364" s="455"/>
      <c r="BE364" s="455"/>
      <c r="BF364" s="455"/>
      <c r="BG364" s="455"/>
      <c r="BH364" s="455"/>
      <c r="BI364" s="455"/>
      <c r="BJ364" s="455"/>
      <c r="BK364" s="455"/>
      <c r="BL364" s="455"/>
      <c r="BM364" s="455"/>
      <c r="BN364" s="455"/>
      <c r="BO364" s="455"/>
      <c r="BP364" s="455"/>
    </row>
    <row r="365" spans="2:68" outlineLevel="1" x14ac:dyDescent="0.2">
      <c r="B365" s="20"/>
      <c r="C365" s="80"/>
      <c r="D365" s="403" t="str">
        <f>$D$288</f>
        <v>Additional capex completed without additional labour cost</v>
      </c>
      <c r="E365" s="80"/>
      <c r="F365" s="80"/>
      <c r="G365" s="477">
        <f>Assumptions!$H$221</f>
        <v>1</v>
      </c>
      <c r="H365" s="477">
        <f>Assumptions!$I$221</f>
        <v>0</v>
      </c>
      <c r="I365" s="83"/>
      <c r="J365" s="85" t="str">
        <f>Assumptions!$K$221</f>
        <v>Employee engagement</v>
      </c>
      <c r="K365" s="401">
        <f>SUMPRODUCT($R$297:$BP$297,R365:BP365)</f>
        <v>0</v>
      </c>
      <c r="L365" s="436">
        <f t="shared" si="500"/>
        <v>0</v>
      </c>
      <c r="M365" s="457"/>
      <c r="N365" s="455"/>
      <c r="O365" s="455"/>
      <c r="P365" s="455"/>
      <c r="Q365" s="455"/>
      <c r="R365" s="401">
        <f t="shared" ref="R365:AW365" si="517">$G365*R288</f>
        <v>0</v>
      </c>
      <c r="S365" s="401">
        <f t="shared" si="517"/>
        <v>0</v>
      </c>
      <c r="T365" s="401">
        <f t="shared" si="517"/>
        <v>0</v>
      </c>
      <c r="U365" s="401">
        <f t="shared" si="517"/>
        <v>0</v>
      </c>
      <c r="V365" s="401">
        <f t="shared" si="517"/>
        <v>0</v>
      </c>
      <c r="W365" s="401">
        <f t="shared" si="517"/>
        <v>0</v>
      </c>
      <c r="X365" s="401">
        <f t="shared" si="517"/>
        <v>0</v>
      </c>
      <c r="Y365" s="401">
        <f t="shared" si="517"/>
        <v>0</v>
      </c>
      <c r="Z365" s="401">
        <f t="shared" si="517"/>
        <v>0</v>
      </c>
      <c r="AA365" s="401">
        <f t="shared" si="517"/>
        <v>0</v>
      </c>
      <c r="AB365" s="401">
        <f t="shared" si="517"/>
        <v>0</v>
      </c>
      <c r="AC365" s="401">
        <f t="shared" si="517"/>
        <v>0</v>
      </c>
      <c r="AD365" s="401">
        <f t="shared" si="517"/>
        <v>0</v>
      </c>
      <c r="AE365" s="401">
        <f t="shared" si="517"/>
        <v>0</v>
      </c>
      <c r="AF365" s="401">
        <f t="shared" si="517"/>
        <v>0</v>
      </c>
      <c r="AG365" s="401">
        <f t="shared" si="517"/>
        <v>0</v>
      </c>
      <c r="AH365" s="401">
        <f t="shared" si="517"/>
        <v>0</v>
      </c>
      <c r="AI365" s="401">
        <f t="shared" si="517"/>
        <v>0</v>
      </c>
      <c r="AJ365" s="401">
        <f t="shared" si="517"/>
        <v>0</v>
      </c>
      <c r="AK365" s="401">
        <f t="shared" si="517"/>
        <v>0</v>
      </c>
      <c r="AL365" s="401">
        <f t="shared" si="517"/>
        <v>0</v>
      </c>
      <c r="AM365" s="401">
        <f t="shared" si="517"/>
        <v>0</v>
      </c>
      <c r="AN365" s="401">
        <f t="shared" si="517"/>
        <v>0</v>
      </c>
      <c r="AO365" s="401">
        <f t="shared" si="517"/>
        <v>0</v>
      </c>
      <c r="AP365" s="401">
        <f t="shared" si="517"/>
        <v>0</v>
      </c>
      <c r="AQ365" s="401">
        <f t="shared" si="517"/>
        <v>0</v>
      </c>
      <c r="AR365" s="401">
        <f t="shared" si="517"/>
        <v>0</v>
      </c>
      <c r="AS365" s="401">
        <f t="shared" si="517"/>
        <v>0</v>
      </c>
      <c r="AT365" s="401">
        <f t="shared" si="517"/>
        <v>0</v>
      </c>
      <c r="AU365" s="401">
        <f t="shared" si="517"/>
        <v>0</v>
      </c>
      <c r="AV365" s="401">
        <f t="shared" si="517"/>
        <v>0</v>
      </c>
      <c r="AW365" s="401">
        <f t="shared" si="517"/>
        <v>0</v>
      </c>
      <c r="AX365" s="401">
        <f t="shared" ref="AX365:BP365" si="518">$G365*AX288</f>
        <v>0</v>
      </c>
      <c r="AY365" s="401">
        <f t="shared" si="518"/>
        <v>0</v>
      </c>
      <c r="AZ365" s="401">
        <f t="shared" si="518"/>
        <v>0</v>
      </c>
      <c r="BA365" s="401">
        <f t="shared" si="518"/>
        <v>0</v>
      </c>
      <c r="BB365" s="401">
        <f t="shared" si="518"/>
        <v>0</v>
      </c>
      <c r="BC365" s="401">
        <f t="shared" si="518"/>
        <v>0</v>
      </c>
      <c r="BD365" s="401">
        <f t="shared" si="518"/>
        <v>0</v>
      </c>
      <c r="BE365" s="401">
        <f t="shared" si="518"/>
        <v>0</v>
      </c>
      <c r="BF365" s="401">
        <f t="shared" si="518"/>
        <v>0</v>
      </c>
      <c r="BG365" s="401">
        <f t="shared" si="518"/>
        <v>0</v>
      </c>
      <c r="BH365" s="401">
        <f t="shared" si="518"/>
        <v>0</v>
      </c>
      <c r="BI365" s="401">
        <f t="shared" si="518"/>
        <v>0</v>
      </c>
      <c r="BJ365" s="401">
        <f t="shared" si="518"/>
        <v>0</v>
      </c>
      <c r="BK365" s="401">
        <f t="shared" si="518"/>
        <v>0</v>
      </c>
      <c r="BL365" s="401">
        <f t="shared" si="518"/>
        <v>0</v>
      </c>
      <c r="BM365" s="401">
        <f t="shared" si="518"/>
        <v>0</v>
      </c>
      <c r="BN365" s="401">
        <f t="shared" si="518"/>
        <v>0</v>
      </c>
      <c r="BO365" s="401">
        <f t="shared" si="518"/>
        <v>0</v>
      </c>
      <c r="BP365" s="401">
        <f t="shared" si="518"/>
        <v>0</v>
      </c>
    </row>
    <row r="366" spans="2:68" outlineLevel="1" x14ac:dyDescent="0.2">
      <c r="B366" s="20"/>
      <c r="C366" s="80"/>
      <c r="D366" s="403" t="str">
        <f>$D$289</f>
        <v>Decrease in opex costs</v>
      </c>
      <c r="E366" s="80"/>
      <c r="F366" s="80"/>
      <c r="G366" s="477">
        <f>Assumptions!$H$222</f>
        <v>1</v>
      </c>
      <c r="H366" s="477">
        <f>Assumptions!$I$222</f>
        <v>1</v>
      </c>
      <c r="I366" s="83"/>
      <c r="J366" s="85" t="str">
        <f>Assumptions!$K$222</f>
        <v>Employee engagement</v>
      </c>
      <c r="K366" s="401">
        <f>SUMPRODUCT($R$297:$BP$297,R366:BP366)</f>
        <v>0</v>
      </c>
      <c r="L366" s="436">
        <f t="shared" si="500"/>
        <v>0</v>
      </c>
      <c r="M366" s="457"/>
      <c r="N366" s="455"/>
      <c r="O366" s="455"/>
      <c r="P366" s="455"/>
      <c r="Q366" s="455"/>
      <c r="R366" s="401">
        <f>IF(R$15&lt;Assumptions!$O222+$L$211,$G366*R289,0)</f>
        <v>0</v>
      </c>
      <c r="S366" s="401">
        <f>IF(S$15&lt;Assumptions!$O222+$L$211,$G366*S289,0)</f>
        <v>0</v>
      </c>
      <c r="T366" s="401">
        <f>IF(T$15&lt;Assumptions!$O222+$L$211,$G366*T289,0)</f>
        <v>0</v>
      </c>
      <c r="U366" s="401">
        <f>IF(U$15&lt;Assumptions!$O222+$L$211,$G366*U289,0)</f>
        <v>0</v>
      </c>
      <c r="V366" s="401">
        <f>IF(V$15&lt;Assumptions!$O222+$L$211,$G366*V289,0)</f>
        <v>0</v>
      </c>
      <c r="W366" s="401">
        <f>IF(W$15&lt;Assumptions!$O222+$L$211,$G366*W289,0)</f>
        <v>0</v>
      </c>
      <c r="X366" s="401">
        <f>IF(X$15&lt;Assumptions!$O222+$L$211,$G366*X289,0)</f>
        <v>0</v>
      </c>
      <c r="Y366" s="401">
        <f>IF(Y$15&lt;Assumptions!$O222+$L$211,$G366*Y289,0)</f>
        <v>0</v>
      </c>
      <c r="Z366" s="401">
        <f>IF(Z$15&lt;Assumptions!$O222+$L$211,$G366*Z289,0)</f>
        <v>0</v>
      </c>
      <c r="AA366" s="401">
        <f>IF(AA$15&lt;Assumptions!$O222+$L$211,$G366*AA289,0)</f>
        <v>0</v>
      </c>
      <c r="AB366" s="401">
        <f>IF(AB$15&lt;Assumptions!$O222+$L$211,$G366*AB289,0)</f>
        <v>0</v>
      </c>
      <c r="AC366" s="401">
        <f>IF(AC$15&lt;Assumptions!$O222+$L$211,$G366*AC289,0)</f>
        <v>0</v>
      </c>
      <c r="AD366" s="401">
        <f>IF(AD$15&lt;Assumptions!$O222+$L$211,$G366*AD289,0)</f>
        <v>0</v>
      </c>
      <c r="AE366" s="401">
        <f>IF(AE$15&lt;Assumptions!$O222+$L$211,$G366*AE289,0)</f>
        <v>0</v>
      </c>
      <c r="AF366" s="401">
        <f>IF(AF$15&lt;Assumptions!$O222+$L$211,$G366*AF289,0)</f>
        <v>0</v>
      </c>
      <c r="AG366" s="401">
        <f>IF(AG$15&lt;Assumptions!$O222+$L$211,$G366*AG289,0)</f>
        <v>0</v>
      </c>
      <c r="AH366" s="401">
        <f>IF(AH$15&lt;Assumptions!$O222+$L$211,$G366*AH289,0)</f>
        <v>0</v>
      </c>
      <c r="AI366" s="401">
        <f>IF(AI$15&lt;Assumptions!$O222+$L$211,$G366*AI289,0)</f>
        <v>0</v>
      </c>
      <c r="AJ366" s="401">
        <f>IF(AJ$15&lt;Assumptions!$O222+$L$211,$G366*AJ289,0)</f>
        <v>0</v>
      </c>
      <c r="AK366" s="401">
        <f>IF(AK$15&lt;Assumptions!$O222+$L$211,$G366*AK289,0)</f>
        <v>0</v>
      </c>
      <c r="AL366" s="401">
        <f>IF(AL$15&lt;Assumptions!$O222+$L$211,$G366*AL289,0)</f>
        <v>0</v>
      </c>
      <c r="AM366" s="401">
        <f>IF(AM$15&lt;Assumptions!$O222+$L$211,$G366*AM289,0)</f>
        <v>0</v>
      </c>
      <c r="AN366" s="401">
        <f>IF(AN$15&lt;Assumptions!$O222+$L$211,$G366*AN289,0)</f>
        <v>0</v>
      </c>
      <c r="AO366" s="401">
        <f>IF(AO$15&lt;Assumptions!$O222+$L$211,$G366*AO289,0)</f>
        <v>0</v>
      </c>
      <c r="AP366" s="401">
        <f>IF(AP$15&lt;Assumptions!$O222+$L$211,$G366*AP289,0)</f>
        <v>0</v>
      </c>
      <c r="AQ366" s="401">
        <f>IF(AQ$15&lt;Assumptions!$O222+$L$211,$G366*AQ289,0)</f>
        <v>0</v>
      </c>
      <c r="AR366" s="401">
        <f>IF(AR$15&lt;Assumptions!$O222+$L$211,$G366*AR289,0)</f>
        <v>0</v>
      </c>
      <c r="AS366" s="401">
        <f>IF(AS$15&lt;Assumptions!$O222+$L$211,$G366*AS289,0)</f>
        <v>0</v>
      </c>
      <c r="AT366" s="401">
        <f>IF(AT$15&lt;Assumptions!$O222+$L$211,$G366*AT289,0)</f>
        <v>0</v>
      </c>
      <c r="AU366" s="401">
        <f>IF(AU$15&lt;Assumptions!$O222+$L$211,$G366*AU289,0)</f>
        <v>0</v>
      </c>
      <c r="AV366" s="401">
        <f>IF(AV$15&lt;Assumptions!$O222+$L$211,$G366*AV289,0)</f>
        <v>0</v>
      </c>
      <c r="AW366" s="401">
        <f>IF(AW$15&lt;Assumptions!$O222+$L$211,$G366*AW289,0)</f>
        <v>0</v>
      </c>
      <c r="AX366" s="401">
        <f>IF(AX$15&lt;Assumptions!$O222+$L$211,$G366*AX289,0)</f>
        <v>0</v>
      </c>
      <c r="AY366" s="401">
        <f>IF(AY$15&lt;Assumptions!$O222+$L$211,$G366*AY289,0)</f>
        <v>0</v>
      </c>
      <c r="AZ366" s="401">
        <f>IF(AZ$15&lt;Assumptions!$O222+$L$211,$G366*AZ289,0)</f>
        <v>0</v>
      </c>
      <c r="BA366" s="401">
        <f>IF(BA$15&lt;Assumptions!$O222+$L$211,$G366*BA289,0)</f>
        <v>0</v>
      </c>
      <c r="BB366" s="401">
        <f>IF(BB$15&lt;Assumptions!$O222+$L$211,$G366*BB289,0)</f>
        <v>0</v>
      </c>
      <c r="BC366" s="401">
        <f>IF(BC$15&lt;Assumptions!$O222+$L$211,$G366*BC289,0)</f>
        <v>0</v>
      </c>
      <c r="BD366" s="401">
        <f>IF(BD$15&lt;Assumptions!$O222+$L$211,$G366*BD289,0)</f>
        <v>0</v>
      </c>
      <c r="BE366" s="401">
        <f>IF(BE$15&lt;Assumptions!$O222+$L$211,$G366*BE289,0)</f>
        <v>0</v>
      </c>
      <c r="BF366" s="401">
        <f>IF(BF$15&lt;Assumptions!$O222+$L$211,$G366*BF289,0)</f>
        <v>0</v>
      </c>
      <c r="BG366" s="401">
        <f>IF(BG$15&lt;Assumptions!$O222+$L$211,$G366*BG289,0)</f>
        <v>0</v>
      </c>
      <c r="BH366" s="401">
        <f>IF(BH$15&lt;Assumptions!$O222+$L$211,$G366*BH289,0)</f>
        <v>0</v>
      </c>
      <c r="BI366" s="401">
        <f>IF(BI$15&lt;Assumptions!$O222+$L$211,$G366*BI289,0)</f>
        <v>0</v>
      </c>
      <c r="BJ366" s="401">
        <f>IF(BJ$15&lt;Assumptions!$O222+$L$211,$G366*BJ289,0)</f>
        <v>0</v>
      </c>
      <c r="BK366" s="401">
        <f>IF(BK$15&lt;Assumptions!$O222+$L$211,$G366*BK289,0)</f>
        <v>0</v>
      </c>
      <c r="BL366" s="401">
        <f>IF(BL$15&lt;Assumptions!$O222+$L$211,$G366*BL289,0)</f>
        <v>0</v>
      </c>
      <c r="BM366" s="401">
        <f>IF(BM$15&lt;Assumptions!$O222+$L$211,$G366*BM289,0)</f>
        <v>0</v>
      </c>
      <c r="BN366" s="401">
        <f>IF(BN$15&lt;Assumptions!$O222+$L$211,$G366*BN289,0)</f>
        <v>0</v>
      </c>
      <c r="BO366" s="401">
        <f>IF(BO$15&lt;Assumptions!$O222+$L$211,$G366*BO289,0)</f>
        <v>0</v>
      </c>
      <c r="BP366" s="401">
        <f>IF(BP$15&lt;Assumptions!$O222+$L$211,$G366*BP289,0)</f>
        <v>0</v>
      </c>
    </row>
    <row r="367" spans="2:68" outlineLevel="1" x14ac:dyDescent="0.2">
      <c r="B367" s="20"/>
      <c r="C367" s="80"/>
      <c r="D367" s="81" t="str">
        <f>$D$290</f>
        <v>Customer value</v>
      </c>
      <c r="E367" s="80"/>
      <c r="F367" s="80"/>
      <c r="G367" s="477">
        <f>Assumptions!$H$223</f>
        <v>0</v>
      </c>
      <c r="H367" s="477">
        <f>Assumptions!$I$223</f>
        <v>1</v>
      </c>
      <c r="I367" s="83"/>
      <c r="J367" s="85" t="str">
        <f>Assumptions!$K$223</f>
        <v>Customer value</v>
      </c>
      <c r="K367" s="401">
        <f>SUMPRODUCT($R$297:$BP$297,R367:BP367)</f>
        <v>0</v>
      </c>
      <c r="L367" s="436">
        <f t="shared" si="500"/>
        <v>0</v>
      </c>
      <c r="M367" s="457"/>
      <c r="N367" s="455"/>
      <c r="O367" s="455"/>
      <c r="P367" s="455"/>
      <c r="Q367" s="455"/>
      <c r="R367" s="401">
        <f t="shared" ref="R367:AW367" si="519">$G367*R290</f>
        <v>0</v>
      </c>
      <c r="S367" s="401">
        <f t="shared" si="519"/>
        <v>0</v>
      </c>
      <c r="T367" s="401">
        <f t="shared" si="519"/>
        <v>0</v>
      </c>
      <c r="U367" s="401">
        <f t="shared" si="519"/>
        <v>0</v>
      </c>
      <c r="V367" s="401">
        <f t="shared" si="519"/>
        <v>0</v>
      </c>
      <c r="W367" s="401">
        <f t="shared" si="519"/>
        <v>0</v>
      </c>
      <c r="X367" s="401">
        <f t="shared" si="519"/>
        <v>0</v>
      </c>
      <c r="Y367" s="401">
        <f t="shared" si="519"/>
        <v>0</v>
      </c>
      <c r="Z367" s="401">
        <f t="shared" si="519"/>
        <v>0</v>
      </c>
      <c r="AA367" s="401">
        <f t="shared" si="519"/>
        <v>0</v>
      </c>
      <c r="AB367" s="401">
        <f t="shared" si="519"/>
        <v>0</v>
      </c>
      <c r="AC367" s="401">
        <f t="shared" si="519"/>
        <v>0</v>
      </c>
      <c r="AD367" s="401">
        <f t="shared" si="519"/>
        <v>0</v>
      </c>
      <c r="AE367" s="401">
        <f t="shared" si="519"/>
        <v>0</v>
      </c>
      <c r="AF367" s="401">
        <f t="shared" si="519"/>
        <v>0</v>
      </c>
      <c r="AG367" s="401">
        <f t="shared" si="519"/>
        <v>0</v>
      </c>
      <c r="AH367" s="401">
        <f t="shared" si="519"/>
        <v>0</v>
      </c>
      <c r="AI367" s="401">
        <f t="shared" si="519"/>
        <v>0</v>
      </c>
      <c r="AJ367" s="401">
        <f t="shared" si="519"/>
        <v>0</v>
      </c>
      <c r="AK367" s="401">
        <f t="shared" si="519"/>
        <v>0</v>
      </c>
      <c r="AL367" s="401">
        <f t="shared" si="519"/>
        <v>0</v>
      </c>
      <c r="AM367" s="401">
        <f t="shared" si="519"/>
        <v>0</v>
      </c>
      <c r="AN367" s="401">
        <f t="shared" si="519"/>
        <v>0</v>
      </c>
      <c r="AO367" s="401">
        <f t="shared" si="519"/>
        <v>0</v>
      </c>
      <c r="AP367" s="401">
        <f t="shared" si="519"/>
        <v>0</v>
      </c>
      <c r="AQ367" s="401">
        <f t="shared" si="519"/>
        <v>0</v>
      </c>
      <c r="AR367" s="401">
        <f t="shared" si="519"/>
        <v>0</v>
      </c>
      <c r="AS367" s="401">
        <f t="shared" si="519"/>
        <v>0</v>
      </c>
      <c r="AT367" s="401">
        <f t="shared" si="519"/>
        <v>0</v>
      </c>
      <c r="AU367" s="401">
        <f t="shared" si="519"/>
        <v>0</v>
      </c>
      <c r="AV367" s="401">
        <f t="shared" si="519"/>
        <v>0</v>
      </c>
      <c r="AW367" s="401">
        <f t="shared" si="519"/>
        <v>0</v>
      </c>
      <c r="AX367" s="401">
        <f t="shared" ref="AX367:BP367" si="520">$G367*AX290</f>
        <v>0</v>
      </c>
      <c r="AY367" s="401">
        <f t="shared" si="520"/>
        <v>0</v>
      </c>
      <c r="AZ367" s="401">
        <f t="shared" si="520"/>
        <v>0</v>
      </c>
      <c r="BA367" s="401">
        <f t="shared" si="520"/>
        <v>0</v>
      </c>
      <c r="BB367" s="401">
        <f t="shared" si="520"/>
        <v>0</v>
      </c>
      <c r="BC367" s="401">
        <f t="shared" si="520"/>
        <v>0</v>
      </c>
      <c r="BD367" s="401">
        <f t="shared" si="520"/>
        <v>0</v>
      </c>
      <c r="BE367" s="401">
        <f t="shared" si="520"/>
        <v>0</v>
      </c>
      <c r="BF367" s="401">
        <f t="shared" si="520"/>
        <v>0</v>
      </c>
      <c r="BG367" s="401">
        <f t="shared" si="520"/>
        <v>0</v>
      </c>
      <c r="BH367" s="401">
        <f t="shared" si="520"/>
        <v>0</v>
      </c>
      <c r="BI367" s="401">
        <f t="shared" si="520"/>
        <v>0</v>
      </c>
      <c r="BJ367" s="401">
        <f t="shared" si="520"/>
        <v>0</v>
      </c>
      <c r="BK367" s="401">
        <f t="shared" si="520"/>
        <v>0</v>
      </c>
      <c r="BL367" s="401">
        <f t="shared" si="520"/>
        <v>0</v>
      </c>
      <c r="BM367" s="401">
        <f t="shared" si="520"/>
        <v>0</v>
      </c>
      <c r="BN367" s="401">
        <f t="shared" si="520"/>
        <v>0</v>
      </c>
      <c r="BO367" s="401">
        <f t="shared" si="520"/>
        <v>0</v>
      </c>
      <c r="BP367" s="401">
        <f t="shared" si="520"/>
        <v>0</v>
      </c>
    </row>
    <row r="368" spans="2:68" ht="10.8" outlineLevel="1" thickBot="1" x14ac:dyDescent="0.25">
      <c r="B368" s="20"/>
      <c r="C368" s="80"/>
      <c r="D368" s="85"/>
      <c r="E368" s="80"/>
      <c r="F368" s="80"/>
      <c r="G368" s="80"/>
      <c r="H368" s="80"/>
      <c r="I368" s="80"/>
      <c r="J368" s="80"/>
      <c r="K368" s="79"/>
      <c r="L368" s="424"/>
      <c r="M368" s="425"/>
      <c r="N368" s="83"/>
      <c r="O368" s="83"/>
      <c r="P368" s="83"/>
      <c r="Q368" s="83"/>
      <c r="R368" s="35"/>
      <c r="S368" s="35"/>
      <c r="T368" s="35"/>
      <c r="U368" s="35"/>
      <c r="V368" s="35"/>
      <c r="W368" s="35"/>
      <c r="X368" s="35"/>
      <c r="Y368" s="35"/>
      <c r="Z368" s="35"/>
      <c r="AA368" s="35"/>
      <c r="AB368" s="35"/>
      <c r="AC368" s="35"/>
      <c r="AD368" s="35"/>
      <c r="AE368" s="35"/>
      <c r="AF368" s="35"/>
      <c r="AG368" s="35"/>
      <c r="AH368" s="35"/>
      <c r="AI368" s="35"/>
      <c r="AJ368" s="35"/>
      <c r="AK368" s="35"/>
      <c r="AL368" s="35"/>
      <c r="AM368" s="35"/>
      <c r="AN368" s="35"/>
      <c r="AO368" s="35"/>
      <c r="AP368" s="35"/>
      <c r="AQ368" s="35"/>
      <c r="AR368" s="35"/>
      <c r="AS368" s="35"/>
      <c r="AT368" s="35"/>
      <c r="AU368" s="35"/>
      <c r="AV368" s="35"/>
      <c r="AW368" s="35"/>
      <c r="AX368" s="35"/>
      <c r="AY368" s="35"/>
      <c r="AZ368" s="35"/>
      <c r="BA368" s="35"/>
      <c r="BB368" s="35"/>
      <c r="BC368" s="35"/>
      <c r="BD368" s="35"/>
      <c r="BE368" s="35"/>
      <c r="BF368" s="35"/>
      <c r="BG368" s="35"/>
      <c r="BH368" s="35"/>
      <c r="BI368" s="35"/>
      <c r="BJ368" s="35"/>
      <c r="BK368" s="35"/>
      <c r="BL368" s="35"/>
      <c r="BM368" s="35"/>
      <c r="BN368" s="35"/>
      <c r="BO368" s="35"/>
      <c r="BP368" s="35"/>
    </row>
    <row r="369" spans="1:68" ht="10.8" outlineLevel="1" thickTop="1" x14ac:dyDescent="0.2">
      <c r="A369" s="80"/>
      <c r="B369" s="20"/>
      <c r="C369" s="80"/>
      <c r="D369" s="40" t="s">
        <v>221</v>
      </c>
      <c r="E369" s="487"/>
      <c r="F369" s="487"/>
      <c r="G369" s="487"/>
      <c r="H369" s="487"/>
      <c r="I369" s="487"/>
      <c r="J369" s="487"/>
      <c r="K369" s="41">
        <f>SUMPRODUCT($R$297:$BP$297,R369:BP369)</f>
        <v>1837086.5324672651</v>
      </c>
      <c r="L369" s="128">
        <f>SUM(M369:BP369)</f>
        <v>27571858.513817228</v>
      </c>
      <c r="M369" s="129"/>
      <c r="N369" s="97"/>
      <c r="O369" s="97"/>
      <c r="P369" s="97"/>
      <c r="Q369" s="97"/>
      <c r="R369" s="41">
        <f>SUM(R304,R309,R312,R315,R318,R321,R324,R327:R328,R331,R334:R339,R342:R349,R351,R353:R357,R359,R361:R363,R365:R367)</f>
        <v>0</v>
      </c>
      <c r="S369" s="41">
        <f t="shared" ref="S369:BP369" si="521">SUM(S304,S309,S312,S315,S318,S321,S324,S327:S328,S331,S334:S339,S342:S349,S351,S353:S357,S359,S361:S363,S365:S367)</f>
        <v>0</v>
      </c>
      <c r="T369" s="41">
        <f t="shared" si="521"/>
        <v>0</v>
      </c>
      <c r="U369" s="41">
        <f t="shared" si="521"/>
        <v>-2389562.0601607985</v>
      </c>
      <c r="V369" s="41">
        <f t="shared" si="521"/>
        <v>-2296645.0085005895</v>
      </c>
      <c r="W369" s="41">
        <f t="shared" si="521"/>
        <v>-2216902.6992160883</v>
      </c>
      <c r="X369" s="41">
        <f t="shared" si="521"/>
        <v>-965288.22944219573</v>
      </c>
      <c r="Y369" s="41">
        <f t="shared" si="521"/>
        <v>-981950.01851658721</v>
      </c>
      <c r="Z369" s="41">
        <f t="shared" si="521"/>
        <v>3126186.3757184846</v>
      </c>
      <c r="AA369" s="41">
        <f t="shared" si="521"/>
        <v>2135792.4568075156</v>
      </c>
      <c r="AB369" s="41">
        <f t="shared" si="521"/>
        <v>1441714.5249675154</v>
      </c>
      <c r="AC369" s="41">
        <f t="shared" si="521"/>
        <v>741922.5635200002</v>
      </c>
      <c r="AD369" s="41">
        <f t="shared" si="521"/>
        <v>195256.35904000021</v>
      </c>
      <c r="AE369" s="41">
        <f t="shared" si="521"/>
        <v>-452139.6460799998</v>
      </c>
      <c r="AF369" s="41">
        <f t="shared" si="521"/>
        <v>-429611.25119999982</v>
      </c>
      <c r="AG369" s="41">
        <f t="shared" si="521"/>
        <v>-407082.85631999979</v>
      </c>
      <c r="AH369" s="41">
        <f t="shared" si="521"/>
        <v>-384554.46143999981</v>
      </c>
      <c r="AI369" s="41">
        <f t="shared" si="521"/>
        <v>-362026.06655999977</v>
      </c>
      <c r="AJ369" s="41">
        <f t="shared" si="521"/>
        <v>-339497.6716799998</v>
      </c>
      <c r="AK369" s="41">
        <f t="shared" si="521"/>
        <v>-316969.27679999982</v>
      </c>
      <c r="AL369" s="41">
        <f t="shared" si="521"/>
        <v>-294440.88191999984</v>
      </c>
      <c r="AM369" s="41">
        <f t="shared" si="521"/>
        <v>-271912.48703999986</v>
      </c>
      <c r="AN369" s="41">
        <f t="shared" si="521"/>
        <v>-249384.09215999994</v>
      </c>
      <c r="AO369" s="41">
        <f t="shared" si="521"/>
        <v>-226855.69727999996</v>
      </c>
      <c r="AP369" s="41">
        <f t="shared" si="521"/>
        <v>-204327.30239999999</v>
      </c>
      <c r="AQ369" s="41">
        <f t="shared" si="521"/>
        <v>-181798.90752000001</v>
      </c>
      <c r="AR369" s="41">
        <f t="shared" si="521"/>
        <v>-159270.51264000003</v>
      </c>
      <c r="AS369" s="41">
        <f t="shared" si="521"/>
        <v>-136742.11776000005</v>
      </c>
      <c r="AT369" s="41">
        <f t="shared" si="521"/>
        <v>-114213.72288000002</v>
      </c>
      <c r="AU369" s="41">
        <f t="shared" si="521"/>
        <v>-91685.328000000096</v>
      </c>
      <c r="AV369" s="41">
        <f t="shared" si="521"/>
        <v>-69156.933120000176</v>
      </c>
      <c r="AW369" s="41">
        <f t="shared" si="521"/>
        <v>-46628.53824000014</v>
      </c>
      <c r="AX369" s="41">
        <f t="shared" si="521"/>
        <v>-24100.14336000022</v>
      </c>
      <c r="AY369" s="41">
        <f t="shared" si="521"/>
        <v>-1571.7484800001839</v>
      </c>
      <c r="AZ369" s="41">
        <f t="shared" si="521"/>
        <v>20956.646399999736</v>
      </c>
      <c r="BA369" s="41">
        <f t="shared" si="521"/>
        <v>43485.041279999772</v>
      </c>
      <c r="BB369" s="41">
        <f t="shared" si="521"/>
        <v>66013.436159999692</v>
      </c>
      <c r="BC369" s="41">
        <f t="shared" si="521"/>
        <v>88541.831039999728</v>
      </c>
      <c r="BD369" s="41">
        <f t="shared" si="521"/>
        <v>111070.22591999965</v>
      </c>
      <c r="BE369" s="41">
        <f t="shared" si="521"/>
        <v>133598.62079999968</v>
      </c>
      <c r="BF369" s="41">
        <f t="shared" si="521"/>
        <v>156127.0156799996</v>
      </c>
      <c r="BG369" s="41">
        <f t="shared" si="521"/>
        <v>178655.41055999964</v>
      </c>
      <c r="BH369" s="41">
        <f t="shared" si="521"/>
        <v>201183.80543999956</v>
      </c>
      <c r="BI369" s="41">
        <f t="shared" si="521"/>
        <v>223712.2003199996</v>
      </c>
      <c r="BJ369" s="41">
        <f t="shared" si="521"/>
        <v>246240.59519999952</v>
      </c>
      <c r="BK369" s="41">
        <f t="shared" si="521"/>
        <v>268768.99007999955</v>
      </c>
      <c r="BL369" s="41">
        <f t="shared" si="521"/>
        <v>291297.38495999947</v>
      </c>
      <c r="BM369" s="41">
        <f t="shared" si="521"/>
        <v>313825.77983999939</v>
      </c>
      <c r="BN369" s="41">
        <f t="shared" si="521"/>
        <v>336354.17471999943</v>
      </c>
      <c r="BO369" s="41">
        <f t="shared" si="521"/>
        <v>358882.56959999935</v>
      </c>
      <c r="BP369" s="41">
        <f t="shared" si="521"/>
        <v>30506590.164479975</v>
      </c>
    </row>
    <row r="370" spans="1:68" outlineLevel="1" x14ac:dyDescent="0.2">
      <c r="A370" s="80"/>
      <c r="B370" s="20"/>
      <c r="C370" s="80"/>
      <c r="D370" s="96" t="s">
        <v>403</v>
      </c>
      <c r="E370" s="80"/>
      <c r="F370" s="80"/>
      <c r="G370" s="80"/>
      <c r="H370" s="80"/>
      <c r="I370" s="80"/>
      <c r="J370" s="80"/>
      <c r="K370" s="95">
        <f>SUM(K315:K367,K309,K304,K312)</f>
        <v>1837086.5324672677</v>
      </c>
      <c r="L370" s="95">
        <f>SUM(L315:L367,L309,L304,L312)</f>
        <v>27571858.513817232</v>
      </c>
      <c r="M370" s="127"/>
      <c r="N370" s="34"/>
      <c r="O370" s="34"/>
      <c r="P370" s="34"/>
      <c r="Q370" s="34"/>
      <c r="R370" s="34"/>
      <c r="S370" s="34"/>
      <c r="T370" s="34"/>
      <c r="U370" s="34"/>
      <c r="V370" s="34"/>
      <c r="W370" s="34"/>
      <c r="X370" s="34"/>
      <c r="Y370" s="34"/>
      <c r="Z370" s="34"/>
      <c r="AA370" s="34"/>
      <c r="AB370" s="34"/>
      <c r="AC370" s="34"/>
      <c r="AD370" s="34"/>
      <c r="AE370" s="34"/>
      <c r="AF370" s="34"/>
      <c r="AG370" s="34"/>
      <c r="AH370" s="34"/>
      <c r="AI370" s="34"/>
      <c r="AJ370" s="34"/>
      <c r="AK370" s="34"/>
      <c r="AL370" s="34"/>
      <c r="AM370" s="34"/>
      <c r="AN370" s="34"/>
      <c r="AO370" s="34"/>
      <c r="AP370" s="34"/>
      <c r="AQ370" s="34"/>
      <c r="AR370" s="34"/>
      <c r="AS370" s="34"/>
      <c r="AT370" s="34"/>
      <c r="AU370" s="34"/>
      <c r="AV370" s="34"/>
      <c r="AW370" s="34"/>
      <c r="AX370" s="34"/>
      <c r="AY370" s="34"/>
      <c r="AZ370" s="34"/>
      <c r="BA370" s="34"/>
      <c r="BB370" s="34"/>
      <c r="BC370" s="34"/>
      <c r="BD370" s="34"/>
      <c r="BE370" s="34"/>
      <c r="BF370" s="34"/>
      <c r="BG370" s="34"/>
      <c r="BH370" s="34"/>
      <c r="BI370" s="34"/>
      <c r="BJ370" s="34"/>
      <c r="BK370" s="34"/>
      <c r="BL370" s="34"/>
      <c r="BM370" s="34"/>
      <c r="BN370" s="34"/>
      <c r="BO370" s="34"/>
      <c r="BP370" s="34"/>
    </row>
    <row r="371" spans="1:68" ht="10.35" customHeight="1" outlineLevel="1" x14ac:dyDescent="0.2">
      <c r="A371" s="80"/>
      <c r="B371" s="80"/>
      <c r="C371" s="80"/>
      <c r="D371" s="81"/>
      <c r="E371" s="80"/>
      <c r="F371" s="80"/>
      <c r="G371" s="80"/>
      <c r="H371" s="80"/>
      <c r="I371" s="80"/>
      <c r="J371" s="80"/>
      <c r="K371" s="490"/>
      <c r="L371" s="424"/>
      <c r="M371" s="425"/>
      <c r="N371" s="83"/>
      <c r="O371" s="83"/>
      <c r="P371" s="83"/>
      <c r="Q371" s="83"/>
      <c r="R371" s="29"/>
      <c r="S371" s="29"/>
      <c r="T371" s="29"/>
      <c r="U371" s="29"/>
      <c r="V371" s="29"/>
      <c r="W371" s="29"/>
      <c r="X371" s="29"/>
      <c r="Y371" s="29"/>
      <c r="Z371" s="29"/>
      <c r="AA371" s="29"/>
      <c r="AB371" s="29"/>
      <c r="AC371" s="29"/>
      <c r="AD371" s="29"/>
      <c r="AE371" s="29"/>
      <c r="AF371" s="29"/>
      <c r="AG371" s="29"/>
      <c r="AH371" s="29"/>
      <c r="AI371" s="29"/>
      <c r="AJ371" s="29"/>
      <c r="AK371" s="29"/>
      <c r="AL371" s="29"/>
      <c r="AM371" s="29"/>
      <c r="AN371" s="29"/>
      <c r="AO371" s="29"/>
      <c r="AP371" s="29"/>
      <c r="AQ371" s="29"/>
      <c r="AR371" s="29"/>
      <c r="AS371" s="29"/>
      <c r="AT371" s="29"/>
      <c r="AU371" s="29"/>
      <c r="AV371" s="29"/>
      <c r="AW371" s="29"/>
      <c r="AX371" s="29"/>
      <c r="AY371" s="29"/>
      <c r="AZ371" s="29"/>
      <c r="BA371" s="29"/>
      <c r="BB371" s="29"/>
      <c r="BC371" s="29"/>
      <c r="BD371" s="29"/>
      <c r="BE371" s="29"/>
      <c r="BF371" s="29"/>
      <c r="BG371" s="29"/>
      <c r="BH371" s="29"/>
      <c r="BI371" s="29"/>
      <c r="BJ371" s="29"/>
      <c r="BK371" s="29"/>
      <c r="BL371" s="29"/>
      <c r="BM371" s="29"/>
      <c r="BN371" s="29"/>
      <c r="BO371" s="29"/>
      <c r="BP371" s="29"/>
    </row>
    <row r="372" spans="1:68" s="18" customFormat="1" ht="10.35" customHeight="1" x14ac:dyDescent="0.2">
      <c r="A372" s="426"/>
      <c r="B372" s="426"/>
      <c r="C372" s="19" t="s">
        <v>63</v>
      </c>
      <c r="D372" s="426"/>
      <c r="E372" s="426"/>
      <c r="F372" s="426"/>
      <c r="G372" s="426"/>
      <c r="H372" s="426"/>
      <c r="I372" s="426"/>
      <c r="J372" s="426"/>
      <c r="K372" s="426"/>
      <c r="L372" s="428"/>
      <c r="M372" s="429"/>
      <c r="N372" s="426"/>
      <c r="O372" s="426"/>
      <c r="P372" s="426"/>
      <c r="Q372" s="426"/>
      <c r="R372" s="30"/>
      <c r="S372" s="30"/>
      <c r="T372" s="30"/>
      <c r="U372" s="30"/>
      <c r="V372" s="30"/>
      <c r="W372" s="30"/>
      <c r="X372" s="30"/>
      <c r="Y372" s="30"/>
      <c r="Z372" s="30"/>
      <c r="AA372" s="30"/>
      <c r="AB372" s="30"/>
      <c r="AC372" s="30"/>
      <c r="AD372" s="30"/>
      <c r="AE372" s="30"/>
      <c r="AF372" s="30"/>
      <c r="AG372" s="30"/>
      <c r="AH372" s="30"/>
      <c r="AI372" s="30"/>
      <c r="AJ372" s="30"/>
      <c r="AK372" s="30"/>
      <c r="AL372" s="30"/>
      <c r="AM372" s="30"/>
      <c r="AN372" s="30"/>
      <c r="AO372" s="30"/>
      <c r="AP372" s="30"/>
      <c r="AQ372" s="30"/>
      <c r="AR372" s="30"/>
      <c r="AS372" s="30"/>
      <c r="AT372" s="30"/>
      <c r="AU372" s="30"/>
      <c r="AV372" s="30"/>
      <c r="AW372" s="30"/>
      <c r="AX372" s="30"/>
      <c r="AY372" s="30"/>
      <c r="AZ372" s="30"/>
      <c r="BA372" s="30"/>
      <c r="BB372" s="30"/>
      <c r="BC372" s="30"/>
      <c r="BD372" s="30"/>
      <c r="BE372" s="30"/>
      <c r="BF372" s="30"/>
      <c r="BG372" s="30"/>
      <c r="BH372" s="30"/>
      <c r="BI372" s="30"/>
      <c r="BJ372" s="30"/>
      <c r="BK372" s="30"/>
      <c r="BL372" s="30"/>
      <c r="BM372" s="30"/>
      <c r="BN372" s="30"/>
      <c r="BO372" s="30"/>
      <c r="BP372" s="30"/>
    </row>
    <row r="373" spans="1:68" ht="10.35" customHeight="1" outlineLevel="1" x14ac:dyDescent="0.2">
      <c r="A373" s="80"/>
      <c r="B373" s="80"/>
      <c r="C373" s="80"/>
      <c r="D373" s="80"/>
      <c r="E373" s="80"/>
      <c r="F373" s="80"/>
      <c r="G373" s="80"/>
      <c r="H373" s="80"/>
      <c r="I373" s="80"/>
      <c r="J373" s="80"/>
      <c r="K373" s="80"/>
      <c r="L373" s="412"/>
      <c r="M373" s="413"/>
      <c r="N373" s="80"/>
      <c r="O373" s="80"/>
      <c r="P373" s="80"/>
      <c r="Q373" s="80"/>
      <c r="R373" s="29"/>
      <c r="S373" s="29"/>
      <c r="T373" s="29"/>
      <c r="U373" s="29"/>
      <c r="V373" s="29"/>
      <c r="W373" s="29"/>
      <c r="X373" s="29"/>
      <c r="Y373" s="29"/>
      <c r="Z373" s="29"/>
      <c r="AA373" s="29"/>
      <c r="AB373" s="29"/>
      <c r="AC373" s="29"/>
      <c r="AD373" s="29"/>
      <c r="AE373" s="29"/>
      <c r="AF373" s="29"/>
      <c r="AG373" s="29"/>
      <c r="AH373" s="29"/>
      <c r="AI373" s="29"/>
      <c r="AJ373" s="29"/>
      <c r="AK373" s="29"/>
      <c r="AL373" s="29"/>
      <c r="AM373" s="29"/>
      <c r="AN373" s="29"/>
      <c r="AO373" s="29"/>
      <c r="AP373" s="29"/>
      <c r="AQ373" s="29"/>
      <c r="AR373" s="29"/>
      <c r="AS373" s="29"/>
      <c r="AT373" s="29"/>
      <c r="AU373" s="29"/>
      <c r="AV373" s="29"/>
      <c r="AW373" s="29"/>
      <c r="AX373" s="29"/>
      <c r="AY373" s="29"/>
      <c r="AZ373" s="29"/>
      <c r="BA373" s="29"/>
      <c r="BB373" s="29"/>
      <c r="BC373" s="29"/>
      <c r="BD373" s="29"/>
      <c r="BE373" s="29"/>
      <c r="BF373" s="29"/>
      <c r="BG373" s="29"/>
      <c r="BH373" s="29"/>
      <c r="BI373" s="29"/>
      <c r="BJ373" s="29"/>
      <c r="BK373" s="29"/>
      <c r="BL373" s="29"/>
      <c r="BM373" s="29"/>
      <c r="BN373" s="29"/>
      <c r="BO373" s="29"/>
      <c r="BP373" s="29"/>
    </row>
    <row r="374" spans="1:68" s="80" customFormat="1" ht="10.35" customHeight="1" outlineLevel="1" x14ac:dyDescent="0.2">
      <c r="D374" s="10" t="str">
        <f>$D$22</f>
        <v>Customer WACC</v>
      </c>
      <c r="H374"/>
      <c r="I374"/>
      <c r="J374"/>
      <c r="K374"/>
      <c r="L374" s="112"/>
      <c r="M374" s="125"/>
      <c r="N374" s="82"/>
      <c r="O374" s="82"/>
      <c r="P374" s="82"/>
      <c r="Q374" s="82"/>
      <c r="R374" s="91">
        <f t="shared" ref="R374:AW374" si="522">R22</f>
        <v>3.44E-2</v>
      </c>
      <c r="S374" s="91">
        <f t="shared" si="522"/>
        <v>3.44E-2</v>
      </c>
      <c r="T374" s="91">
        <f t="shared" si="522"/>
        <v>3.44E-2</v>
      </c>
      <c r="U374" s="91">
        <f t="shared" si="522"/>
        <v>3.44E-2</v>
      </c>
      <c r="V374" s="91">
        <f t="shared" si="522"/>
        <v>3.44E-2</v>
      </c>
      <c r="W374" s="91">
        <f t="shared" si="522"/>
        <v>3.44E-2</v>
      </c>
      <c r="X374" s="91">
        <f t="shared" si="522"/>
        <v>3.44E-2</v>
      </c>
      <c r="Y374" s="91">
        <f t="shared" si="522"/>
        <v>3.44E-2</v>
      </c>
      <c r="Z374" s="91">
        <f t="shared" si="522"/>
        <v>3.44E-2</v>
      </c>
      <c r="AA374" s="91">
        <f t="shared" si="522"/>
        <v>3.44E-2</v>
      </c>
      <c r="AB374" s="91">
        <f t="shared" si="522"/>
        <v>3.44E-2</v>
      </c>
      <c r="AC374" s="91">
        <f t="shared" si="522"/>
        <v>3.44E-2</v>
      </c>
      <c r="AD374" s="91">
        <f t="shared" si="522"/>
        <v>3.44E-2</v>
      </c>
      <c r="AE374" s="91">
        <f t="shared" si="522"/>
        <v>3.44E-2</v>
      </c>
      <c r="AF374" s="91">
        <f t="shared" si="522"/>
        <v>3.44E-2</v>
      </c>
      <c r="AG374" s="91">
        <f t="shared" si="522"/>
        <v>3.44E-2</v>
      </c>
      <c r="AH374" s="91">
        <f t="shared" si="522"/>
        <v>3.44E-2</v>
      </c>
      <c r="AI374" s="91">
        <f t="shared" si="522"/>
        <v>3.44E-2</v>
      </c>
      <c r="AJ374" s="91">
        <f t="shared" si="522"/>
        <v>3.44E-2</v>
      </c>
      <c r="AK374" s="91">
        <f t="shared" si="522"/>
        <v>3.44E-2</v>
      </c>
      <c r="AL374" s="91">
        <f t="shared" si="522"/>
        <v>3.44E-2</v>
      </c>
      <c r="AM374" s="91">
        <f t="shared" si="522"/>
        <v>3.44E-2</v>
      </c>
      <c r="AN374" s="91">
        <f t="shared" si="522"/>
        <v>3.44E-2</v>
      </c>
      <c r="AO374" s="91">
        <f t="shared" si="522"/>
        <v>3.44E-2</v>
      </c>
      <c r="AP374" s="91">
        <f t="shared" si="522"/>
        <v>3.44E-2</v>
      </c>
      <c r="AQ374" s="91">
        <f t="shared" si="522"/>
        <v>3.44E-2</v>
      </c>
      <c r="AR374" s="91">
        <f t="shared" si="522"/>
        <v>3.44E-2</v>
      </c>
      <c r="AS374" s="91">
        <f t="shared" si="522"/>
        <v>3.44E-2</v>
      </c>
      <c r="AT374" s="91">
        <f t="shared" si="522"/>
        <v>3.44E-2</v>
      </c>
      <c r="AU374" s="91">
        <f t="shared" si="522"/>
        <v>3.44E-2</v>
      </c>
      <c r="AV374" s="91">
        <f t="shared" si="522"/>
        <v>3.44E-2</v>
      </c>
      <c r="AW374" s="91">
        <f t="shared" si="522"/>
        <v>3.44E-2</v>
      </c>
      <c r="AX374" s="91">
        <f t="shared" ref="AX374:BP374" si="523">AX22</f>
        <v>3.44E-2</v>
      </c>
      <c r="AY374" s="91">
        <f t="shared" si="523"/>
        <v>3.44E-2</v>
      </c>
      <c r="AZ374" s="91">
        <f t="shared" si="523"/>
        <v>3.44E-2</v>
      </c>
      <c r="BA374" s="91">
        <f t="shared" si="523"/>
        <v>3.44E-2</v>
      </c>
      <c r="BB374" s="91">
        <f t="shared" si="523"/>
        <v>3.44E-2</v>
      </c>
      <c r="BC374" s="91">
        <f t="shared" si="523"/>
        <v>3.44E-2</v>
      </c>
      <c r="BD374" s="91">
        <f t="shared" si="523"/>
        <v>3.44E-2</v>
      </c>
      <c r="BE374" s="91">
        <f t="shared" si="523"/>
        <v>3.44E-2</v>
      </c>
      <c r="BF374" s="91">
        <f t="shared" si="523"/>
        <v>3.44E-2</v>
      </c>
      <c r="BG374" s="91">
        <f t="shared" si="523"/>
        <v>3.44E-2</v>
      </c>
      <c r="BH374" s="91">
        <f t="shared" si="523"/>
        <v>3.44E-2</v>
      </c>
      <c r="BI374" s="91">
        <f t="shared" si="523"/>
        <v>3.44E-2</v>
      </c>
      <c r="BJ374" s="91">
        <f t="shared" si="523"/>
        <v>3.44E-2</v>
      </c>
      <c r="BK374" s="91">
        <f t="shared" si="523"/>
        <v>3.44E-2</v>
      </c>
      <c r="BL374" s="91">
        <f t="shared" si="523"/>
        <v>3.44E-2</v>
      </c>
      <c r="BM374" s="91">
        <f t="shared" si="523"/>
        <v>3.44E-2</v>
      </c>
      <c r="BN374" s="91">
        <f t="shared" si="523"/>
        <v>3.44E-2</v>
      </c>
      <c r="BO374" s="91">
        <f t="shared" si="523"/>
        <v>3.44E-2</v>
      </c>
      <c r="BP374" s="91">
        <f t="shared" si="523"/>
        <v>3.44E-2</v>
      </c>
    </row>
    <row r="375" spans="1:68" s="80" customFormat="1" ht="10.35" customHeight="1" outlineLevel="1" x14ac:dyDescent="0.2">
      <c r="D375" s="66" t="str">
        <f>$D$23</f>
        <v>Discount factor customer WACC</v>
      </c>
      <c r="H375"/>
      <c r="I375"/>
      <c r="J375"/>
      <c r="K375"/>
      <c r="L375" s="112"/>
      <c r="M375" s="125"/>
      <c r="N375" s="82"/>
      <c r="O375" s="82"/>
      <c r="P375" s="82"/>
      <c r="Q375" s="82"/>
      <c r="R375" s="84">
        <f t="shared" ref="R375:AW375" si="524">R23</f>
        <v>1</v>
      </c>
      <c r="S375" s="84">
        <f t="shared" si="524"/>
        <v>0.96674400618716161</v>
      </c>
      <c r="T375" s="84">
        <f t="shared" si="524"/>
        <v>0.9345939734988028</v>
      </c>
      <c r="U375" s="84">
        <f t="shared" si="524"/>
        <v>0.90351312209861057</v>
      </c>
      <c r="V375" s="84">
        <f t="shared" si="524"/>
        <v>0.87346589530028085</v>
      </c>
      <c r="W375" s="84">
        <f t="shared" si="524"/>
        <v>0.84441791889044937</v>
      </c>
      <c r="X375" s="84">
        <f t="shared" si="524"/>
        <v>0.81633596180437873</v>
      </c>
      <c r="Y375" s="84">
        <f t="shared" si="524"/>
        <v>0.78918789810941481</v>
      </c>
      <c r="Z375" s="84">
        <f t="shared" si="524"/>
        <v>0.76294267025272122</v>
      </c>
      <c r="AA375" s="84">
        <f t="shared" si="524"/>
        <v>0.73757025353124628</v>
      </c>
      <c r="AB375" s="84">
        <f t="shared" si="524"/>
        <v>0.71304162174327745</v>
      </c>
      <c r="AC375" s="84">
        <f t="shared" si="524"/>
        <v>0.68932871398228679</v>
      </c>
      <c r="AD375" s="84">
        <f t="shared" si="524"/>
        <v>0.66640440253508004</v>
      </c>
      <c r="AE375" s="84">
        <f t="shared" si="524"/>
        <v>0.64424246184752521</v>
      </c>
      <c r="AF375" s="84">
        <f t="shared" si="524"/>
        <v>0.62281753852235611</v>
      </c>
      <c r="AG375" s="84">
        <f t="shared" si="524"/>
        <v>0.60210512231472935</v>
      </c>
      <c r="AH375" s="84">
        <f t="shared" si="524"/>
        <v>0.58208151809235242</v>
      </c>
      <c r="AI375" s="84">
        <f t="shared" si="524"/>
        <v>0.56272381872810562</v>
      </c>
      <c r="AJ375" s="84">
        <f t="shared" si="524"/>
        <v>0.54400987889414698</v>
      </c>
      <c r="AK375" s="84">
        <f t="shared" si="524"/>
        <v>0.52591828972752031</v>
      </c>
      <c r="AL375" s="84">
        <f t="shared" si="524"/>
        <v>0.50842835433828337</v>
      </c>
      <c r="AM375" s="84">
        <f t="shared" si="524"/>
        <v>0.49152006413213783</v>
      </c>
      <c r="AN375" s="84">
        <f t="shared" si="524"/>
        <v>0.4751740759204735</v>
      </c>
      <c r="AO375" s="84">
        <f t="shared" si="524"/>
        <v>0.45937168979164106</v>
      </c>
      <c r="AP375" s="84">
        <f t="shared" si="524"/>
        <v>0.44409482771813713</v>
      </c>
      <c r="AQ375" s="84">
        <f t="shared" si="524"/>
        <v>0.42932601287522926</v>
      </c>
      <c r="AR375" s="84">
        <f t="shared" si="524"/>
        <v>0.41504834964736004</v>
      </c>
      <c r="AS375" s="84">
        <f t="shared" si="524"/>
        <v>0.40124550429945866</v>
      </c>
      <c r="AT375" s="84">
        <f t="shared" si="524"/>
        <v>0.38790168629104665</v>
      </c>
      <c r="AU375" s="84">
        <f t="shared" si="524"/>
        <v>0.37500163021176203</v>
      </c>
      <c r="AV375" s="84">
        <f t="shared" si="524"/>
        <v>0.36253057831763535</v>
      </c>
      <c r="AW375" s="84">
        <f t="shared" si="524"/>
        <v>0.35047426364813933</v>
      </c>
      <c r="AX375" s="84">
        <f t="shared" ref="AX375:BP375" si="525">AX23</f>
        <v>0.3388188937046977</v>
      </c>
      <c r="AY375" s="84">
        <f t="shared" si="525"/>
        <v>0.32755113467198155</v>
      </c>
      <c r="AZ375" s="84">
        <f t="shared" si="525"/>
        <v>0.31665809616394192</v>
      </c>
      <c r="BA375" s="84">
        <f t="shared" si="525"/>
        <v>0.30612731647712865</v>
      </c>
      <c r="BB375" s="84">
        <f t="shared" si="525"/>
        <v>0.29594674833442441</v>
      </c>
      <c r="BC375" s="84">
        <f t="shared" si="525"/>
        <v>0.28610474510288514</v>
      </c>
      <c r="BD375" s="84">
        <f t="shared" si="525"/>
        <v>0.27659004746991989</v>
      </c>
      <c r="BE375" s="84">
        <f t="shared" si="525"/>
        <v>0.26739177056256758</v>
      </c>
      <c r="BF375" s="84">
        <f t="shared" si="525"/>
        <v>0.2584993914951349</v>
      </c>
      <c r="BG375" s="84">
        <f t="shared" si="525"/>
        <v>0.2499027373309502</v>
      </c>
      <c r="BH375" s="84">
        <f t="shared" si="525"/>
        <v>0.24159197344446073</v>
      </c>
      <c r="BI375" s="84">
        <f t="shared" si="525"/>
        <v>0.23355759227036033</v>
      </c>
      <c r="BJ375" s="84">
        <f t="shared" si="525"/>
        <v>0.22579040242687579</v>
      </c>
      <c r="BK375" s="84">
        <f t="shared" si="525"/>
        <v>0.21828151820076933</v>
      </c>
      <c r="BL375" s="84">
        <f t="shared" si="525"/>
        <v>0.21102234938202757</v>
      </c>
      <c r="BM375" s="84">
        <f t="shared" si="525"/>
        <v>0.20400459143660823</v>
      </c>
      <c r="BN375" s="84">
        <f t="shared" si="525"/>
        <v>0.19722021600600176</v>
      </c>
      <c r="BO375" s="84">
        <f t="shared" si="525"/>
        <v>0.19066146172273951</v>
      </c>
      <c r="BP375" s="84">
        <f t="shared" si="525"/>
        <v>0.18432082533134136</v>
      </c>
    </row>
    <row r="376" spans="1:68" outlineLevel="1" x14ac:dyDescent="0.2">
      <c r="A376" s="80"/>
      <c r="B376" s="20"/>
      <c r="C376" s="80"/>
      <c r="D376" s="85"/>
      <c r="E376" s="80"/>
      <c r="F376" s="80"/>
      <c r="G376" s="80"/>
      <c r="H376" s="80"/>
      <c r="I376" s="80"/>
      <c r="J376" s="80"/>
      <c r="K376" s="79"/>
      <c r="L376" s="424"/>
      <c r="M376" s="425"/>
      <c r="N376" s="83"/>
      <c r="O376" s="83"/>
      <c r="P376" s="83"/>
      <c r="Q376" s="83"/>
      <c r="R376" s="35"/>
      <c r="S376" s="35"/>
      <c r="T376" s="35"/>
      <c r="U376" s="35"/>
      <c r="V376" s="35"/>
      <c r="W376" s="35"/>
      <c r="X376" s="35"/>
      <c r="Y376" s="35"/>
      <c r="Z376" s="35"/>
      <c r="AA376" s="35"/>
      <c r="AB376" s="35"/>
      <c r="AC376" s="35"/>
      <c r="AD376" s="35"/>
      <c r="AE376" s="35"/>
      <c r="AF376" s="35"/>
      <c r="AG376" s="35"/>
      <c r="AH376" s="35"/>
      <c r="AI376" s="35"/>
      <c r="AJ376" s="35"/>
      <c r="AK376" s="35"/>
      <c r="AL376" s="35"/>
      <c r="AM376" s="35"/>
      <c r="AN376" s="35"/>
      <c r="AO376" s="35"/>
      <c r="AP376" s="35"/>
      <c r="AQ376" s="35"/>
      <c r="AR376" s="35"/>
      <c r="AS376" s="35"/>
      <c r="AT376" s="35"/>
      <c r="AU376" s="35"/>
      <c r="AV376" s="35"/>
      <c r="AW376" s="35"/>
      <c r="AX376" s="35"/>
      <c r="AY376" s="35"/>
      <c r="AZ376" s="35"/>
      <c r="BA376" s="35"/>
      <c r="BB376" s="35"/>
      <c r="BC376" s="35"/>
      <c r="BD376" s="35"/>
      <c r="BE376" s="35"/>
      <c r="BF376" s="35"/>
      <c r="BG376" s="35"/>
      <c r="BH376" s="35"/>
      <c r="BI376" s="35"/>
      <c r="BJ376" s="35"/>
      <c r="BK376" s="35"/>
      <c r="BL376" s="35"/>
      <c r="BM376" s="35"/>
      <c r="BN376" s="35"/>
      <c r="BO376" s="35"/>
      <c r="BP376" s="35"/>
    </row>
    <row r="377" spans="1:68" outlineLevel="1" x14ac:dyDescent="0.2">
      <c r="A377" s="80"/>
      <c r="B377" s="20"/>
      <c r="C377" s="80"/>
      <c r="D377" s="10" t="s">
        <v>397</v>
      </c>
      <c r="E377" s="80"/>
      <c r="F377" s="80"/>
      <c r="G377" s="17" t="s">
        <v>64</v>
      </c>
      <c r="H377" s="17" t="s">
        <v>63</v>
      </c>
      <c r="I377" s="17"/>
      <c r="J377" s="10" t="s">
        <v>398</v>
      </c>
      <c r="K377" s="80"/>
      <c r="L377" s="412"/>
      <c r="M377" s="413"/>
      <c r="N377" s="80"/>
      <c r="O377" s="80"/>
      <c r="P377" s="80"/>
      <c r="Q377" s="80"/>
      <c r="R377" s="80"/>
      <c r="S377" s="80"/>
      <c r="T377" s="83"/>
      <c r="U377" s="80"/>
      <c r="V377" s="80"/>
      <c r="W377" s="80"/>
      <c r="X377" s="80"/>
      <c r="Y377" s="80"/>
      <c r="Z377" s="80"/>
      <c r="AA377" s="80"/>
      <c r="AB377" s="80"/>
      <c r="AC377" s="80"/>
      <c r="AD377" s="80"/>
      <c r="AE377" s="80"/>
      <c r="AF377" s="80"/>
      <c r="AG377" s="80"/>
      <c r="AH377" s="80"/>
      <c r="AI377" s="80"/>
      <c r="AJ377" s="80"/>
      <c r="AK377" s="80"/>
      <c r="AL377" s="80"/>
      <c r="AM377" s="80"/>
      <c r="AN377" s="80"/>
      <c r="AO377" s="80"/>
      <c r="AP377" s="80"/>
      <c r="AQ377" s="80"/>
      <c r="AR377" s="80"/>
      <c r="AS377" s="80"/>
      <c r="AT377" s="80"/>
      <c r="AU377" s="80"/>
      <c r="AV377" s="80"/>
      <c r="AW377" s="80"/>
      <c r="AX377" s="80"/>
      <c r="AY377" s="80"/>
      <c r="AZ377" s="80"/>
      <c r="BA377" s="80"/>
      <c r="BB377" s="80"/>
      <c r="BC377" s="80"/>
      <c r="BD377" s="80"/>
      <c r="BE377" s="80"/>
      <c r="BF377" s="80"/>
      <c r="BG377" s="80"/>
      <c r="BH377" s="80"/>
      <c r="BI377" s="80"/>
      <c r="BJ377" s="80"/>
      <c r="BK377" s="80"/>
      <c r="BL377" s="80"/>
      <c r="BM377" s="80"/>
      <c r="BN377" s="80"/>
      <c r="BO377" s="80"/>
      <c r="BP377" s="80"/>
    </row>
    <row r="378" spans="1:68" outlineLevel="1" x14ac:dyDescent="0.2">
      <c r="A378" s="80"/>
      <c r="B378" s="20"/>
      <c r="C378" s="80"/>
      <c r="D378" s="80"/>
      <c r="E378" s="80"/>
      <c r="F378" s="80"/>
      <c r="G378" s="52"/>
      <c r="H378" s="52"/>
      <c r="I378" s="52"/>
      <c r="J378" s="80"/>
      <c r="K378" s="80"/>
      <c r="L378" s="412"/>
      <c r="M378" s="413"/>
      <c r="N378" s="80"/>
      <c r="O378" s="80"/>
      <c r="P378" s="80"/>
      <c r="Q378" s="80"/>
      <c r="R378" s="80"/>
      <c r="S378" s="80"/>
      <c r="T378" s="83"/>
      <c r="U378" s="80"/>
      <c r="V378" s="80"/>
      <c r="W378" s="80"/>
      <c r="X378" s="80"/>
      <c r="Y378" s="80"/>
      <c r="Z378" s="80"/>
      <c r="AA378" s="80"/>
      <c r="AB378" s="80"/>
      <c r="AC378" s="80"/>
      <c r="AD378" s="80"/>
      <c r="AE378" s="80"/>
      <c r="AF378" s="80"/>
      <c r="AG378" s="80"/>
      <c r="AH378" s="80"/>
      <c r="AI378" s="80"/>
      <c r="AJ378" s="80"/>
      <c r="AK378" s="80"/>
      <c r="AL378" s="80"/>
      <c r="AM378" s="80"/>
      <c r="AN378" s="80"/>
      <c r="AO378" s="80"/>
      <c r="AP378" s="80"/>
      <c r="AQ378" s="80"/>
      <c r="AR378" s="80"/>
      <c r="AS378" s="80"/>
      <c r="AT378" s="80"/>
      <c r="AU378" s="80"/>
      <c r="AV378" s="80"/>
      <c r="AW378" s="80"/>
      <c r="AX378" s="80"/>
      <c r="AY378" s="80"/>
      <c r="AZ378" s="80"/>
      <c r="BA378" s="80"/>
      <c r="BB378" s="80"/>
      <c r="BC378" s="80"/>
      <c r="BD378" s="80"/>
      <c r="BE378" s="80"/>
      <c r="BF378" s="80"/>
      <c r="BG378" s="80"/>
      <c r="BH378" s="80"/>
      <c r="BI378" s="80"/>
      <c r="BJ378" s="80"/>
      <c r="BK378" s="80"/>
      <c r="BL378" s="80"/>
      <c r="BM378" s="80"/>
      <c r="BN378" s="80"/>
      <c r="BO378" s="80"/>
      <c r="BP378" s="80"/>
    </row>
    <row r="379" spans="1:68" outlineLevel="1" x14ac:dyDescent="0.2">
      <c r="A379" s="80"/>
      <c r="B379" s="20"/>
      <c r="C379" s="80"/>
      <c r="D379" s="10" t="str">
        <f>$D$221</f>
        <v>Capex cost</v>
      </c>
      <c r="E379" s="80"/>
      <c r="F379" s="80"/>
      <c r="G379" s="83"/>
      <c r="H379" s="83"/>
      <c r="I379" s="83"/>
      <c r="J379" s="80"/>
      <c r="K379" s="34"/>
      <c r="L379" s="126"/>
      <c r="M379" s="127"/>
      <c r="N379" s="34"/>
      <c r="O379" s="34"/>
      <c r="P379" s="34"/>
      <c r="Q379" s="34"/>
      <c r="R379" s="33"/>
      <c r="S379" s="33"/>
      <c r="T379" s="33"/>
      <c r="U379" s="33"/>
      <c r="V379" s="33"/>
      <c r="W379" s="33"/>
      <c r="X379" s="33"/>
      <c r="Y379" s="33"/>
      <c r="Z379" s="33"/>
      <c r="AA379" s="33"/>
      <c r="AB379" s="33"/>
      <c r="AC379" s="33"/>
      <c r="AD379" s="33"/>
      <c r="AE379" s="33"/>
      <c r="AF379" s="33"/>
      <c r="AG379" s="33"/>
      <c r="AH379" s="33"/>
      <c r="AI379" s="33"/>
      <c r="AJ379" s="33"/>
      <c r="AK379" s="33"/>
      <c r="AL379" s="33"/>
      <c r="AM379" s="33"/>
      <c r="AN379" s="33"/>
      <c r="AO379" s="33"/>
      <c r="AP379" s="33"/>
      <c r="AQ379" s="33"/>
      <c r="AR379" s="33"/>
      <c r="AS379" s="33"/>
      <c r="AT379" s="33"/>
      <c r="AU379" s="33"/>
      <c r="AV379" s="33"/>
      <c r="AW379" s="33"/>
      <c r="AX379" s="33"/>
      <c r="AY379" s="33"/>
      <c r="AZ379" s="33"/>
      <c r="BA379" s="33"/>
      <c r="BB379" s="33"/>
      <c r="BC379" s="33"/>
      <c r="BD379" s="33"/>
      <c r="BE379" s="33"/>
      <c r="BF379" s="33"/>
      <c r="BG379" s="33"/>
      <c r="BH379" s="33"/>
      <c r="BI379" s="33"/>
      <c r="BJ379" s="33"/>
      <c r="BK379" s="33"/>
      <c r="BL379" s="33"/>
      <c r="BM379" s="33"/>
      <c r="BN379" s="33"/>
      <c r="BO379" s="33"/>
      <c r="BP379" s="33"/>
    </row>
    <row r="380" spans="1:68" outlineLevel="1" x14ac:dyDescent="0.2">
      <c r="A380" s="80"/>
      <c r="B380" s="20"/>
      <c r="C380" s="80"/>
      <c r="D380" s="402" t="str">
        <f>$D$222</f>
        <v>Total excl Land</v>
      </c>
      <c r="E380" s="80"/>
      <c r="F380" s="80"/>
      <c r="G380" s="477">
        <f>$G$382</f>
        <v>1</v>
      </c>
      <c r="H380" s="477">
        <f>$H$382</f>
        <v>0</v>
      </c>
      <c r="I380" s="83"/>
      <c r="J380" s="80" t="s">
        <v>399</v>
      </c>
      <c r="K380" s="401">
        <f>SUMPRODUCT($R$375:$BP$375,R380:BP380)</f>
        <v>0</v>
      </c>
      <c r="L380" s="436">
        <f>SUM(M380:BP380)</f>
        <v>0</v>
      </c>
      <c r="M380" s="457"/>
      <c r="N380" s="455"/>
      <c r="O380" s="455"/>
      <c r="P380" s="455"/>
      <c r="Q380" s="455"/>
      <c r="R380" s="401">
        <f t="shared" ref="R380:AW380" si="526">$H380*R222</f>
        <v>0</v>
      </c>
      <c r="S380" s="401">
        <f t="shared" si="526"/>
        <v>0</v>
      </c>
      <c r="T380" s="401">
        <f t="shared" si="526"/>
        <v>0</v>
      </c>
      <c r="U380" s="401">
        <f t="shared" si="526"/>
        <v>0</v>
      </c>
      <c r="V380" s="401">
        <f t="shared" si="526"/>
        <v>0</v>
      </c>
      <c r="W380" s="401">
        <f t="shared" si="526"/>
        <v>0</v>
      </c>
      <c r="X380" s="401">
        <f t="shared" si="526"/>
        <v>0</v>
      </c>
      <c r="Y380" s="401">
        <f t="shared" si="526"/>
        <v>0</v>
      </c>
      <c r="Z380" s="401">
        <f t="shared" si="526"/>
        <v>0</v>
      </c>
      <c r="AA380" s="401">
        <f t="shared" si="526"/>
        <v>0</v>
      </c>
      <c r="AB380" s="401">
        <f t="shared" si="526"/>
        <v>0</v>
      </c>
      <c r="AC380" s="401">
        <f t="shared" si="526"/>
        <v>0</v>
      </c>
      <c r="AD380" s="401">
        <f t="shared" si="526"/>
        <v>0</v>
      </c>
      <c r="AE380" s="401">
        <f t="shared" si="526"/>
        <v>0</v>
      </c>
      <c r="AF380" s="401">
        <f t="shared" si="526"/>
        <v>0</v>
      </c>
      <c r="AG380" s="401">
        <f t="shared" si="526"/>
        <v>0</v>
      </c>
      <c r="AH380" s="401">
        <f t="shared" si="526"/>
        <v>0</v>
      </c>
      <c r="AI380" s="401">
        <f t="shared" si="526"/>
        <v>0</v>
      </c>
      <c r="AJ380" s="401">
        <f t="shared" si="526"/>
        <v>0</v>
      </c>
      <c r="AK380" s="401">
        <f t="shared" si="526"/>
        <v>0</v>
      </c>
      <c r="AL380" s="401">
        <f t="shared" si="526"/>
        <v>0</v>
      </c>
      <c r="AM380" s="401">
        <f t="shared" si="526"/>
        <v>0</v>
      </c>
      <c r="AN380" s="401">
        <f t="shared" si="526"/>
        <v>0</v>
      </c>
      <c r="AO380" s="401">
        <f t="shared" si="526"/>
        <v>0</v>
      </c>
      <c r="AP380" s="401">
        <f t="shared" si="526"/>
        <v>0</v>
      </c>
      <c r="AQ380" s="401">
        <f t="shared" si="526"/>
        <v>0</v>
      </c>
      <c r="AR380" s="401">
        <f t="shared" si="526"/>
        <v>0</v>
      </c>
      <c r="AS380" s="401">
        <f t="shared" si="526"/>
        <v>0</v>
      </c>
      <c r="AT380" s="401">
        <f t="shared" si="526"/>
        <v>0</v>
      </c>
      <c r="AU380" s="401">
        <f t="shared" si="526"/>
        <v>0</v>
      </c>
      <c r="AV380" s="401">
        <f t="shared" si="526"/>
        <v>0</v>
      </c>
      <c r="AW380" s="401">
        <f t="shared" si="526"/>
        <v>0</v>
      </c>
      <c r="AX380" s="401">
        <f t="shared" ref="AX380:BP380" si="527">$H380*AX222</f>
        <v>0</v>
      </c>
      <c r="AY380" s="401">
        <f t="shared" si="527"/>
        <v>0</v>
      </c>
      <c r="AZ380" s="401">
        <f t="shared" si="527"/>
        <v>0</v>
      </c>
      <c r="BA380" s="401">
        <f t="shared" si="527"/>
        <v>0</v>
      </c>
      <c r="BB380" s="401">
        <f t="shared" si="527"/>
        <v>0</v>
      </c>
      <c r="BC380" s="401">
        <f t="shared" si="527"/>
        <v>0</v>
      </c>
      <c r="BD380" s="401">
        <f t="shared" si="527"/>
        <v>0</v>
      </c>
      <c r="BE380" s="401">
        <f t="shared" si="527"/>
        <v>0</v>
      </c>
      <c r="BF380" s="401">
        <f t="shared" si="527"/>
        <v>0</v>
      </c>
      <c r="BG380" s="401">
        <f t="shared" si="527"/>
        <v>0</v>
      </c>
      <c r="BH380" s="401">
        <f t="shared" si="527"/>
        <v>0</v>
      </c>
      <c r="BI380" s="401">
        <f t="shared" si="527"/>
        <v>0</v>
      </c>
      <c r="BJ380" s="401">
        <f t="shared" si="527"/>
        <v>0</v>
      </c>
      <c r="BK380" s="401">
        <f t="shared" si="527"/>
        <v>0</v>
      </c>
      <c r="BL380" s="401">
        <f t="shared" si="527"/>
        <v>0</v>
      </c>
      <c r="BM380" s="401">
        <f t="shared" si="527"/>
        <v>0</v>
      </c>
      <c r="BN380" s="401">
        <f t="shared" si="527"/>
        <v>0</v>
      </c>
      <c r="BO380" s="401">
        <f t="shared" si="527"/>
        <v>0</v>
      </c>
      <c r="BP380" s="401">
        <f t="shared" si="527"/>
        <v>0</v>
      </c>
    </row>
    <row r="381" spans="1:68" outlineLevel="1" x14ac:dyDescent="0.2">
      <c r="A381" s="80"/>
      <c r="B381" s="20"/>
      <c r="C381" s="80"/>
      <c r="D381" s="402" t="str">
        <f>$D$223</f>
        <v>Land</v>
      </c>
      <c r="E381" s="80"/>
      <c r="F381" s="80"/>
      <c r="G381" s="477">
        <f>$G$382</f>
        <v>1</v>
      </c>
      <c r="H381" s="477">
        <f>$H$382</f>
        <v>0</v>
      </c>
      <c r="I381" s="83"/>
      <c r="J381" s="80" t="s">
        <v>399</v>
      </c>
      <c r="K381" s="401">
        <f>SUMPRODUCT($R$375:$BP$375,R381:BP381)</f>
        <v>0</v>
      </c>
      <c r="L381" s="436">
        <f>SUM(M381:BP381)</f>
        <v>0</v>
      </c>
      <c r="M381" s="457"/>
      <c r="N381" s="455"/>
      <c r="O381" s="455"/>
      <c r="P381" s="455"/>
      <c r="Q381" s="455"/>
      <c r="R381" s="401">
        <f t="shared" ref="R381:AW381" si="528">$H381*R223</f>
        <v>0</v>
      </c>
      <c r="S381" s="401">
        <f t="shared" si="528"/>
        <v>0</v>
      </c>
      <c r="T381" s="401">
        <f t="shared" si="528"/>
        <v>0</v>
      </c>
      <c r="U381" s="401">
        <f t="shared" si="528"/>
        <v>0</v>
      </c>
      <c r="V381" s="401">
        <f t="shared" si="528"/>
        <v>0</v>
      </c>
      <c r="W381" s="401">
        <f t="shared" si="528"/>
        <v>0</v>
      </c>
      <c r="X381" s="401">
        <f t="shared" si="528"/>
        <v>0</v>
      </c>
      <c r="Y381" s="401">
        <f t="shared" si="528"/>
        <v>0</v>
      </c>
      <c r="Z381" s="401">
        <f t="shared" si="528"/>
        <v>0</v>
      </c>
      <c r="AA381" s="401">
        <f t="shared" si="528"/>
        <v>0</v>
      </c>
      <c r="AB381" s="401">
        <f t="shared" si="528"/>
        <v>0</v>
      </c>
      <c r="AC381" s="401">
        <f t="shared" si="528"/>
        <v>0</v>
      </c>
      <c r="AD381" s="401">
        <f t="shared" si="528"/>
        <v>0</v>
      </c>
      <c r="AE381" s="401">
        <f t="shared" si="528"/>
        <v>0</v>
      </c>
      <c r="AF381" s="401">
        <f t="shared" si="528"/>
        <v>0</v>
      </c>
      <c r="AG381" s="401">
        <f t="shared" si="528"/>
        <v>0</v>
      </c>
      <c r="AH381" s="401">
        <f t="shared" si="528"/>
        <v>0</v>
      </c>
      <c r="AI381" s="401">
        <f t="shared" si="528"/>
        <v>0</v>
      </c>
      <c r="AJ381" s="401">
        <f t="shared" si="528"/>
        <v>0</v>
      </c>
      <c r="AK381" s="401">
        <f t="shared" si="528"/>
        <v>0</v>
      </c>
      <c r="AL381" s="401">
        <f t="shared" si="528"/>
        <v>0</v>
      </c>
      <c r="AM381" s="401">
        <f t="shared" si="528"/>
        <v>0</v>
      </c>
      <c r="AN381" s="401">
        <f t="shared" si="528"/>
        <v>0</v>
      </c>
      <c r="AO381" s="401">
        <f t="shared" si="528"/>
        <v>0</v>
      </c>
      <c r="AP381" s="401">
        <f t="shared" si="528"/>
        <v>0</v>
      </c>
      <c r="AQ381" s="401">
        <f t="shared" si="528"/>
        <v>0</v>
      </c>
      <c r="AR381" s="401">
        <f t="shared" si="528"/>
        <v>0</v>
      </c>
      <c r="AS381" s="401">
        <f t="shared" si="528"/>
        <v>0</v>
      </c>
      <c r="AT381" s="401">
        <f t="shared" si="528"/>
        <v>0</v>
      </c>
      <c r="AU381" s="401">
        <f t="shared" si="528"/>
        <v>0</v>
      </c>
      <c r="AV381" s="401">
        <f t="shared" si="528"/>
        <v>0</v>
      </c>
      <c r="AW381" s="401">
        <f t="shared" si="528"/>
        <v>0</v>
      </c>
      <c r="AX381" s="401">
        <f t="shared" ref="AX381:BP381" si="529">$H381*AX223</f>
        <v>0</v>
      </c>
      <c r="AY381" s="401">
        <f t="shared" si="529"/>
        <v>0</v>
      </c>
      <c r="AZ381" s="401">
        <f t="shared" si="529"/>
        <v>0</v>
      </c>
      <c r="BA381" s="401">
        <f t="shared" si="529"/>
        <v>0</v>
      </c>
      <c r="BB381" s="401">
        <f t="shared" si="529"/>
        <v>0</v>
      </c>
      <c r="BC381" s="401">
        <f t="shared" si="529"/>
        <v>0</v>
      </c>
      <c r="BD381" s="401">
        <f t="shared" si="529"/>
        <v>0</v>
      </c>
      <c r="BE381" s="401">
        <f t="shared" si="529"/>
        <v>0</v>
      </c>
      <c r="BF381" s="401">
        <f t="shared" si="529"/>
        <v>0</v>
      </c>
      <c r="BG381" s="401">
        <f t="shared" si="529"/>
        <v>0</v>
      </c>
      <c r="BH381" s="401">
        <f t="shared" si="529"/>
        <v>0</v>
      </c>
      <c r="BI381" s="401">
        <f t="shared" si="529"/>
        <v>0</v>
      </c>
      <c r="BJ381" s="401">
        <f t="shared" si="529"/>
        <v>0</v>
      </c>
      <c r="BK381" s="401">
        <f t="shared" si="529"/>
        <v>0</v>
      </c>
      <c r="BL381" s="401">
        <f t="shared" si="529"/>
        <v>0</v>
      </c>
      <c r="BM381" s="401">
        <f t="shared" si="529"/>
        <v>0</v>
      </c>
      <c r="BN381" s="401">
        <f t="shared" si="529"/>
        <v>0</v>
      </c>
      <c r="BO381" s="401">
        <f t="shared" si="529"/>
        <v>0</v>
      </c>
      <c r="BP381" s="401">
        <f t="shared" si="529"/>
        <v>0</v>
      </c>
    </row>
    <row r="382" spans="1:68" outlineLevel="1" x14ac:dyDescent="0.2">
      <c r="A382" s="80"/>
      <c r="B382" s="20"/>
      <c r="C382" s="80"/>
      <c r="D382" s="81" t="str">
        <f>$D$224</f>
        <v>Total capex cost</v>
      </c>
      <c r="E382" s="80"/>
      <c r="F382" s="80"/>
      <c r="G382" s="477">
        <f>Assumptions!$H$163</f>
        <v>1</v>
      </c>
      <c r="H382" s="477">
        <f>Assumptions!$I$163</f>
        <v>0</v>
      </c>
      <c r="I382" s="83"/>
      <c r="J382" s="85" t="str">
        <f>Assumptions!$K$163</f>
        <v>Capex</v>
      </c>
      <c r="K382" s="401">
        <f>SUMPRODUCT($R$375:$BP$375,R382:BP382)</f>
        <v>0</v>
      </c>
      <c r="L382" s="436">
        <f>SUM(M382:BP382)</f>
        <v>0</v>
      </c>
      <c r="M382" s="457"/>
      <c r="N382" s="455"/>
      <c r="O382" s="455"/>
      <c r="P382" s="455"/>
      <c r="Q382" s="455"/>
      <c r="R382" s="401">
        <f t="shared" ref="R382:AW382" si="530">$H382*R224</f>
        <v>0</v>
      </c>
      <c r="S382" s="401">
        <f t="shared" si="530"/>
        <v>0</v>
      </c>
      <c r="T382" s="401">
        <f t="shared" si="530"/>
        <v>0</v>
      </c>
      <c r="U382" s="401">
        <f t="shared" si="530"/>
        <v>0</v>
      </c>
      <c r="V382" s="401">
        <f t="shared" si="530"/>
        <v>0</v>
      </c>
      <c r="W382" s="401">
        <f t="shared" si="530"/>
        <v>0</v>
      </c>
      <c r="X382" s="401">
        <f t="shared" si="530"/>
        <v>0</v>
      </c>
      <c r="Y382" s="401">
        <f t="shared" si="530"/>
        <v>0</v>
      </c>
      <c r="Z382" s="401">
        <f t="shared" si="530"/>
        <v>0</v>
      </c>
      <c r="AA382" s="401">
        <f t="shared" si="530"/>
        <v>0</v>
      </c>
      <c r="AB382" s="401">
        <f t="shared" si="530"/>
        <v>0</v>
      </c>
      <c r="AC382" s="401">
        <f t="shared" si="530"/>
        <v>0</v>
      </c>
      <c r="AD382" s="401">
        <f t="shared" si="530"/>
        <v>0</v>
      </c>
      <c r="AE382" s="401">
        <f t="shared" si="530"/>
        <v>0</v>
      </c>
      <c r="AF382" s="401">
        <f t="shared" si="530"/>
        <v>0</v>
      </c>
      <c r="AG382" s="401">
        <f t="shared" si="530"/>
        <v>0</v>
      </c>
      <c r="AH382" s="401">
        <f t="shared" si="530"/>
        <v>0</v>
      </c>
      <c r="AI382" s="401">
        <f t="shared" si="530"/>
        <v>0</v>
      </c>
      <c r="AJ382" s="401">
        <f t="shared" si="530"/>
        <v>0</v>
      </c>
      <c r="AK382" s="401">
        <f t="shared" si="530"/>
        <v>0</v>
      </c>
      <c r="AL382" s="401">
        <f t="shared" si="530"/>
        <v>0</v>
      </c>
      <c r="AM382" s="401">
        <f t="shared" si="530"/>
        <v>0</v>
      </c>
      <c r="AN382" s="401">
        <f t="shared" si="530"/>
        <v>0</v>
      </c>
      <c r="AO382" s="401">
        <f t="shared" si="530"/>
        <v>0</v>
      </c>
      <c r="AP382" s="401">
        <f t="shared" si="530"/>
        <v>0</v>
      </c>
      <c r="AQ382" s="401">
        <f t="shared" si="530"/>
        <v>0</v>
      </c>
      <c r="AR382" s="401">
        <f t="shared" si="530"/>
        <v>0</v>
      </c>
      <c r="AS382" s="401">
        <f t="shared" si="530"/>
        <v>0</v>
      </c>
      <c r="AT382" s="401">
        <f t="shared" si="530"/>
        <v>0</v>
      </c>
      <c r="AU382" s="401">
        <f t="shared" si="530"/>
        <v>0</v>
      </c>
      <c r="AV382" s="401">
        <f t="shared" si="530"/>
        <v>0</v>
      </c>
      <c r="AW382" s="401">
        <f t="shared" si="530"/>
        <v>0</v>
      </c>
      <c r="AX382" s="401">
        <f t="shared" ref="AX382:BP382" si="531">$H382*AX224</f>
        <v>0</v>
      </c>
      <c r="AY382" s="401">
        <f t="shared" si="531"/>
        <v>0</v>
      </c>
      <c r="AZ382" s="401">
        <f t="shared" si="531"/>
        <v>0</v>
      </c>
      <c r="BA382" s="401">
        <f t="shared" si="531"/>
        <v>0</v>
      </c>
      <c r="BB382" s="401">
        <f t="shared" si="531"/>
        <v>0</v>
      </c>
      <c r="BC382" s="401">
        <f t="shared" si="531"/>
        <v>0</v>
      </c>
      <c r="BD382" s="401">
        <f t="shared" si="531"/>
        <v>0</v>
      </c>
      <c r="BE382" s="401">
        <f t="shared" si="531"/>
        <v>0</v>
      </c>
      <c r="BF382" s="401">
        <f t="shared" si="531"/>
        <v>0</v>
      </c>
      <c r="BG382" s="401">
        <f t="shared" si="531"/>
        <v>0</v>
      </c>
      <c r="BH382" s="401">
        <f t="shared" si="531"/>
        <v>0</v>
      </c>
      <c r="BI382" s="401">
        <f t="shared" si="531"/>
        <v>0</v>
      </c>
      <c r="BJ382" s="401">
        <f t="shared" si="531"/>
        <v>0</v>
      </c>
      <c r="BK382" s="401">
        <f t="shared" si="531"/>
        <v>0</v>
      </c>
      <c r="BL382" s="401">
        <f t="shared" si="531"/>
        <v>0</v>
      </c>
      <c r="BM382" s="401">
        <f t="shared" si="531"/>
        <v>0</v>
      </c>
      <c r="BN382" s="401">
        <f t="shared" si="531"/>
        <v>0</v>
      </c>
      <c r="BO382" s="401">
        <f t="shared" si="531"/>
        <v>0</v>
      </c>
      <c r="BP382" s="401">
        <f t="shared" si="531"/>
        <v>0</v>
      </c>
    </row>
    <row r="383" spans="1:68" outlineLevel="1" x14ac:dyDescent="0.2">
      <c r="A383" s="80"/>
      <c r="B383" s="20"/>
      <c r="C383" s="80"/>
      <c r="D383"/>
      <c r="E383"/>
      <c r="F383"/>
      <c r="G383" s="52"/>
      <c r="H383" s="52"/>
      <c r="I383" s="52"/>
      <c r="J383" s="123"/>
      <c r="K383"/>
      <c r="L383" s="112"/>
      <c r="M383" s="113"/>
      <c r="N383"/>
      <c r="O383"/>
      <c r="P383"/>
      <c r="Q383"/>
      <c r="R383"/>
      <c r="S383"/>
      <c r="T383"/>
      <c r="U383"/>
      <c r="V383"/>
      <c r="W383"/>
      <c r="X383"/>
      <c r="Y383"/>
      <c r="Z383"/>
      <c r="AA383"/>
      <c r="AB383"/>
      <c r="AC383"/>
      <c r="AD383"/>
      <c r="AE383"/>
      <c r="AF383"/>
      <c r="AG383"/>
      <c r="AH383"/>
      <c r="AI383"/>
      <c r="AJ383"/>
      <c r="AK383"/>
      <c r="AL383"/>
      <c r="AM383"/>
      <c r="AN383"/>
      <c r="AO383"/>
      <c r="AP383"/>
      <c r="AQ383"/>
      <c r="AR383"/>
      <c r="AS383"/>
      <c r="AT383"/>
      <c r="AU383"/>
      <c r="AV383"/>
      <c r="AW383"/>
      <c r="AX383"/>
      <c r="AY383"/>
      <c r="AZ383"/>
      <c r="BA383"/>
      <c r="BB383"/>
      <c r="BC383"/>
      <c r="BD383"/>
      <c r="BE383"/>
      <c r="BF383"/>
      <c r="BG383"/>
      <c r="BH383"/>
      <c r="BI383"/>
      <c r="BJ383"/>
      <c r="BK383"/>
      <c r="BL383"/>
      <c r="BM383"/>
      <c r="BN383"/>
      <c r="BO383"/>
      <c r="BP383"/>
    </row>
    <row r="384" spans="1:68" outlineLevel="1" x14ac:dyDescent="0.2">
      <c r="A384" s="80"/>
      <c r="B384" s="20"/>
      <c r="C384" s="80"/>
      <c r="D384" s="10" t="str">
        <f>$D$226</f>
        <v>Future capex cost</v>
      </c>
      <c r="E384" s="80"/>
      <c r="F384" s="80"/>
      <c r="G384" s="83"/>
      <c r="H384" s="83"/>
      <c r="I384" s="83"/>
      <c r="J384" s="85"/>
      <c r="K384" s="401"/>
      <c r="L384" s="436"/>
      <c r="M384" s="127"/>
      <c r="N384" s="34"/>
      <c r="O384" s="34"/>
      <c r="P384" s="34"/>
      <c r="Q384" s="34"/>
      <c r="R384" s="33"/>
      <c r="S384" s="33"/>
      <c r="T384" s="33"/>
      <c r="U384" s="33"/>
      <c r="V384" s="33"/>
      <c r="W384" s="33"/>
      <c r="X384" s="33"/>
      <c r="Y384" s="33"/>
      <c r="Z384" s="33"/>
      <c r="AA384" s="33"/>
      <c r="AB384" s="33"/>
      <c r="AC384" s="33"/>
      <c r="AD384" s="33"/>
      <c r="AE384" s="33"/>
      <c r="AF384" s="33"/>
      <c r="AG384" s="33"/>
      <c r="AH384" s="33"/>
      <c r="AI384" s="33"/>
      <c r="AJ384" s="33"/>
      <c r="AK384" s="33"/>
      <c r="AL384" s="33"/>
      <c r="AM384" s="33"/>
      <c r="AN384" s="33"/>
      <c r="AO384" s="33"/>
      <c r="AP384" s="33"/>
      <c r="AQ384" s="33"/>
      <c r="AR384" s="33"/>
      <c r="AS384" s="33"/>
      <c r="AT384" s="33"/>
      <c r="AU384" s="33"/>
      <c r="AV384" s="33"/>
      <c r="AW384" s="33"/>
      <c r="AX384" s="33"/>
      <c r="AY384" s="33"/>
      <c r="AZ384" s="33"/>
      <c r="BA384" s="33"/>
      <c r="BB384" s="33"/>
      <c r="BC384" s="33"/>
      <c r="BD384" s="33"/>
      <c r="BE384" s="33"/>
      <c r="BF384" s="33"/>
      <c r="BG384" s="33"/>
      <c r="BH384" s="33"/>
      <c r="BI384" s="33"/>
      <c r="BJ384" s="33"/>
      <c r="BK384" s="33"/>
      <c r="BL384" s="33"/>
      <c r="BM384" s="33"/>
      <c r="BN384" s="33"/>
      <c r="BO384" s="33"/>
      <c r="BP384" s="33"/>
    </row>
    <row r="385" spans="2:68" outlineLevel="1" x14ac:dyDescent="0.2">
      <c r="B385" s="20"/>
      <c r="C385" s="80"/>
      <c r="D385" s="402" t="str">
        <f>$D$227</f>
        <v>Total excl Land</v>
      </c>
      <c r="E385" s="80"/>
      <c r="F385" s="80"/>
      <c r="G385" s="477">
        <f>$G$387</f>
        <v>1</v>
      </c>
      <c r="H385" s="477">
        <f>$H$387</f>
        <v>0</v>
      </c>
      <c r="I385" s="83"/>
      <c r="J385" s="85" t="s">
        <v>399</v>
      </c>
      <c r="K385" s="401">
        <f>SUMPRODUCT($R$375:$BP$375,R385:BP385)</f>
        <v>0</v>
      </c>
      <c r="L385" s="436">
        <f>SUM(M385:BP385)</f>
        <v>0</v>
      </c>
      <c r="M385" s="457"/>
      <c r="N385" s="455"/>
      <c r="O385" s="455"/>
      <c r="P385" s="455"/>
      <c r="Q385" s="455"/>
      <c r="R385" s="401">
        <f t="shared" ref="R385:AW385" si="532">$H385*R227</f>
        <v>0</v>
      </c>
      <c r="S385" s="401">
        <f t="shared" si="532"/>
        <v>0</v>
      </c>
      <c r="T385" s="401">
        <f t="shared" si="532"/>
        <v>0</v>
      </c>
      <c r="U385" s="401">
        <f t="shared" si="532"/>
        <v>0</v>
      </c>
      <c r="V385" s="401">
        <f t="shared" si="532"/>
        <v>0</v>
      </c>
      <c r="W385" s="401">
        <f t="shared" si="532"/>
        <v>0</v>
      </c>
      <c r="X385" s="401">
        <f t="shared" si="532"/>
        <v>0</v>
      </c>
      <c r="Y385" s="401">
        <f t="shared" si="532"/>
        <v>0</v>
      </c>
      <c r="Z385" s="401">
        <f t="shared" si="532"/>
        <v>0</v>
      </c>
      <c r="AA385" s="401">
        <f t="shared" si="532"/>
        <v>0</v>
      </c>
      <c r="AB385" s="401">
        <f t="shared" si="532"/>
        <v>0</v>
      </c>
      <c r="AC385" s="401">
        <f t="shared" si="532"/>
        <v>0</v>
      </c>
      <c r="AD385" s="401">
        <f t="shared" si="532"/>
        <v>0</v>
      </c>
      <c r="AE385" s="401">
        <f t="shared" si="532"/>
        <v>0</v>
      </c>
      <c r="AF385" s="401">
        <f t="shared" si="532"/>
        <v>0</v>
      </c>
      <c r="AG385" s="401">
        <f t="shared" si="532"/>
        <v>0</v>
      </c>
      <c r="AH385" s="401">
        <f t="shared" si="532"/>
        <v>0</v>
      </c>
      <c r="AI385" s="401">
        <f t="shared" si="532"/>
        <v>0</v>
      </c>
      <c r="AJ385" s="401">
        <f t="shared" si="532"/>
        <v>0</v>
      </c>
      <c r="AK385" s="401">
        <f t="shared" si="532"/>
        <v>0</v>
      </c>
      <c r="AL385" s="401">
        <f t="shared" si="532"/>
        <v>0</v>
      </c>
      <c r="AM385" s="401">
        <f t="shared" si="532"/>
        <v>0</v>
      </c>
      <c r="AN385" s="401">
        <f t="shared" si="532"/>
        <v>0</v>
      </c>
      <c r="AO385" s="401">
        <f t="shared" si="532"/>
        <v>0</v>
      </c>
      <c r="AP385" s="401">
        <f t="shared" si="532"/>
        <v>0</v>
      </c>
      <c r="AQ385" s="401">
        <f t="shared" si="532"/>
        <v>0</v>
      </c>
      <c r="AR385" s="401">
        <f t="shared" si="532"/>
        <v>0</v>
      </c>
      <c r="AS385" s="401">
        <f t="shared" si="532"/>
        <v>0</v>
      </c>
      <c r="AT385" s="401">
        <f t="shared" si="532"/>
        <v>0</v>
      </c>
      <c r="AU385" s="401">
        <f t="shared" si="532"/>
        <v>0</v>
      </c>
      <c r="AV385" s="401">
        <f t="shared" si="532"/>
        <v>0</v>
      </c>
      <c r="AW385" s="401">
        <f t="shared" si="532"/>
        <v>0</v>
      </c>
      <c r="AX385" s="401">
        <f t="shared" ref="AX385:BP385" si="533">$H385*AX227</f>
        <v>0</v>
      </c>
      <c r="AY385" s="401">
        <f t="shared" si="533"/>
        <v>0</v>
      </c>
      <c r="AZ385" s="401">
        <f t="shared" si="533"/>
        <v>0</v>
      </c>
      <c r="BA385" s="401">
        <f t="shared" si="533"/>
        <v>0</v>
      </c>
      <c r="BB385" s="401">
        <f t="shared" si="533"/>
        <v>0</v>
      </c>
      <c r="BC385" s="401">
        <f t="shared" si="533"/>
        <v>0</v>
      </c>
      <c r="BD385" s="401">
        <f t="shared" si="533"/>
        <v>0</v>
      </c>
      <c r="BE385" s="401">
        <f t="shared" si="533"/>
        <v>0</v>
      </c>
      <c r="BF385" s="401">
        <f t="shared" si="533"/>
        <v>0</v>
      </c>
      <c r="BG385" s="401">
        <f t="shared" si="533"/>
        <v>0</v>
      </c>
      <c r="BH385" s="401">
        <f t="shared" si="533"/>
        <v>0</v>
      </c>
      <c r="BI385" s="401">
        <f t="shared" si="533"/>
        <v>0</v>
      </c>
      <c r="BJ385" s="401">
        <f t="shared" si="533"/>
        <v>0</v>
      </c>
      <c r="BK385" s="401">
        <f t="shared" si="533"/>
        <v>0</v>
      </c>
      <c r="BL385" s="401">
        <f t="shared" si="533"/>
        <v>0</v>
      </c>
      <c r="BM385" s="401">
        <f t="shared" si="533"/>
        <v>0</v>
      </c>
      <c r="BN385" s="401">
        <f t="shared" si="533"/>
        <v>0</v>
      </c>
      <c r="BO385" s="401">
        <f t="shared" si="533"/>
        <v>0</v>
      </c>
      <c r="BP385" s="401">
        <f t="shared" si="533"/>
        <v>0</v>
      </c>
    </row>
    <row r="386" spans="2:68" outlineLevel="1" x14ac:dyDescent="0.2">
      <c r="B386" s="20"/>
      <c r="C386" s="80"/>
      <c r="D386" s="402" t="str">
        <f>$D$228</f>
        <v>Land</v>
      </c>
      <c r="E386" s="80"/>
      <c r="F386" s="80"/>
      <c r="G386" s="477">
        <f>$G$387</f>
        <v>1</v>
      </c>
      <c r="H386" s="477">
        <f>$H$387</f>
        <v>0</v>
      </c>
      <c r="I386" s="83"/>
      <c r="J386" s="85" t="s">
        <v>399</v>
      </c>
      <c r="K386" s="401">
        <f>SUMPRODUCT($R$375:$BP$375,R386:BP386)</f>
        <v>0</v>
      </c>
      <c r="L386" s="436">
        <f>SUM(M386:BP386)</f>
        <v>0</v>
      </c>
      <c r="M386" s="457"/>
      <c r="N386" s="455"/>
      <c r="O386" s="455"/>
      <c r="P386" s="455"/>
      <c r="Q386" s="455"/>
      <c r="R386" s="401">
        <f t="shared" ref="R386:AW386" si="534">$H386*R228</f>
        <v>0</v>
      </c>
      <c r="S386" s="401">
        <f t="shared" si="534"/>
        <v>0</v>
      </c>
      <c r="T386" s="401">
        <f t="shared" si="534"/>
        <v>0</v>
      </c>
      <c r="U386" s="401">
        <f t="shared" si="534"/>
        <v>0</v>
      </c>
      <c r="V386" s="401">
        <f t="shared" si="534"/>
        <v>0</v>
      </c>
      <c r="W386" s="401">
        <f t="shared" si="534"/>
        <v>0</v>
      </c>
      <c r="X386" s="401">
        <f t="shared" si="534"/>
        <v>0</v>
      </c>
      <c r="Y386" s="401">
        <f t="shared" si="534"/>
        <v>0</v>
      </c>
      <c r="Z386" s="401">
        <f t="shared" si="534"/>
        <v>0</v>
      </c>
      <c r="AA386" s="401">
        <f t="shared" si="534"/>
        <v>0</v>
      </c>
      <c r="AB386" s="401">
        <f t="shared" si="534"/>
        <v>0</v>
      </c>
      <c r="AC386" s="401">
        <f t="shared" si="534"/>
        <v>0</v>
      </c>
      <c r="AD386" s="401">
        <f t="shared" si="534"/>
        <v>0</v>
      </c>
      <c r="AE386" s="401">
        <f t="shared" si="534"/>
        <v>0</v>
      </c>
      <c r="AF386" s="401">
        <f t="shared" si="534"/>
        <v>0</v>
      </c>
      <c r="AG386" s="401">
        <f t="shared" si="534"/>
        <v>0</v>
      </c>
      <c r="AH386" s="401">
        <f t="shared" si="534"/>
        <v>0</v>
      </c>
      <c r="AI386" s="401">
        <f t="shared" si="534"/>
        <v>0</v>
      </c>
      <c r="AJ386" s="401">
        <f t="shared" si="534"/>
        <v>0</v>
      </c>
      <c r="AK386" s="401">
        <f t="shared" si="534"/>
        <v>0</v>
      </c>
      <c r="AL386" s="401">
        <f t="shared" si="534"/>
        <v>0</v>
      </c>
      <c r="AM386" s="401">
        <f t="shared" si="534"/>
        <v>0</v>
      </c>
      <c r="AN386" s="401">
        <f t="shared" si="534"/>
        <v>0</v>
      </c>
      <c r="AO386" s="401">
        <f t="shared" si="534"/>
        <v>0</v>
      </c>
      <c r="AP386" s="401">
        <f t="shared" si="534"/>
        <v>0</v>
      </c>
      <c r="AQ386" s="401">
        <f t="shared" si="534"/>
        <v>0</v>
      </c>
      <c r="AR386" s="401">
        <f t="shared" si="534"/>
        <v>0</v>
      </c>
      <c r="AS386" s="401">
        <f t="shared" si="534"/>
        <v>0</v>
      </c>
      <c r="AT386" s="401">
        <f t="shared" si="534"/>
        <v>0</v>
      </c>
      <c r="AU386" s="401">
        <f t="shared" si="534"/>
        <v>0</v>
      </c>
      <c r="AV386" s="401">
        <f t="shared" si="534"/>
        <v>0</v>
      </c>
      <c r="AW386" s="401">
        <f t="shared" si="534"/>
        <v>0</v>
      </c>
      <c r="AX386" s="401">
        <f t="shared" ref="AX386:BP386" si="535">$H386*AX228</f>
        <v>0</v>
      </c>
      <c r="AY386" s="401">
        <f t="shared" si="535"/>
        <v>0</v>
      </c>
      <c r="AZ386" s="401">
        <f t="shared" si="535"/>
        <v>0</v>
      </c>
      <c r="BA386" s="401">
        <f t="shared" si="535"/>
        <v>0</v>
      </c>
      <c r="BB386" s="401">
        <f t="shared" si="535"/>
        <v>0</v>
      </c>
      <c r="BC386" s="401">
        <f t="shared" si="535"/>
        <v>0</v>
      </c>
      <c r="BD386" s="401">
        <f t="shared" si="535"/>
        <v>0</v>
      </c>
      <c r="BE386" s="401">
        <f t="shared" si="535"/>
        <v>0</v>
      </c>
      <c r="BF386" s="401">
        <f t="shared" si="535"/>
        <v>0</v>
      </c>
      <c r="BG386" s="401">
        <f t="shared" si="535"/>
        <v>0</v>
      </c>
      <c r="BH386" s="401">
        <f t="shared" si="535"/>
        <v>0</v>
      </c>
      <c r="BI386" s="401">
        <f t="shared" si="535"/>
        <v>0</v>
      </c>
      <c r="BJ386" s="401">
        <f t="shared" si="535"/>
        <v>0</v>
      </c>
      <c r="BK386" s="401">
        <f t="shared" si="535"/>
        <v>0</v>
      </c>
      <c r="BL386" s="401">
        <f t="shared" si="535"/>
        <v>0</v>
      </c>
      <c r="BM386" s="401">
        <f t="shared" si="535"/>
        <v>0</v>
      </c>
      <c r="BN386" s="401">
        <f t="shared" si="535"/>
        <v>0</v>
      </c>
      <c r="BO386" s="401">
        <f t="shared" si="535"/>
        <v>0</v>
      </c>
      <c r="BP386" s="401">
        <f t="shared" si="535"/>
        <v>0</v>
      </c>
    </row>
    <row r="387" spans="2:68" outlineLevel="1" x14ac:dyDescent="0.2">
      <c r="B387" s="20"/>
      <c r="C387" s="80"/>
      <c r="D387" s="81" t="str">
        <f>$D$229</f>
        <v>Total future capex cost</v>
      </c>
      <c r="E387" s="80"/>
      <c r="F387" s="80"/>
      <c r="G387" s="477">
        <f>Assumptions!$H$166</f>
        <v>1</v>
      </c>
      <c r="H387" s="477">
        <f>Assumptions!$I$166</f>
        <v>0</v>
      </c>
      <c r="I387" s="83"/>
      <c r="J387" s="85" t="str">
        <f>Assumptions!$K$166</f>
        <v>Future capex</v>
      </c>
      <c r="K387" s="401">
        <f>SUMPRODUCT($R$375:$BP$375,R387:BP387)</f>
        <v>0</v>
      </c>
      <c r="L387" s="436">
        <f>SUM(M387:BP387)</f>
        <v>0</v>
      </c>
      <c r="M387" s="457"/>
      <c r="N387" s="455"/>
      <c r="O387" s="455"/>
      <c r="P387" s="455"/>
      <c r="Q387" s="455"/>
      <c r="R387" s="401">
        <f t="shared" ref="R387:AW387" si="536">$H387*R229</f>
        <v>0</v>
      </c>
      <c r="S387" s="401">
        <f t="shared" si="536"/>
        <v>0</v>
      </c>
      <c r="T387" s="401">
        <f t="shared" si="536"/>
        <v>0</v>
      </c>
      <c r="U387" s="401">
        <f t="shared" si="536"/>
        <v>0</v>
      </c>
      <c r="V387" s="401">
        <f t="shared" si="536"/>
        <v>0</v>
      </c>
      <c r="W387" s="401">
        <f t="shared" si="536"/>
        <v>0</v>
      </c>
      <c r="X387" s="401">
        <f t="shared" si="536"/>
        <v>0</v>
      </c>
      <c r="Y387" s="401">
        <f t="shared" si="536"/>
        <v>0</v>
      </c>
      <c r="Z387" s="401">
        <f t="shared" si="536"/>
        <v>0</v>
      </c>
      <c r="AA387" s="401">
        <f t="shared" si="536"/>
        <v>0</v>
      </c>
      <c r="AB387" s="401">
        <f t="shared" si="536"/>
        <v>0</v>
      </c>
      <c r="AC387" s="401">
        <f t="shared" si="536"/>
        <v>0</v>
      </c>
      <c r="AD387" s="401">
        <f t="shared" si="536"/>
        <v>0</v>
      </c>
      <c r="AE387" s="401">
        <f t="shared" si="536"/>
        <v>0</v>
      </c>
      <c r="AF387" s="401">
        <f t="shared" si="536"/>
        <v>0</v>
      </c>
      <c r="AG387" s="401">
        <f t="shared" si="536"/>
        <v>0</v>
      </c>
      <c r="AH387" s="401">
        <f t="shared" si="536"/>
        <v>0</v>
      </c>
      <c r="AI387" s="401">
        <f t="shared" si="536"/>
        <v>0</v>
      </c>
      <c r="AJ387" s="401">
        <f t="shared" si="536"/>
        <v>0</v>
      </c>
      <c r="AK387" s="401">
        <f t="shared" si="536"/>
        <v>0</v>
      </c>
      <c r="AL387" s="401">
        <f t="shared" si="536"/>
        <v>0</v>
      </c>
      <c r="AM387" s="401">
        <f t="shared" si="536"/>
        <v>0</v>
      </c>
      <c r="AN387" s="401">
        <f t="shared" si="536"/>
        <v>0</v>
      </c>
      <c r="AO387" s="401">
        <f t="shared" si="536"/>
        <v>0</v>
      </c>
      <c r="AP387" s="401">
        <f t="shared" si="536"/>
        <v>0</v>
      </c>
      <c r="AQ387" s="401">
        <f t="shared" si="536"/>
        <v>0</v>
      </c>
      <c r="AR387" s="401">
        <f t="shared" si="536"/>
        <v>0</v>
      </c>
      <c r="AS387" s="401">
        <f t="shared" si="536"/>
        <v>0</v>
      </c>
      <c r="AT387" s="401">
        <f t="shared" si="536"/>
        <v>0</v>
      </c>
      <c r="AU387" s="401">
        <f t="shared" si="536"/>
        <v>0</v>
      </c>
      <c r="AV387" s="401">
        <f t="shared" si="536"/>
        <v>0</v>
      </c>
      <c r="AW387" s="401">
        <f t="shared" si="536"/>
        <v>0</v>
      </c>
      <c r="AX387" s="401">
        <f t="shared" ref="AX387:BP387" si="537">$H387*AX229</f>
        <v>0</v>
      </c>
      <c r="AY387" s="401">
        <f t="shared" si="537"/>
        <v>0</v>
      </c>
      <c r="AZ387" s="401">
        <f t="shared" si="537"/>
        <v>0</v>
      </c>
      <c r="BA387" s="401">
        <f t="shared" si="537"/>
        <v>0</v>
      </c>
      <c r="BB387" s="401">
        <f t="shared" si="537"/>
        <v>0</v>
      </c>
      <c r="BC387" s="401">
        <f t="shared" si="537"/>
        <v>0</v>
      </c>
      <c r="BD387" s="401">
        <f t="shared" si="537"/>
        <v>0</v>
      </c>
      <c r="BE387" s="401">
        <f t="shared" si="537"/>
        <v>0</v>
      </c>
      <c r="BF387" s="401">
        <f t="shared" si="537"/>
        <v>0</v>
      </c>
      <c r="BG387" s="401">
        <f t="shared" si="537"/>
        <v>0</v>
      </c>
      <c r="BH387" s="401">
        <f t="shared" si="537"/>
        <v>0</v>
      </c>
      <c r="BI387" s="401">
        <f t="shared" si="537"/>
        <v>0</v>
      </c>
      <c r="BJ387" s="401">
        <f t="shared" si="537"/>
        <v>0</v>
      </c>
      <c r="BK387" s="401">
        <f t="shared" si="537"/>
        <v>0</v>
      </c>
      <c r="BL387" s="401">
        <f t="shared" si="537"/>
        <v>0</v>
      </c>
      <c r="BM387" s="401">
        <f t="shared" si="537"/>
        <v>0</v>
      </c>
      <c r="BN387" s="401">
        <f t="shared" si="537"/>
        <v>0</v>
      </c>
      <c r="BO387" s="401">
        <f t="shared" si="537"/>
        <v>0</v>
      </c>
      <c r="BP387" s="401">
        <f t="shared" si="537"/>
        <v>0</v>
      </c>
    </row>
    <row r="388" spans="2:68" outlineLevel="1" x14ac:dyDescent="0.2">
      <c r="B388" s="20"/>
      <c r="C388" s="80"/>
      <c r="D388" s="85"/>
      <c r="E388" s="80"/>
      <c r="F388" s="80"/>
      <c r="G388" s="83"/>
      <c r="H388" s="83"/>
      <c r="I388" s="83"/>
      <c r="J388" s="85"/>
      <c r="K388" s="401"/>
      <c r="L388" s="436"/>
      <c r="M388" s="437"/>
      <c r="N388" s="401"/>
      <c r="O388" s="401"/>
      <c r="P388" s="401"/>
      <c r="Q388" s="401"/>
      <c r="R388" s="401"/>
      <c r="S388" s="401"/>
      <c r="T388" s="401"/>
      <c r="U388" s="401"/>
      <c r="V388" s="401"/>
      <c r="W388" s="401"/>
      <c r="X388" s="401"/>
      <c r="Y388" s="401"/>
      <c r="Z388" s="401"/>
      <c r="AA388" s="401"/>
      <c r="AB388" s="401"/>
      <c r="AC388" s="401"/>
      <c r="AD388" s="401"/>
      <c r="AE388" s="401"/>
      <c r="AF388" s="401"/>
      <c r="AG388" s="401"/>
      <c r="AH388" s="401"/>
      <c r="AI388" s="401"/>
      <c r="AJ388" s="401"/>
      <c r="AK388" s="401"/>
      <c r="AL388" s="401"/>
      <c r="AM388" s="401"/>
      <c r="AN388" s="401"/>
      <c r="AO388" s="401"/>
      <c r="AP388" s="401"/>
      <c r="AQ388" s="401"/>
      <c r="AR388" s="401"/>
      <c r="AS388" s="401"/>
      <c r="AT388" s="401"/>
      <c r="AU388" s="401"/>
      <c r="AV388" s="401"/>
      <c r="AW388" s="401"/>
      <c r="AX388" s="401"/>
      <c r="AY388" s="401"/>
      <c r="AZ388" s="401"/>
      <c r="BA388" s="401"/>
      <c r="BB388" s="401"/>
      <c r="BC388" s="401"/>
      <c r="BD388" s="401"/>
      <c r="BE388" s="401"/>
      <c r="BF388" s="401"/>
      <c r="BG388" s="401"/>
      <c r="BH388" s="401"/>
      <c r="BI388" s="401"/>
      <c r="BJ388" s="401"/>
      <c r="BK388" s="401"/>
      <c r="BL388" s="401"/>
      <c r="BM388" s="401"/>
      <c r="BN388" s="401"/>
      <c r="BO388" s="401"/>
      <c r="BP388" s="401"/>
    </row>
    <row r="389" spans="2:68" outlineLevel="1" x14ac:dyDescent="0.2">
      <c r="B389" s="20"/>
      <c r="C389" s="80"/>
      <c r="D389" s="10" t="str">
        <f>$D$231</f>
        <v>Capex benefits</v>
      </c>
      <c r="E389" s="80"/>
      <c r="F389" s="80"/>
      <c r="G389" s="83"/>
      <c r="H389" s="83"/>
      <c r="I389" s="83"/>
      <c r="J389" s="85"/>
      <c r="K389" s="80"/>
      <c r="L389" s="412"/>
      <c r="M389" s="413"/>
      <c r="N389" s="80"/>
      <c r="O389" s="80"/>
      <c r="P389" s="80"/>
      <c r="Q389" s="80"/>
      <c r="R389" s="80"/>
      <c r="S389" s="80"/>
      <c r="T389" s="83"/>
      <c r="U389" s="80"/>
      <c r="V389" s="80"/>
      <c r="W389" s="80"/>
      <c r="X389" s="80"/>
      <c r="Y389" s="80"/>
      <c r="Z389" s="80"/>
      <c r="AA389" s="80"/>
      <c r="AB389" s="80"/>
      <c r="AC389" s="80"/>
      <c r="AD389" s="80"/>
      <c r="AE389" s="80"/>
      <c r="AF389" s="80"/>
      <c r="AG389" s="80"/>
      <c r="AH389" s="80"/>
      <c r="AI389" s="80"/>
      <c r="AJ389" s="80"/>
      <c r="AK389" s="80"/>
      <c r="AL389" s="80"/>
      <c r="AM389" s="80"/>
      <c r="AN389" s="80"/>
      <c r="AO389" s="80"/>
      <c r="AP389" s="80"/>
      <c r="AQ389" s="80"/>
      <c r="AR389" s="80"/>
      <c r="AS389" s="80"/>
      <c r="AT389" s="80"/>
      <c r="AU389" s="80"/>
      <c r="AV389" s="80"/>
      <c r="AW389" s="80"/>
      <c r="AX389" s="80"/>
      <c r="AY389" s="80"/>
      <c r="AZ389" s="80"/>
      <c r="BA389" s="80"/>
      <c r="BB389" s="80"/>
      <c r="BC389" s="80"/>
      <c r="BD389" s="80"/>
      <c r="BE389" s="80"/>
      <c r="BF389" s="80"/>
      <c r="BG389" s="80"/>
      <c r="BH389" s="80"/>
      <c r="BI389" s="80"/>
      <c r="BJ389" s="80"/>
      <c r="BK389" s="80"/>
      <c r="BL389" s="80"/>
      <c r="BM389" s="80"/>
      <c r="BN389" s="80"/>
      <c r="BO389" s="80"/>
      <c r="BP389" s="80"/>
    </row>
    <row r="390" spans="2:68" outlineLevel="1" x14ac:dyDescent="0.2">
      <c r="B390" s="20"/>
      <c r="C390" s="80"/>
      <c r="D390" s="66" t="str">
        <f>$D$232</f>
        <v>Total capex benefits</v>
      </c>
      <c r="E390" s="80"/>
      <c r="F390" s="80"/>
      <c r="G390" s="477">
        <f>Assumptions!$H$169</f>
        <v>0.3</v>
      </c>
      <c r="H390" s="477">
        <f>Assumptions!$I$169</f>
        <v>0.7</v>
      </c>
      <c r="I390" s="83"/>
      <c r="J390" s="85" t="str">
        <f>Assumptions!$K$169</f>
        <v>Capex benefits</v>
      </c>
      <c r="K390" s="401">
        <f>SUMPRODUCT($R$375:$BP$375,R390:BP390)</f>
        <v>379975.99337559997</v>
      </c>
      <c r="L390" s="436">
        <f>SUM(M390:BP390)</f>
        <v>472419.85288373986</v>
      </c>
      <c r="M390" s="457"/>
      <c r="N390" s="455"/>
      <c r="O390" s="455"/>
      <c r="P390" s="455"/>
      <c r="Q390" s="455"/>
      <c r="R390" s="401">
        <f t="shared" ref="R390:AW390" si="538">$H$390*(R124+R116)</f>
        <v>0</v>
      </c>
      <c r="S390" s="401">
        <f t="shared" si="538"/>
        <v>0</v>
      </c>
      <c r="T390" s="401">
        <f t="shared" si="538"/>
        <v>0</v>
      </c>
      <c r="U390" s="401">
        <f t="shared" si="538"/>
        <v>57550.849728694186</v>
      </c>
      <c r="V390" s="401">
        <f t="shared" si="538"/>
        <v>58393.043339284741</v>
      </c>
      <c r="W390" s="401">
        <f t="shared" si="538"/>
        <v>58787.245115908787</v>
      </c>
      <c r="X390" s="401">
        <f t="shared" si="538"/>
        <v>58827.952816376768</v>
      </c>
      <c r="Y390" s="401">
        <f t="shared" si="538"/>
        <v>59715.190470868809</v>
      </c>
      <c r="Z390" s="401">
        <f t="shared" si="538"/>
        <v>59715.190470868809</v>
      </c>
      <c r="AA390" s="401">
        <f t="shared" si="538"/>
        <v>59715.190470868809</v>
      </c>
      <c r="AB390" s="401">
        <f t="shared" si="538"/>
        <v>59715.190470868809</v>
      </c>
      <c r="AC390" s="401">
        <f t="shared" si="538"/>
        <v>0</v>
      </c>
      <c r="AD390" s="401">
        <f t="shared" si="538"/>
        <v>0</v>
      </c>
      <c r="AE390" s="401">
        <f t="shared" si="538"/>
        <v>0</v>
      </c>
      <c r="AF390" s="401">
        <f t="shared" si="538"/>
        <v>0</v>
      </c>
      <c r="AG390" s="401">
        <f t="shared" si="538"/>
        <v>0</v>
      </c>
      <c r="AH390" s="401">
        <f t="shared" si="538"/>
        <v>0</v>
      </c>
      <c r="AI390" s="401">
        <f t="shared" si="538"/>
        <v>0</v>
      </c>
      <c r="AJ390" s="401">
        <f t="shared" si="538"/>
        <v>0</v>
      </c>
      <c r="AK390" s="401">
        <f t="shared" si="538"/>
        <v>0</v>
      </c>
      <c r="AL390" s="401">
        <f t="shared" si="538"/>
        <v>0</v>
      </c>
      <c r="AM390" s="401">
        <f t="shared" si="538"/>
        <v>0</v>
      </c>
      <c r="AN390" s="401">
        <f t="shared" si="538"/>
        <v>0</v>
      </c>
      <c r="AO390" s="401">
        <f t="shared" si="538"/>
        <v>0</v>
      </c>
      <c r="AP390" s="401">
        <f t="shared" si="538"/>
        <v>0</v>
      </c>
      <c r="AQ390" s="401">
        <f t="shared" si="538"/>
        <v>0</v>
      </c>
      <c r="AR390" s="401">
        <f t="shared" si="538"/>
        <v>0</v>
      </c>
      <c r="AS390" s="401">
        <f t="shared" si="538"/>
        <v>0</v>
      </c>
      <c r="AT390" s="401">
        <f t="shared" si="538"/>
        <v>0</v>
      </c>
      <c r="AU390" s="401">
        <f t="shared" si="538"/>
        <v>0</v>
      </c>
      <c r="AV390" s="401">
        <f t="shared" si="538"/>
        <v>0</v>
      </c>
      <c r="AW390" s="401">
        <f t="shared" si="538"/>
        <v>0</v>
      </c>
      <c r="AX390" s="401">
        <f t="shared" ref="AX390:BP390" si="539">$H$390*(AX124+AX116)</f>
        <v>0</v>
      </c>
      <c r="AY390" s="401">
        <f t="shared" si="539"/>
        <v>0</v>
      </c>
      <c r="AZ390" s="401">
        <f t="shared" si="539"/>
        <v>0</v>
      </c>
      <c r="BA390" s="401">
        <f t="shared" si="539"/>
        <v>0</v>
      </c>
      <c r="BB390" s="401">
        <f t="shared" si="539"/>
        <v>0</v>
      </c>
      <c r="BC390" s="401">
        <f t="shared" si="539"/>
        <v>0</v>
      </c>
      <c r="BD390" s="401">
        <f t="shared" si="539"/>
        <v>0</v>
      </c>
      <c r="BE390" s="401">
        <f t="shared" si="539"/>
        <v>0</v>
      </c>
      <c r="BF390" s="401">
        <f t="shared" si="539"/>
        <v>0</v>
      </c>
      <c r="BG390" s="401">
        <f t="shared" si="539"/>
        <v>0</v>
      </c>
      <c r="BH390" s="401">
        <f t="shared" si="539"/>
        <v>0</v>
      </c>
      <c r="BI390" s="401">
        <f t="shared" si="539"/>
        <v>0</v>
      </c>
      <c r="BJ390" s="401">
        <f t="shared" si="539"/>
        <v>0</v>
      </c>
      <c r="BK390" s="401">
        <f t="shared" si="539"/>
        <v>0</v>
      </c>
      <c r="BL390" s="401">
        <f t="shared" si="539"/>
        <v>0</v>
      </c>
      <c r="BM390" s="401">
        <f t="shared" si="539"/>
        <v>0</v>
      </c>
      <c r="BN390" s="401">
        <f t="shared" si="539"/>
        <v>0</v>
      </c>
      <c r="BO390" s="401">
        <f t="shared" si="539"/>
        <v>0</v>
      </c>
      <c r="BP390" s="401">
        <f t="shared" si="539"/>
        <v>0</v>
      </c>
    </row>
    <row r="391" spans="2:68" outlineLevel="1" x14ac:dyDescent="0.2">
      <c r="B391" s="20"/>
      <c r="C391" s="80"/>
      <c r="D391"/>
      <c r="E391"/>
      <c r="F391"/>
      <c r="G391" s="52"/>
      <c r="H391" s="52"/>
      <c r="I391" s="52"/>
      <c r="J391" s="123"/>
      <c r="K391"/>
      <c r="L391" s="112"/>
      <c r="M391" s="113"/>
      <c r="N391"/>
      <c r="O391"/>
      <c r="P391"/>
      <c r="Q391"/>
      <c r="R391"/>
      <c r="S391"/>
      <c r="T391"/>
      <c r="U391"/>
      <c r="V391"/>
      <c r="W391"/>
      <c r="X391"/>
      <c r="Y391"/>
      <c r="Z391"/>
      <c r="AA391"/>
      <c r="AB391"/>
      <c r="AC391"/>
      <c r="AD391"/>
      <c r="AE391"/>
      <c r="AF391"/>
      <c r="AG391"/>
      <c r="AH391"/>
      <c r="AI391"/>
      <c r="AJ391"/>
      <c r="AK391"/>
      <c r="AL391"/>
      <c r="AM391"/>
      <c r="AN391"/>
      <c r="AO391"/>
      <c r="AP391"/>
      <c r="AQ391"/>
      <c r="AR391"/>
      <c r="AS391"/>
      <c r="AT391"/>
      <c r="AU391"/>
      <c r="AV391"/>
      <c r="AW391"/>
      <c r="AX391"/>
      <c r="AY391"/>
      <c r="AZ391"/>
      <c r="BA391"/>
      <c r="BB391"/>
      <c r="BC391"/>
      <c r="BD391"/>
      <c r="BE391"/>
      <c r="BF391"/>
      <c r="BG391"/>
      <c r="BH391"/>
      <c r="BI391"/>
      <c r="BJ391"/>
      <c r="BK391"/>
      <c r="BL391"/>
      <c r="BM391"/>
      <c r="BN391"/>
      <c r="BO391"/>
      <c r="BP391"/>
    </row>
    <row r="392" spans="2:68" outlineLevel="1" x14ac:dyDescent="0.2">
      <c r="B392" s="20"/>
      <c r="C392" s="80"/>
      <c r="D392" s="10" t="str">
        <f>$D$234</f>
        <v>Regulatory revenue - Return on capital</v>
      </c>
      <c r="E392" s="80"/>
      <c r="F392" s="80"/>
      <c r="G392" s="83"/>
      <c r="H392" s="83"/>
      <c r="I392" s="83"/>
      <c r="J392" s="85"/>
      <c r="K392" s="80"/>
      <c r="L392" s="412"/>
      <c r="M392" s="413"/>
      <c r="N392" s="80"/>
      <c r="O392" s="80"/>
      <c r="P392" s="80"/>
      <c r="Q392" s="80"/>
      <c r="R392" s="80"/>
      <c r="S392" s="80"/>
      <c r="T392" s="83"/>
      <c r="U392" s="80"/>
      <c r="V392" s="80"/>
      <c r="W392" s="80"/>
      <c r="X392" s="80"/>
      <c r="Y392" s="80"/>
      <c r="Z392" s="80"/>
      <c r="AA392" s="80"/>
      <c r="AB392" s="80"/>
      <c r="AC392" s="80"/>
      <c r="AD392" s="80"/>
      <c r="AE392" s="80"/>
      <c r="AF392" s="80"/>
      <c r="AG392" s="80"/>
      <c r="AH392" s="80"/>
      <c r="AI392" s="80"/>
      <c r="AJ392" s="80"/>
      <c r="AK392" s="80"/>
      <c r="AL392" s="80"/>
      <c r="AM392" s="80"/>
      <c r="AN392" s="80"/>
      <c r="AO392" s="80"/>
      <c r="AP392" s="80"/>
      <c r="AQ392" s="80"/>
      <c r="AR392" s="80"/>
      <c r="AS392" s="80"/>
      <c r="AT392" s="80"/>
      <c r="AU392" s="80"/>
      <c r="AV392" s="80"/>
      <c r="AW392" s="80"/>
      <c r="AX392" s="80"/>
      <c r="AY392" s="80"/>
      <c r="AZ392" s="80"/>
      <c r="BA392" s="80"/>
      <c r="BB392" s="80"/>
      <c r="BC392" s="80"/>
      <c r="BD392" s="80"/>
      <c r="BE392" s="80"/>
      <c r="BF392" s="80"/>
      <c r="BG392" s="80"/>
      <c r="BH392" s="80"/>
      <c r="BI392" s="80"/>
      <c r="BJ392" s="80"/>
      <c r="BK392" s="80"/>
      <c r="BL392" s="80"/>
      <c r="BM392" s="80"/>
      <c r="BN392" s="80"/>
      <c r="BO392" s="80"/>
      <c r="BP392" s="80"/>
    </row>
    <row r="393" spans="2:68" outlineLevel="1" x14ac:dyDescent="0.2">
      <c r="B393" s="20"/>
      <c r="C393" s="80"/>
      <c r="D393" s="66" t="str">
        <f>$D$235</f>
        <v>Total return on capital</v>
      </c>
      <c r="E393" s="80"/>
      <c r="F393" s="80"/>
      <c r="G393" s="477">
        <f>Assumptions!$H$172</f>
        <v>1</v>
      </c>
      <c r="H393" s="477">
        <f>Assumptions!$I$172</f>
        <v>-1</v>
      </c>
      <c r="I393" s="83"/>
      <c r="J393" s="85" t="str">
        <f>Assumptions!$K$172</f>
        <v>Regulatory revenue</v>
      </c>
      <c r="K393" s="401">
        <f>SUMPRODUCT($R$375:$BP$375,R393:BP393)</f>
        <v>-9295851.6613743976</v>
      </c>
      <c r="L393" s="436">
        <f>SUM(M393:BP393)</f>
        <v>-25935296.170079987</v>
      </c>
      <c r="M393" s="457"/>
      <c r="N393" s="455"/>
      <c r="O393" s="455"/>
      <c r="P393" s="455"/>
      <c r="Q393" s="455"/>
      <c r="R393" s="401">
        <f t="shared" ref="R393:AW393" si="540">$H393*R235</f>
        <v>0</v>
      </c>
      <c r="S393" s="401">
        <f t="shared" si="540"/>
        <v>0</v>
      </c>
      <c r="T393" s="401">
        <f t="shared" si="540"/>
        <v>0</v>
      </c>
      <c r="U393" s="401">
        <f t="shared" si="540"/>
        <v>-93374.327999999994</v>
      </c>
      <c r="V393" s="401">
        <f t="shared" si="540"/>
        <v>-186885.6024</v>
      </c>
      <c r="W393" s="401">
        <f t="shared" si="540"/>
        <v>-280943.87807999999</v>
      </c>
      <c r="X393" s="401">
        <f t="shared" si="540"/>
        <v>-333769.44688</v>
      </c>
      <c r="Y393" s="401">
        <f t="shared" si="540"/>
        <v>-389096.81760000001</v>
      </c>
      <c r="Z393" s="401">
        <f t="shared" si="540"/>
        <v>-306151.79216000001</v>
      </c>
      <c r="AA393" s="401">
        <f t="shared" si="540"/>
        <v>-241881.63232000003</v>
      </c>
      <c r="AB393" s="401">
        <f t="shared" si="540"/>
        <v>-200048.70048000003</v>
      </c>
      <c r="AC393" s="401">
        <f t="shared" si="540"/>
        <v>-180744.16352000003</v>
      </c>
      <c r="AD393" s="401">
        <f t="shared" si="540"/>
        <v>-180227.15904000003</v>
      </c>
      <c r="AE393" s="401">
        <f t="shared" si="540"/>
        <v>-202755.55392000003</v>
      </c>
      <c r="AF393" s="401">
        <f t="shared" si="540"/>
        <v>-225283.94880000004</v>
      </c>
      <c r="AG393" s="401">
        <f t="shared" si="540"/>
        <v>-247812.34368000005</v>
      </c>
      <c r="AH393" s="401">
        <f t="shared" si="540"/>
        <v>-270340.73856000003</v>
      </c>
      <c r="AI393" s="401">
        <f t="shared" si="540"/>
        <v>-292869.13344000006</v>
      </c>
      <c r="AJ393" s="401">
        <f t="shared" si="540"/>
        <v>-315397.52832000004</v>
      </c>
      <c r="AK393" s="401">
        <f t="shared" si="540"/>
        <v>-337925.92320000002</v>
      </c>
      <c r="AL393" s="401">
        <f t="shared" si="540"/>
        <v>-360454.31808</v>
      </c>
      <c r="AM393" s="401">
        <f t="shared" si="540"/>
        <v>-382982.71295999998</v>
      </c>
      <c r="AN393" s="401">
        <f t="shared" si="540"/>
        <v>-405511.1078399999</v>
      </c>
      <c r="AO393" s="401">
        <f t="shared" si="540"/>
        <v>-428039.50271999987</v>
      </c>
      <c r="AP393" s="401">
        <f t="shared" si="540"/>
        <v>-450567.89759999985</v>
      </c>
      <c r="AQ393" s="401">
        <f t="shared" si="540"/>
        <v>-473096.29247999983</v>
      </c>
      <c r="AR393" s="401">
        <f t="shared" si="540"/>
        <v>-495624.68735999981</v>
      </c>
      <c r="AS393" s="401">
        <f t="shared" si="540"/>
        <v>-518153.08223999979</v>
      </c>
      <c r="AT393" s="401">
        <f t="shared" si="540"/>
        <v>-540681.47711999982</v>
      </c>
      <c r="AU393" s="401">
        <f t="shared" si="540"/>
        <v>-563209.87199999974</v>
      </c>
      <c r="AV393" s="401">
        <f t="shared" si="540"/>
        <v>-585738.26687999966</v>
      </c>
      <c r="AW393" s="401">
        <f t="shared" si="540"/>
        <v>-608266.6617599997</v>
      </c>
      <c r="AX393" s="401">
        <f t="shared" ref="AX393:BP393" si="541">$H393*AX235</f>
        <v>-630795.05663999962</v>
      </c>
      <c r="AY393" s="401">
        <f t="shared" si="541"/>
        <v>-653323.45151999965</v>
      </c>
      <c r="AZ393" s="401">
        <f t="shared" si="541"/>
        <v>-675851.84639999957</v>
      </c>
      <c r="BA393" s="401">
        <f t="shared" si="541"/>
        <v>-698380.24127999961</v>
      </c>
      <c r="BB393" s="401">
        <f t="shared" si="541"/>
        <v>-720908.63615999953</v>
      </c>
      <c r="BC393" s="401">
        <f t="shared" si="541"/>
        <v>-743437.03103999957</v>
      </c>
      <c r="BD393" s="401">
        <f t="shared" si="541"/>
        <v>-765965.42591999948</v>
      </c>
      <c r="BE393" s="401">
        <f t="shared" si="541"/>
        <v>-788493.82079999952</v>
      </c>
      <c r="BF393" s="401">
        <f t="shared" si="541"/>
        <v>-811022.21567999944</v>
      </c>
      <c r="BG393" s="401">
        <f t="shared" si="541"/>
        <v>-833550.61055999948</v>
      </c>
      <c r="BH393" s="401">
        <f t="shared" si="541"/>
        <v>-856079.0054399994</v>
      </c>
      <c r="BI393" s="401">
        <f t="shared" si="541"/>
        <v>-878607.40031999943</v>
      </c>
      <c r="BJ393" s="401">
        <f t="shared" si="541"/>
        <v>-901135.79519999935</v>
      </c>
      <c r="BK393" s="401">
        <f t="shared" si="541"/>
        <v>-923664.19007999939</v>
      </c>
      <c r="BL393" s="401">
        <f t="shared" si="541"/>
        <v>-946192.58495999931</v>
      </c>
      <c r="BM393" s="401">
        <f t="shared" si="541"/>
        <v>-968720.97983999923</v>
      </c>
      <c r="BN393" s="401">
        <f t="shared" si="541"/>
        <v>-991249.37471999926</v>
      </c>
      <c r="BO393" s="401">
        <f t="shared" si="541"/>
        <v>-1013777.7695999992</v>
      </c>
      <c r="BP393" s="401">
        <f t="shared" si="541"/>
        <v>-1036306.1644799992</v>
      </c>
    </row>
    <row r="394" spans="2:68" outlineLevel="1" x14ac:dyDescent="0.2">
      <c r="B394" s="20"/>
      <c r="C394" s="80"/>
      <c r="D394"/>
      <c r="E394"/>
      <c r="F394"/>
      <c r="G394" s="52"/>
      <c r="H394" s="52"/>
      <c r="I394" s="52"/>
      <c r="J394" s="123"/>
      <c r="K394"/>
      <c r="L394" s="112"/>
      <c r="M394" s="113"/>
      <c r="N394"/>
      <c r="O394"/>
      <c r="P394"/>
      <c r="Q394"/>
      <c r="R394"/>
      <c r="S394"/>
      <c r="T394"/>
      <c r="U394"/>
      <c r="V394"/>
      <c r="W394"/>
      <c r="X394"/>
      <c r="Y394"/>
      <c r="Z394"/>
      <c r="AA394"/>
      <c r="AB394"/>
      <c r="AC394"/>
      <c r="AD394"/>
      <c r="AE394"/>
      <c r="AF394"/>
      <c r="AG394"/>
      <c r="AH394"/>
      <c r="AI394"/>
      <c r="AJ394"/>
      <c r="AK394"/>
      <c r="AL394"/>
      <c r="AM394"/>
      <c r="AN394"/>
      <c r="AO394"/>
      <c r="AP394"/>
      <c r="AQ394"/>
      <c r="AR394"/>
      <c r="AS394"/>
      <c r="AT394"/>
      <c r="AU394"/>
      <c r="AV394"/>
      <c r="AW394"/>
      <c r="AX394"/>
      <c r="AY394"/>
      <c r="AZ394"/>
      <c r="BA394"/>
      <c r="BB394"/>
      <c r="BC394"/>
      <c r="BD394"/>
      <c r="BE394"/>
      <c r="BF394"/>
      <c r="BG394"/>
      <c r="BH394"/>
      <c r="BI394"/>
      <c r="BJ394"/>
      <c r="BK394"/>
      <c r="BL394"/>
      <c r="BM394"/>
      <c r="BN394"/>
      <c r="BO394"/>
      <c r="BP394"/>
    </row>
    <row r="395" spans="2:68" outlineLevel="1" x14ac:dyDescent="0.2">
      <c r="B395" s="20"/>
      <c r="C395" s="80"/>
      <c r="D395" s="10" t="str">
        <f>$D$237</f>
        <v>Regulatory revenue - Return of capital</v>
      </c>
      <c r="E395" s="80"/>
      <c r="F395" s="80"/>
      <c r="G395" s="83"/>
      <c r="H395" s="83"/>
      <c r="I395" s="83"/>
      <c r="J395" s="85"/>
      <c r="K395" s="80"/>
      <c r="L395" s="412"/>
      <c r="M395" s="413"/>
      <c r="N395" s="80"/>
      <c r="O395" s="80"/>
      <c r="P395" s="80"/>
      <c r="Q395" s="80"/>
      <c r="R395" s="80"/>
      <c r="S395" s="80"/>
      <c r="T395" s="83"/>
      <c r="U395" s="80"/>
      <c r="V395" s="80"/>
      <c r="W395" s="80"/>
      <c r="X395" s="80"/>
      <c r="Y395" s="80"/>
      <c r="Z395" s="80"/>
      <c r="AA395" s="80"/>
      <c r="AB395" s="80"/>
      <c r="AC395" s="80"/>
      <c r="AD395" s="80"/>
      <c r="AE395" s="80"/>
      <c r="AF395" s="80"/>
      <c r="AG395" s="80"/>
      <c r="AH395" s="80"/>
      <c r="AI395" s="80"/>
      <c r="AJ395" s="80"/>
      <c r="AK395" s="80"/>
      <c r="AL395" s="80"/>
      <c r="AM395" s="80"/>
      <c r="AN395" s="80"/>
      <c r="AO395" s="80"/>
      <c r="AP395" s="80"/>
      <c r="AQ395" s="80"/>
      <c r="AR395" s="80"/>
      <c r="AS395" s="80"/>
      <c r="AT395" s="80"/>
      <c r="AU395" s="80"/>
      <c r="AV395" s="80"/>
      <c r="AW395" s="80"/>
      <c r="AX395" s="80"/>
      <c r="AY395" s="80"/>
      <c r="AZ395" s="80"/>
      <c r="BA395" s="80"/>
      <c r="BB395" s="80"/>
      <c r="BC395" s="80"/>
      <c r="BD395" s="80"/>
      <c r="BE395" s="80"/>
      <c r="BF395" s="80"/>
      <c r="BG395" s="80"/>
      <c r="BH395" s="80"/>
      <c r="BI395" s="80"/>
      <c r="BJ395" s="80"/>
      <c r="BK395" s="80"/>
      <c r="BL395" s="80"/>
      <c r="BM395" s="80"/>
      <c r="BN395" s="80"/>
      <c r="BO395" s="80"/>
      <c r="BP395" s="80"/>
    </row>
    <row r="396" spans="2:68" outlineLevel="1" x14ac:dyDescent="0.2">
      <c r="B396" s="20"/>
      <c r="C396" s="80"/>
      <c r="D396" s="66" t="str">
        <f>$D$238</f>
        <v>Total return of capital</v>
      </c>
      <c r="E396" s="80"/>
      <c r="F396" s="80"/>
      <c r="G396" s="477">
        <f>Assumptions!$H$175</f>
        <v>1</v>
      </c>
      <c r="H396" s="477">
        <f>Assumptions!$I$175</f>
        <v>-1</v>
      </c>
      <c r="I396" s="83"/>
      <c r="J396" s="85" t="str">
        <f>Assumptions!$K$175</f>
        <v>Regulatory revenue</v>
      </c>
      <c r="K396" s="401">
        <f>SUMPRODUCT($R$375:$BP$375,R396:BP396)</f>
        <v>1415995.0376471104</v>
      </c>
      <c r="L396" s="436">
        <f>SUM(M396:BP396)</f>
        <v>14794740.199999992</v>
      </c>
      <c r="M396" s="457"/>
      <c r="N396" s="455"/>
      <c r="O396" s="455"/>
      <c r="P396" s="455"/>
      <c r="Q396" s="455"/>
      <c r="R396" s="401">
        <f t="shared" ref="R396:AW396" si="542">$H396*R238</f>
        <v>0</v>
      </c>
      <c r="S396" s="401">
        <f t="shared" si="542"/>
        <v>0</v>
      </c>
      <c r="T396" s="401">
        <f t="shared" si="542"/>
        <v>0</v>
      </c>
      <c r="U396" s="401">
        <f t="shared" si="542"/>
        <v>0</v>
      </c>
      <c r="V396" s="401">
        <f t="shared" si="542"/>
        <v>-542874</v>
      </c>
      <c r="W396" s="401">
        <f t="shared" si="542"/>
        <v>-540223.80000000005</v>
      </c>
      <c r="X396" s="401">
        <f t="shared" si="542"/>
        <v>-1195119</v>
      </c>
      <c r="Y396" s="401">
        <f t="shared" si="542"/>
        <v>-1741268.2</v>
      </c>
      <c r="Z396" s="401">
        <f t="shared" si="542"/>
        <v>-2411192.6</v>
      </c>
      <c r="AA396" s="401">
        <f t="shared" si="542"/>
        <v>-1868318.6</v>
      </c>
      <c r="AB396" s="401">
        <f t="shared" si="542"/>
        <v>-1216073.6000000001</v>
      </c>
      <c r="AC396" s="401">
        <f t="shared" si="542"/>
        <v>-561178.40000000014</v>
      </c>
      <c r="AD396" s="401">
        <f t="shared" si="542"/>
        <v>-15029.200000000186</v>
      </c>
      <c r="AE396" s="401">
        <f t="shared" si="542"/>
        <v>654895.19999999984</v>
      </c>
      <c r="AF396" s="401">
        <f t="shared" si="542"/>
        <v>654895.19999999984</v>
      </c>
      <c r="AG396" s="401">
        <f t="shared" si="542"/>
        <v>654895.19999999984</v>
      </c>
      <c r="AH396" s="401">
        <f t="shared" si="542"/>
        <v>654895.19999999984</v>
      </c>
      <c r="AI396" s="401">
        <f t="shared" si="542"/>
        <v>654895.19999999984</v>
      </c>
      <c r="AJ396" s="401">
        <f t="shared" si="542"/>
        <v>654895.19999999984</v>
      </c>
      <c r="AK396" s="401">
        <f t="shared" si="542"/>
        <v>654895.19999999984</v>
      </c>
      <c r="AL396" s="401">
        <f t="shared" si="542"/>
        <v>654895.19999999984</v>
      </c>
      <c r="AM396" s="401">
        <f t="shared" si="542"/>
        <v>654895.19999999984</v>
      </c>
      <c r="AN396" s="401">
        <f t="shared" si="542"/>
        <v>654895.19999999984</v>
      </c>
      <c r="AO396" s="401">
        <f t="shared" si="542"/>
        <v>654895.19999999984</v>
      </c>
      <c r="AP396" s="401">
        <f t="shared" si="542"/>
        <v>654895.19999999984</v>
      </c>
      <c r="AQ396" s="401">
        <f t="shared" si="542"/>
        <v>654895.19999999984</v>
      </c>
      <c r="AR396" s="401">
        <f t="shared" si="542"/>
        <v>654895.19999999984</v>
      </c>
      <c r="AS396" s="401">
        <f t="shared" si="542"/>
        <v>654895.19999999984</v>
      </c>
      <c r="AT396" s="401">
        <f t="shared" si="542"/>
        <v>654895.19999999984</v>
      </c>
      <c r="AU396" s="401">
        <f t="shared" si="542"/>
        <v>654895.19999999984</v>
      </c>
      <c r="AV396" s="401">
        <f t="shared" si="542"/>
        <v>654895.19999999984</v>
      </c>
      <c r="AW396" s="401">
        <f t="shared" si="542"/>
        <v>654895.19999999984</v>
      </c>
      <c r="AX396" s="401">
        <f t="shared" ref="AX396:BP396" si="543">$H396*AX238</f>
        <v>654895.19999999984</v>
      </c>
      <c r="AY396" s="401">
        <f t="shared" si="543"/>
        <v>654895.19999999984</v>
      </c>
      <c r="AZ396" s="401">
        <f t="shared" si="543"/>
        <v>654895.19999999984</v>
      </c>
      <c r="BA396" s="401">
        <f t="shared" si="543"/>
        <v>654895.19999999984</v>
      </c>
      <c r="BB396" s="401">
        <f t="shared" si="543"/>
        <v>654895.19999999984</v>
      </c>
      <c r="BC396" s="401">
        <f t="shared" si="543"/>
        <v>654895.19999999984</v>
      </c>
      <c r="BD396" s="401">
        <f t="shared" si="543"/>
        <v>654895.19999999984</v>
      </c>
      <c r="BE396" s="401">
        <f t="shared" si="543"/>
        <v>654895.19999999984</v>
      </c>
      <c r="BF396" s="401">
        <f t="shared" si="543"/>
        <v>654895.19999999984</v>
      </c>
      <c r="BG396" s="401">
        <f t="shared" si="543"/>
        <v>654895.19999999984</v>
      </c>
      <c r="BH396" s="401">
        <f t="shared" si="543"/>
        <v>654895.19999999984</v>
      </c>
      <c r="BI396" s="401">
        <f t="shared" si="543"/>
        <v>654895.19999999984</v>
      </c>
      <c r="BJ396" s="401">
        <f t="shared" si="543"/>
        <v>654895.19999999984</v>
      </c>
      <c r="BK396" s="401">
        <f t="shared" si="543"/>
        <v>654895.19999999984</v>
      </c>
      <c r="BL396" s="401">
        <f t="shared" si="543"/>
        <v>654895.19999999984</v>
      </c>
      <c r="BM396" s="401">
        <f t="shared" si="543"/>
        <v>654895.19999999984</v>
      </c>
      <c r="BN396" s="401">
        <f t="shared" si="543"/>
        <v>654895.19999999984</v>
      </c>
      <c r="BO396" s="401">
        <f t="shared" si="543"/>
        <v>654895.19999999984</v>
      </c>
      <c r="BP396" s="401">
        <f t="shared" si="543"/>
        <v>654895.19999999984</v>
      </c>
    </row>
    <row r="397" spans="2:68" outlineLevel="1" x14ac:dyDescent="0.2">
      <c r="B397" s="20"/>
      <c r="C397" s="80"/>
      <c r="D397"/>
      <c r="E397"/>
      <c r="F397"/>
      <c r="G397" s="52"/>
      <c r="H397" s="52"/>
      <c r="I397" s="52"/>
      <c r="J397" s="123"/>
      <c r="K397"/>
      <c r="L397" s="112"/>
      <c r="M397" s="113"/>
      <c r="N397"/>
      <c r="O397"/>
      <c r="P397"/>
      <c r="Q397"/>
      <c r="R397"/>
      <c r="S397"/>
      <c r="T397"/>
      <c r="U397"/>
      <c r="V397"/>
      <c r="W397"/>
      <c r="X397"/>
      <c r="Y397"/>
      <c r="Z397"/>
      <c r="AA397"/>
      <c r="AB397"/>
      <c r="AC397"/>
      <c r="AD397"/>
      <c r="AE397"/>
      <c r="AF397"/>
      <c r="AG397"/>
      <c r="AH397"/>
      <c r="AI397"/>
      <c r="AJ397"/>
      <c r="AK397"/>
      <c r="AL397"/>
      <c r="AM397"/>
      <c r="AN397"/>
      <c r="AO397"/>
      <c r="AP397"/>
      <c r="AQ397"/>
      <c r="AR397"/>
      <c r="AS397"/>
      <c r="AT397"/>
      <c r="AU397"/>
      <c r="AV397"/>
      <c r="AW397"/>
      <c r="AX397"/>
      <c r="AY397"/>
      <c r="AZ397"/>
      <c r="BA397"/>
      <c r="BB397"/>
      <c r="BC397"/>
      <c r="BD397"/>
      <c r="BE397"/>
      <c r="BF397"/>
      <c r="BG397"/>
      <c r="BH397"/>
      <c r="BI397"/>
      <c r="BJ397"/>
      <c r="BK397"/>
      <c r="BL397"/>
      <c r="BM397"/>
      <c r="BN397"/>
      <c r="BO397"/>
      <c r="BP397"/>
    </row>
    <row r="398" spans="2:68" outlineLevel="1" x14ac:dyDescent="0.2">
      <c r="B398" s="20"/>
      <c r="C398" s="80"/>
      <c r="D398" s="10" t="str">
        <f>$D$240</f>
        <v>Regulatory revenue - Terminal value of total capex</v>
      </c>
      <c r="E398"/>
      <c r="F398"/>
      <c r="G398" s="52"/>
      <c r="H398" s="52"/>
      <c r="I398" s="52"/>
      <c r="J398" s="123"/>
      <c r="K398"/>
      <c r="L398" s="112"/>
      <c r="M398" s="113"/>
      <c r="N398"/>
      <c r="O398"/>
      <c r="P398"/>
      <c r="Q398"/>
      <c r="R398"/>
      <c r="S398"/>
      <c r="T398"/>
      <c r="U398"/>
      <c r="V398"/>
      <c r="W398"/>
      <c r="X398"/>
      <c r="Y398"/>
      <c r="Z398"/>
      <c r="AA398"/>
      <c r="AB398"/>
      <c r="AC398"/>
      <c r="AD398"/>
      <c r="AE398"/>
      <c r="AF398"/>
      <c r="AG398"/>
      <c r="AH398"/>
      <c r="AI398"/>
      <c r="AJ398"/>
      <c r="AK398"/>
      <c r="AL398"/>
      <c r="AM398"/>
      <c r="AN398"/>
      <c r="AO398"/>
      <c r="AP398"/>
      <c r="AQ398"/>
      <c r="AR398"/>
      <c r="AS398"/>
      <c r="AT398"/>
      <c r="AU398"/>
      <c r="AV398"/>
      <c r="AW398"/>
      <c r="AX398"/>
      <c r="AY398"/>
      <c r="AZ398"/>
      <c r="BA398"/>
      <c r="BB398"/>
      <c r="BC398"/>
      <c r="BD398"/>
      <c r="BE398"/>
      <c r="BF398"/>
      <c r="BG398"/>
      <c r="BH398"/>
      <c r="BI398"/>
      <c r="BJ398"/>
      <c r="BK398"/>
      <c r="BL398"/>
      <c r="BM398"/>
      <c r="BN398"/>
      <c r="BO398"/>
      <c r="BP398"/>
    </row>
    <row r="399" spans="2:68" outlineLevel="1" x14ac:dyDescent="0.2">
      <c r="B399" s="20"/>
      <c r="C399" s="80"/>
      <c r="D399" s="81" t="str">
        <f>$D$241</f>
        <v>Total capex terminal value</v>
      </c>
      <c r="E399" s="473"/>
      <c r="F399" s="473"/>
      <c r="G399" s="477">
        <f>Assumptions!$H$178</f>
        <v>1</v>
      </c>
      <c r="H399" s="477">
        <f>Assumptions!$I$178</f>
        <v>-1</v>
      </c>
      <c r="I399" s="488"/>
      <c r="J399" s="85" t="str">
        <f>Assumptions!$K$178</f>
        <v>Regulatory revenue</v>
      </c>
      <c r="K399" s="401">
        <f>SUMPRODUCT($R$375:$BP$375,R399:BP399)</f>
        <v>-5552697.8933985541</v>
      </c>
      <c r="L399" s="436">
        <f>SUM(M399:BP399)</f>
        <v>-30125179.199999977</v>
      </c>
      <c r="M399" s="457"/>
      <c r="N399" s="455"/>
      <c r="O399" s="455"/>
      <c r="P399" s="455"/>
      <c r="Q399" s="455"/>
      <c r="R399" s="401">
        <f t="shared" ref="R399:AW399" si="544">$H399*R241</f>
        <v>0</v>
      </c>
      <c r="S399" s="401">
        <f t="shared" si="544"/>
        <v>0</v>
      </c>
      <c r="T399" s="401">
        <f t="shared" si="544"/>
        <v>0</v>
      </c>
      <c r="U399" s="401">
        <f t="shared" si="544"/>
        <v>0</v>
      </c>
      <c r="V399" s="401">
        <f t="shared" si="544"/>
        <v>0</v>
      </c>
      <c r="W399" s="401">
        <f t="shared" si="544"/>
        <v>0</v>
      </c>
      <c r="X399" s="401">
        <f t="shared" si="544"/>
        <v>0</v>
      </c>
      <c r="Y399" s="401">
        <f t="shared" si="544"/>
        <v>0</v>
      </c>
      <c r="Z399" s="401">
        <f t="shared" si="544"/>
        <v>0</v>
      </c>
      <c r="AA399" s="401">
        <f t="shared" si="544"/>
        <v>0</v>
      </c>
      <c r="AB399" s="401">
        <f t="shared" si="544"/>
        <v>0</v>
      </c>
      <c r="AC399" s="401">
        <f t="shared" si="544"/>
        <v>0</v>
      </c>
      <c r="AD399" s="401">
        <f t="shared" si="544"/>
        <v>0</v>
      </c>
      <c r="AE399" s="401">
        <f t="shared" si="544"/>
        <v>0</v>
      </c>
      <c r="AF399" s="401">
        <f t="shared" si="544"/>
        <v>0</v>
      </c>
      <c r="AG399" s="401">
        <f t="shared" si="544"/>
        <v>0</v>
      </c>
      <c r="AH399" s="401">
        <f t="shared" si="544"/>
        <v>0</v>
      </c>
      <c r="AI399" s="401">
        <f t="shared" si="544"/>
        <v>0</v>
      </c>
      <c r="AJ399" s="401">
        <f t="shared" si="544"/>
        <v>0</v>
      </c>
      <c r="AK399" s="401">
        <f t="shared" si="544"/>
        <v>0</v>
      </c>
      <c r="AL399" s="401">
        <f t="shared" si="544"/>
        <v>0</v>
      </c>
      <c r="AM399" s="401">
        <f t="shared" si="544"/>
        <v>0</v>
      </c>
      <c r="AN399" s="401">
        <f t="shared" si="544"/>
        <v>0</v>
      </c>
      <c r="AO399" s="401">
        <f t="shared" si="544"/>
        <v>0</v>
      </c>
      <c r="AP399" s="401">
        <f t="shared" si="544"/>
        <v>0</v>
      </c>
      <c r="AQ399" s="401">
        <f t="shared" si="544"/>
        <v>0</v>
      </c>
      <c r="AR399" s="401">
        <f t="shared" si="544"/>
        <v>0</v>
      </c>
      <c r="AS399" s="401">
        <f t="shared" si="544"/>
        <v>0</v>
      </c>
      <c r="AT399" s="401">
        <f t="shared" si="544"/>
        <v>0</v>
      </c>
      <c r="AU399" s="401">
        <f t="shared" si="544"/>
        <v>0</v>
      </c>
      <c r="AV399" s="401">
        <f t="shared" si="544"/>
        <v>0</v>
      </c>
      <c r="AW399" s="401">
        <f t="shared" si="544"/>
        <v>0</v>
      </c>
      <c r="AX399" s="401">
        <f t="shared" ref="AX399:BP399" si="545">$H399*AX241</f>
        <v>0</v>
      </c>
      <c r="AY399" s="401">
        <f t="shared" si="545"/>
        <v>0</v>
      </c>
      <c r="AZ399" s="401">
        <f t="shared" si="545"/>
        <v>0</v>
      </c>
      <c r="BA399" s="401">
        <f t="shared" si="545"/>
        <v>0</v>
      </c>
      <c r="BB399" s="401">
        <f t="shared" si="545"/>
        <v>0</v>
      </c>
      <c r="BC399" s="401">
        <f t="shared" si="545"/>
        <v>0</v>
      </c>
      <c r="BD399" s="401">
        <f t="shared" si="545"/>
        <v>0</v>
      </c>
      <c r="BE399" s="401">
        <f t="shared" si="545"/>
        <v>0</v>
      </c>
      <c r="BF399" s="401">
        <f t="shared" si="545"/>
        <v>0</v>
      </c>
      <c r="BG399" s="401">
        <f t="shared" si="545"/>
        <v>0</v>
      </c>
      <c r="BH399" s="401">
        <f t="shared" si="545"/>
        <v>0</v>
      </c>
      <c r="BI399" s="401">
        <f t="shared" si="545"/>
        <v>0</v>
      </c>
      <c r="BJ399" s="401">
        <f t="shared" si="545"/>
        <v>0</v>
      </c>
      <c r="BK399" s="401">
        <f t="shared" si="545"/>
        <v>0</v>
      </c>
      <c r="BL399" s="401">
        <f t="shared" si="545"/>
        <v>0</v>
      </c>
      <c r="BM399" s="401">
        <f t="shared" si="545"/>
        <v>0</v>
      </c>
      <c r="BN399" s="401">
        <f t="shared" si="545"/>
        <v>0</v>
      </c>
      <c r="BO399" s="401">
        <f t="shared" si="545"/>
        <v>0</v>
      </c>
      <c r="BP399" s="401">
        <f t="shared" si="545"/>
        <v>-30125179.199999977</v>
      </c>
    </row>
    <row r="400" spans="2:68" outlineLevel="1" x14ac:dyDescent="0.2">
      <c r="B400" s="20"/>
      <c r="C400" s="80"/>
      <c r="D400"/>
      <c r="E400"/>
      <c r="F400"/>
      <c r="G400" s="52"/>
      <c r="H400" s="52"/>
      <c r="I400" s="52"/>
      <c r="J400" s="123"/>
      <c r="K400"/>
      <c r="L400" s="112"/>
      <c r="M400" s="113"/>
      <c r="N400"/>
      <c r="O400"/>
      <c r="P400"/>
      <c r="Q400"/>
      <c r="R400"/>
      <c r="S400"/>
      <c r="T400"/>
      <c r="U400"/>
      <c r="V400"/>
      <c r="W400"/>
      <c r="X400"/>
      <c r="Y400"/>
      <c r="Z400"/>
      <c r="AA400"/>
      <c r="AB400"/>
      <c r="AC400"/>
      <c r="AD400"/>
      <c r="AE400"/>
      <c r="AF400"/>
      <c r="AG400"/>
      <c r="AH400"/>
      <c r="AI400"/>
      <c r="AJ400"/>
      <c r="AK400"/>
      <c r="AL400"/>
      <c r="AM400"/>
      <c r="AN400"/>
      <c r="AO400"/>
      <c r="AP400"/>
      <c r="AQ400"/>
      <c r="AR400"/>
      <c r="AS400"/>
      <c r="AT400"/>
      <c r="AU400"/>
      <c r="AV400"/>
      <c r="AW400"/>
      <c r="AX400"/>
      <c r="AY400"/>
      <c r="AZ400"/>
      <c r="BA400"/>
      <c r="BB400"/>
      <c r="BC400"/>
      <c r="BD400"/>
      <c r="BE400"/>
      <c r="BF400"/>
      <c r="BG400"/>
      <c r="BH400"/>
      <c r="BI400"/>
      <c r="BJ400"/>
      <c r="BK400"/>
      <c r="BL400"/>
      <c r="BM400"/>
      <c r="BN400"/>
      <c r="BO400"/>
      <c r="BP400"/>
    </row>
    <row r="401" spans="2:68" outlineLevel="1" x14ac:dyDescent="0.2">
      <c r="B401" s="20"/>
      <c r="C401" s="80"/>
      <c r="D401" s="10" t="str">
        <f>$D$243</f>
        <v>Regulated revenue - ACS revenue</v>
      </c>
      <c r="E401" s="80"/>
      <c r="F401" s="80"/>
      <c r="G401" s="83"/>
      <c r="H401" s="83"/>
      <c r="I401" s="83"/>
      <c r="J401" s="85"/>
      <c r="K401" s="80"/>
      <c r="L401" s="412"/>
      <c r="M401" s="413"/>
      <c r="N401" s="80"/>
      <c r="O401" s="80"/>
      <c r="P401" s="80"/>
      <c r="Q401" s="80"/>
      <c r="R401" s="80"/>
      <c r="S401" s="80"/>
      <c r="T401" s="83"/>
      <c r="U401" s="80"/>
      <c r="V401" s="80"/>
      <c r="W401" s="80"/>
      <c r="X401" s="80"/>
      <c r="Y401" s="80"/>
      <c r="Z401" s="80"/>
      <c r="AA401" s="80"/>
      <c r="AB401" s="80"/>
      <c r="AC401" s="80"/>
      <c r="AD401" s="80"/>
      <c r="AE401" s="80"/>
      <c r="AF401" s="80"/>
      <c r="AG401" s="80"/>
      <c r="AH401" s="80"/>
      <c r="AI401" s="80"/>
      <c r="AJ401" s="80"/>
      <c r="AK401" s="80"/>
      <c r="AL401" s="80"/>
      <c r="AM401" s="80"/>
      <c r="AN401" s="80"/>
      <c r="AO401" s="80"/>
      <c r="AP401" s="80"/>
      <c r="AQ401" s="80"/>
      <c r="AR401" s="80"/>
      <c r="AS401" s="80"/>
      <c r="AT401" s="80"/>
      <c r="AU401" s="80"/>
      <c r="AV401" s="80"/>
      <c r="AW401" s="80"/>
      <c r="AX401" s="80"/>
      <c r="AY401" s="80"/>
      <c r="AZ401" s="80"/>
      <c r="BA401" s="80"/>
      <c r="BB401" s="80"/>
      <c r="BC401" s="80"/>
      <c r="BD401" s="80"/>
      <c r="BE401" s="80"/>
      <c r="BF401" s="80"/>
      <c r="BG401" s="80"/>
      <c r="BH401" s="80"/>
      <c r="BI401" s="80"/>
      <c r="BJ401" s="80"/>
      <c r="BK401" s="80"/>
      <c r="BL401" s="80"/>
      <c r="BM401" s="80"/>
      <c r="BN401" s="80"/>
      <c r="BO401" s="80"/>
      <c r="BP401" s="80"/>
    </row>
    <row r="402" spans="2:68" outlineLevel="1" x14ac:dyDescent="0.2">
      <c r="B402" s="20"/>
      <c r="C402" s="80"/>
      <c r="D402" s="81" t="str">
        <f>$D$244</f>
        <v>ACS revenue</v>
      </c>
      <c r="E402" s="80"/>
      <c r="F402" s="80"/>
      <c r="G402" s="477">
        <f>Assumptions!$H$181</f>
        <v>1</v>
      </c>
      <c r="H402" s="477">
        <f>Assumptions!$I$181</f>
        <v>0</v>
      </c>
      <c r="I402" s="83"/>
      <c r="J402" s="85" t="str">
        <f>Assumptions!$K$181</f>
        <v>Regulatory revenue</v>
      </c>
      <c r="K402" s="401">
        <f>SUMPRODUCT($R$375:$BP$375,R402:BP402)</f>
        <v>0</v>
      </c>
      <c r="L402" s="436">
        <f>SUM(M402:BP402)</f>
        <v>0</v>
      </c>
      <c r="M402" s="457"/>
      <c r="N402" s="455"/>
      <c r="O402" s="455"/>
      <c r="P402" s="455"/>
      <c r="Q402" s="455"/>
      <c r="R402" s="401">
        <f t="shared" ref="R402:AW402" si="546">$H402*R244</f>
        <v>0</v>
      </c>
      <c r="S402" s="401">
        <f t="shared" si="546"/>
        <v>0</v>
      </c>
      <c r="T402" s="401">
        <f t="shared" si="546"/>
        <v>0</v>
      </c>
      <c r="U402" s="401">
        <f t="shared" si="546"/>
        <v>0</v>
      </c>
      <c r="V402" s="401">
        <f t="shared" si="546"/>
        <v>0</v>
      </c>
      <c r="W402" s="401">
        <f t="shared" si="546"/>
        <v>0</v>
      </c>
      <c r="X402" s="401">
        <f t="shared" si="546"/>
        <v>0</v>
      </c>
      <c r="Y402" s="401">
        <f t="shared" si="546"/>
        <v>0</v>
      </c>
      <c r="Z402" s="401">
        <f t="shared" si="546"/>
        <v>0</v>
      </c>
      <c r="AA402" s="401">
        <f t="shared" si="546"/>
        <v>0</v>
      </c>
      <c r="AB402" s="401">
        <f t="shared" si="546"/>
        <v>0</v>
      </c>
      <c r="AC402" s="401">
        <f t="shared" si="546"/>
        <v>0</v>
      </c>
      <c r="AD402" s="401">
        <f t="shared" si="546"/>
        <v>0</v>
      </c>
      <c r="AE402" s="401">
        <f t="shared" si="546"/>
        <v>0</v>
      </c>
      <c r="AF402" s="401">
        <f t="shared" si="546"/>
        <v>0</v>
      </c>
      <c r="AG402" s="401">
        <f t="shared" si="546"/>
        <v>0</v>
      </c>
      <c r="AH402" s="401">
        <f t="shared" si="546"/>
        <v>0</v>
      </c>
      <c r="AI402" s="401">
        <f t="shared" si="546"/>
        <v>0</v>
      </c>
      <c r="AJ402" s="401">
        <f t="shared" si="546"/>
        <v>0</v>
      </c>
      <c r="AK402" s="401">
        <f t="shared" si="546"/>
        <v>0</v>
      </c>
      <c r="AL402" s="401">
        <f t="shared" si="546"/>
        <v>0</v>
      </c>
      <c r="AM402" s="401">
        <f t="shared" si="546"/>
        <v>0</v>
      </c>
      <c r="AN402" s="401">
        <f t="shared" si="546"/>
        <v>0</v>
      </c>
      <c r="AO402" s="401">
        <f t="shared" si="546"/>
        <v>0</v>
      </c>
      <c r="AP402" s="401">
        <f t="shared" si="546"/>
        <v>0</v>
      </c>
      <c r="AQ402" s="401">
        <f t="shared" si="546"/>
        <v>0</v>
      </c>
      <c r="AR402" s="401">
        <f t="shared" si="546"/>
        <v>0</v>
      </c>
      <c r="AS402" s="401">
        <f t="shared" si="546"/>
        <v>0</v>
      </c>
      <c r="AT402" s="401">
        <f t="shared" si="546"/>
        <v>0</v>
      </c>
      <c r="AU402" s="401">
        <f t="shared" si="546"/>
        <v>0</v>
      </c>
      <c r="AV402" s="401">
        <f t="shared" si="546"/>
        <v>0</v>
      </c>
      <c r="AW402" s="401">
        <f t="shared" si="546"/>
        <v>0</v>
      </c>
      <c r="AX402" s="401">
        <f t="shared" ref="AX402:BP402" si="547">$H402*AX244</f>
        <v>0</v>
      </c>
      <c r="AY402" s="401">
        <f t="shared" si="547"/>
        <v>0</v>
      </c>
      <c r="AZ402" s="401">
        <f t="shared" si="547"/>
        <v>0</v>
      </c>
      <c r="BA402" s="401">
        <f t="shared" si="547"/>
        <v>0</v>
      </c>
      <c r="BB402" s="401">
        <f t="shared" si="547"/>
        <v>0</v>
      </c>
      <c r="BC402" s="401">
        <f t="shared" si="547"/>
        <v>0</v>
      </c>
      <c r="BD402" s="401">
        <f t="shared" si="547"/>
        <v>0</v>
      </c>
      <c r="BE402" s="401">
        <f t="shared" si="547"/>
        <v>0</v>
      </c>
      <c r="BF402" s="401">
        <f t="shared" si="547"/>
        <v>0</v>
      </c>
      <c r="BG402" s="401">
        <f t="shared" si="547"/>
        <v>0</v>
      </c>
      <c r="BH402" s="401">
        <f t="shared" si="547"/>
        <v>0</v>
      </c>
      <c r="BI402" s="401">
        <f t="shared" si="547"/>
        <v>0</v>
      </c>
      <c r="BJ402" s="401">
        <f t="shared" si="547"/>
        <v>0</v>
      </c>
      <c r="BK402" s="401">
        <f t="shared" si="547"/>
        <v>0</v>
      </c>
      <c r="BL402" s="401">
        <f t="shared" si="547"/>
        <v>0</v>
      </c>
      <c r="BM402" s="401">
        <f t="shared" si="547"/>
        <v>0</v>
      </c>
      <c r="BN402" s="401">
        <f t="shared" si="547"/>
        <v>0</v>
      </c>
      <c r="BO402" s="401">
        <f t="shared" si="547"/>
        <v>0</v>
      </c>
      <c r="BP402" s="401">
        <f t="shared" si="547"/>
        <v>0</v>
      </c>
    </row>
    <row r="403" spans="2:68" outlineLevel="1" x14ac:dyDescent="0.2">
      <c r="B403" s="20"/>
      <c r="C403" s="80"/>
      <c r="D403"/>
      <c r="E403"/>
      <c r="F403"/>
      <c r="G403" s="52"/>
      <c r="H403" s="52"/>
      <c r="I403" s="52"/>
      <c r="J403" s="123"/>
      <c r="K403"/>
      <c r="L403" s="112"/>
      <c r="M403" s="113"/>
      <c r="N403"/>
      <c r="O403"/>
      <c r="P403"/>
      <c r="Q403"/>
      <c r="R403"/>
      <c r="S403"/>
      <c r="T403"/>
      <c r="U403"/>
      <c r="V403"/>
      <c r="W403"/>
      <c r="X403"/>
      <c r="Y403"/>
      <c r="Z403"/>
      <c r="AA403"/>
      <c r="AB403"/>
      <c r="AC403"/>
      <c r="AD403"/>
      <c r="AE403"/>
      <c r="AF403"/>
      <c r="AG403"/>
      <c r="AH403"/>
      <c r="AI403"/>
      <c r="AJ403"/>
      <c r="AK403"/>
      <c r="AL403"/>
      <c r="AM403"/>
      <c r="AN403"/>
      <c r="AO403"/>
      <c r="AP403"/>
      <c r="AQ403"/>
      <c r="AR403"/>
      <c r="AS403"/>
      <c r="AT403"/>
      <c r="AU403"/>
      <c r="AV403"/>
      <c r="AW403"/>
      <c r="AX403"/>
      <c r="AY403"/>
      <c r="AZ403"/>
      <c r="BA403"/>
      <c r="BB403"/>
      <c r="BC403"/>
      <c r="BD403"/>
      <c r="BE403"/>
      <c r="BF403"/>
      <c r="BG403"/>
      <c r="BH403"/>
      <c r="BI403"/>
      <c r="BJ403"/>
      <c r="BK403"/>
      <c r="BL403"/>
      <c r="BM403"/>
      <c r="BN403"/>
      <c r="BO403"/>
      <c r="BP403"/>
    </row>
    <row r="404" spans="2:68" outlineLevel="1" x14ac:dyDescent="0.2">
      <c r="B404" s="20"/>
      <c r="C404" s="80"/>
      <c r="D404" s="10" t="str">
        <f>$D$246</f>
        <v>Unregulated revenue</v>
      </c>
      <c r="E404" s="80"/>
      <c r="F404" s="80"/>
      <c r="G404" s="83"/>
      <c r="H404" s="83"/>
      <c r="I404" s="83"/>
      <c r="J404" s="85"/>
      <c r="K404" s="401"/>
      <c r="L404" s="436"/>
      <c r="M404" s="437"/>
      <c r="N404" s="401"/>
      <c r="O404" s="401"/>
      <c r="P404" s="401"/>
      <c r="Q404" s="401"/>
      <c r="R404" s="401"/>
      <c r="S404" s="401"/>
      <c r="T404" s="401"/>
      <c r="U404" s="401"/>
      <c r="V404" s="401"/>
      <c r="W404" s="401"/>
      <c r="X404" s="401"/>
      <c r="Y404" s="401"/>
      <c r="Z404" s="401"/>
      <c r="AA404" s="401"/>
      <c r="AB404" s="401"/>
      <c r="AC404" s="401"/>
      <c r="AD404" s="401"/>
      <c r="AE404" s="401"/>
      <c r="AF404" s="401"/>
      <c r="AG404" s="401"/>
      <c r="AH404" s="401"/>
      <c r="AI404" s="401"/>
      <c r="AJ404" s="401"/>
      <c r="AK404" s="401"/>
      <c r="AL404" s="401"/>
      <c r="AM404" s="401"/>
      <c r="AN404" s="401"/>
      <c r="AO404" s="401"/>
      <c r="AP404" s="401"/>
      <c r="AQ404" s="401"/>
      <c r="AR404" s="401"/>
      <c r="AS404" s="401"/>
      <c r="AT404" s="401"/>
      <c r="AU404" s="401"/>
      <c r="AV404" s="401"/>
      <c r="AW404" s="401"/>
      <c r="AX404" s="401"/>
      <c r="AY404" s="401"/>
      <c r="AZ404" s="401"/>
      <c r="BA404" s="401"/>
      <c r="BB404" s="401"/>
      <c r="BC404" s="401"/>
      <c r="BD404" s="401"/>
      <c r="BE404" s="401"/>
      <c r="BF404" s="401"/>
      <c r="BG404" s="401"/>
      <c r="BH404" s="401"/>
      <c r="BI404" s="401"/>
      <c r="BJ404" s="401"/>
      <c r="BK404" s="401"/>
      <c r="BL404" s="401"/>
      <c r="BM404" s="401"/>
      <c r="BN404" s="401"/>
      <c r="BO404" s="401"/>
      <c r="BP404" s="401"/>
    </row>
    <row r="405" spans="2:68" outlineLevel="1" x14ac:dyDescent="0.2">
      <c r="B405" s="20"/>
      <c r="C405" s="80"/>
      <c r="D405" s="66" t="str">
        <f>$D$247</f>
        <v>Unregulated revenue - Customer</v>
      </c>
      <c r="E405" s="80"/>
      <c r="F405" s="80"/>
      <c r="G405" s="477">
        <f>Assumptions!$H$184</f>
        <v>0</v>
      </c>
      <c r="H405" s="477">
        <f>Assumptions!$I$184</f>
        <v>1</v>
      </c>
      <c r="I405" s="83"/>
      <c r="J405" s="85" t="str">
        <f>Assumptions!$K$184</f>
        <v>Unregulated revenue</v>
      </c>
      <c r="K405" s="401">
        <f t="shared" ref="K405:K406" si="548">SUMPRODUCT($R$375:$BP$375,R405:BP405)</f>
        <v>0</v>
      </c>
      <c r="L405" s="436">
        <f t="shared" ref="L405:L406" si="549">SUM(M405:BP405)</f>
        <v>0</v>
      </c>
      <c r="M405" s="457"/>
      <c r="N405" s="455"/>
      <c r="O405" s="455"/>
      <c r="P405" s="455"/>
      <c r="Q405" s="455"/>
      <c r="R405" s="29">
        <f t="shared" ref="R405:AW405" si="550">$H405*R247</f>
        <v>0</v>
      </c>
      <c r="S405" s="29">
        <f t="shared" si="550"/>
        <v>0</v>
      </c>
      <c r="T405" s="29">
        <f t="shared" si="550"/>
        <v>0</v>
      </c>
      <c r="U405" s="29">
        <f t="shared" si="550"/>
        <v>0</v>
      </c>
      <c r="V405" s="29">
        <f t="shared" si="550"/>
        <v>0</v>
      </c>
      <c r="W405" s="29">
        <f t="shared" si="550"/>
        <v>0</v>
      </c>
      <c r="X405" s="29">
        <f t="shared" si="550"/>
        <v>0</v>
      </c>
      <c r="Y405" s="29">
        <f t="shared" si="550"/>
        <v>0</v>
      </c>
      <c r="Z405" s="29">
        <f t="shared" si="550"/>
        <v>0</v>
      </c>
      <c r="AA405" s="29">
        <f t="shared" si="550"/>
        <v>0</v>
      </c>
      <c r="AB405" s="29">
        <f t="shared" si="550"/>
        <v>0</v>
      </c>
      <c r="AC405" s="29">
        <f t="shared" si="550"/>
        <v>0</v>
      </c>
      <c r="AD405" s="29">
        <f t="shared" si="550"/>
        <v>0</v>
      </c>
      <c r="AE405" s="29">
        <f t="shared" si="550"/>
        <v>0</v>
      </c>
      <c r="AF405" s="29">
        <f t="shared" si="550"/>
        <v>0</v>
      </c>
      <c r="AG405" s="29">
        <f t="shared" si="550"/>
        <v>0</v>
      </c>
      <c r="AH405" s="29">
        <f t="shared" si="550"/>
        <v>0</v>
      </c>
      <c r="AI405" s="29">
        <f t="shared" si="550"/>
        <v>0</v>
      </c>
      <c r="AJ405" s="29">
        <f t="shared" si="550"/>
        <v>0</v>
      </c>
      <c r="AK405" s="29">
        <f t="shared" si="550"/>
        <v>0</v>
      </c>
      <c r="AL405" s="29">
        <f t="shared" si="550"/>
        <v>0</v>
      </c>
      <c r="AM405" s="29">
        <f t="shared" si="550"/>
        <v>0</v>
      </c>
      <c r="AN405" s="29">
        <f t="shared" si="550"/>
        <v>0</v>
      </c>
      <c r="AO405" s="29">
        <f t="shared" si="550"/>
        <v>0</v>
      </c>
      <c r="AP405" s="29">
        <f t="shared" si="550"/>
        <v>0</v>
      </c>
      <c r="AQ405" s="29">
        <f t="shared" si="550"/>
        <v>0</v>
      </c>
      <c r="AR405" s="29">
        <f t="shared" si="550"/>
        <v>0</v>
      </c>
      <c r="AS405" s="29">
        <f t="shared" si="550"/>
        <v>0</v>
      </c>
      <c r="AT405" s="29">
        <f t="shared" si="550"/>
        <v>0</v>
      </c>
      <c r="AU405" s="29">
        <f t="shared" si="550"/>
        <v>0</v>
      </c>
      <c r="AV405" s="29">
        <f t="shared" si="550"/>
        <v>0</v>
      </c>
      <c r="AW405" s="29">
        <f t="shared" si="550"/>
        <v>0</v>
      </c>
      <c r="AX405" s="29">
        <f t="shared" ref="AX405:BP405" si="551">$H405*AX247</f>
        <v>0</v>
      </c>
      <c r="AY405" s="29">
        <f t="shared" si="551"/>
        <v>0</v>
      </c>
      <c r="AZ405" s="29">
        <f t="shared" si="551"/>
        <v>0</v>
      </c>
      <c r="BA405" s="29">
        <f t="shared" si="551"/>
        <v>0</v>
      </c>
      <c r="BB405" s="29">
        <f t="shared" si="551"/>
        <v>0</v>
      </c>
      <c r="BC405" s="29">
        <f t="shared" si="551"/>
        <v>0</v>
      </c>
      <c r="BD405" s="29">
        <f t="shared" si="551"/>
        <v>0</v>
      </c>
      <c r="BE405" s="29">
        <f t="shared" si="551"/>
        <v>0</v>
      </c>
      <c r="BF405" s="29">
        <f t="shared" si="551"/>
        <v>0</v>
      </c>
      <c r="BG405" s="29">
        <f t="shared" si="551"/>
        <v>0</v>
      </c>
      <c r="BH405" s="29">
        <f t="shared" si="551"/>
        <v>0</v>
      </c>
      <c r="BI405" s="29">
        <f t="shared" si="551"/>
        <v>0</v>
      </c>
      <c r="BJ405" s="29">
        <f t="shared" si="551"/>
        <v>0</v>
      </c>
      <c r="BK405" s="29">
        <f t="shared" si="551"/>
        <v>0</v>
      </c>
      <c r="BL405" s="29">
        <f t="shared" si="551"/>
        <v>0</v>
      </c>
      <c r="BM405" s="29">
        <f t="shared" si="551"/>
        <v>0</v>
      </c>
      <c r="BN405" s="29">
        <f t="shared" si="551"/>
        <v>0</v>
      </c>
      <c r="BO405" s="29">
        <f t="shared" si="551"/>
        <v>0</v>
      </c>
      <c r="BP405" s="29">
        <f t="shared" si="551"/>
        <v>0</v>
      </c>
    </row>
    <row r="406" spans="2:68" outlineLevel="1" x14ac:dyDescent="0.2">
      <c r="B406" s="20"/>
      <c r="C406" s="80"/>
      <c r="D406" s="66" t="str">
        <f>$D$248</f>
        <v>Unregulated revenue - Shareholder</v>
      </c>
      <c r="E406" s="80"/>
      <c r="F406" s="80"/>
      <c r="G406" s="477">
        <f>Assumptions!$H$185</f>
        <v>1</v>
      </c>
      <c r="H406" s="477">
        <f>Assumptions!$I$185</f>
        <v>0</v>
      </c>
      <c r="I406" s="83"/>
      <c r="J406" s="85" t="str">
        <f>Assumptions!$K$185</f>
        <v>Unregulated revenue</v>
      </c>
      <c r="K406" s="401">
        <f t="shared" si="548"/>
        <v>0</v>
      </c>
      <c r="L406" s="436">
        <f t="shared" si="549"/>
        <v>0</v>
      </c>
      <c r="M406" s="457"/>
      <c r="N406" s="455"/>
      <c r="O406" s="455"/>
      <c r="P406" s="455"/>
      <c r="Q406" s="455"/>
      <c r="R406" s="29">
        <f t="shared" ref="R406:AW406" si="552">$H406*R248</f>
        <v>0</v>
      </c>
      <c r="S406" s="29">
        <f t="shared" si="552"/>
        <v>0</v>
      </c>
      <c r="T406" s="29">
        <f t="shared" si="552"/>
        <v>0</v>
      </c>
      <c r="U406" s="29">
        <f t="shared" si="552"/>
        <v>0</v>
      </c>
      <c r="V406" s="29">
        <f t="shared" si="552"/>
        <v>0</v>
      </c>
      <c r="W406" s="29">
        <f t="shared" si="552"/>
        <v>0</v>
      </c>
      <c r="X406" s="29">
        <f t="shared" si="552"/>
        <v>0</v>
      </c>
      <c r="Y406" s="29">
        <f t="shared" si="552"/>
        <v>0</v>
      </c>
      <c r="Z406" s="29">
        <f t="shared" si="552"/>
        <v>0</v>
      </c>
      <c r="AA406" s="29">
        <f t="shared" si="552"/>
        <v>0</v>
      </c>
      <c r="AB406" s="29">
        <f t="shared" si="552"/>
        <v>0</v>
      </c>
      <c r="AC406" s="29">
        <f t="shared" si="552"/>
        <v>0</v>
      </c>
      <c r="AD406" s="29">
        <f t="shared" si="552"/>
        <v>0</v>
      </c>
      <c r="AE406" s="29">
        <f t="shared" si="552"/>
        <v>0</v>
      </c>
      <c r="AF406" s="29">
        <f t="shared" si="552"/>
        <v>0</v>
      </c>
      <c r="AG406" s="29">
        <f t="shared" si="552"/>
        <v>0</v>
      </c>
      <c r="AH406" s="29">
        <f t="shared" si="552"/>
        <v>0</v>
      </c>
      <c r="AI406" s="29">
        <f t="shared" si="552"/>
        <v>0</v>
      </c>
      <c r="AJ406" s="29">
        <f t="shared" si="552"/>
        <v>0</v>
      </c>
      <c r="AK406" s="29">
        <f t="shared" si="552"/>
        <v>0</v>
      </c>
      <c r="AL406" s="29">
        <f t="shared" si="552"/>
        <v>0</v>
      </c>
      <c r="AM406" s="29">
        <f t="shared" si="552"/>
        <v>0</v>
      </c>
      <c r="AN406" s="29">
        <f t="shared" si="552"/>
        <v>0</v>
      </c>
      <c r="AO406" s="29">
        <f t="shared" si="552"/>
        <v>0</v>
      </c>
      <c r="AP406" s="29">
        <f t="shared" si="552"/>
        <v>0</v>
      </c>
      <c r="AQ406" s="29">
        <f t="shared" si="552"/>
        <v>0</v>
      </c>
      <c r="AR406" s="29">
        <f t="shared" si="552"/>
        <v>0</v>
      </c>
      <c r="AS406" s="29">
        <f t="shared" si="552"/>
        <v>0</v>
      </c>
      <c r="AT406" s="29">
        <f t="shared" si="552"/>
        <v>0</v>
      </c>
      <c r="AU406" s="29">
        <f t="shared" si="552"/>
        <v>0</v>
      </c>
      <c r="AV406" s="29">
        <f t="shared" si="552"/>
        <v>0</v>
      </c>
      <c r="AW406" s="29">
        <f t="shared" si="552"/>
        <v>0</v>
      </c>
      <c r="AX406" s="29">
        <f t="shared" ref="AX406:BP406" si="553">$H406*AX248</f>
        <v>0</v>
      </c>
      <c r="AY406" s="29">
        <f t="shared" si="553"/>
        <v>0</v>
      </c>
      <c r="AZ406" s="29">
        <f t="shared" si="553"/>
        <v>0</v>
      </c>
      <c r="BA406" s="29">
        <f t="shared" si="553"/>
        <v>0</v>
      </c>
      <c r="BB406" s="29">
        <f t="shared" si="553"/>
        <v>0</v>
      </c>
      <c r="BC406" s="29">
        <f t="shared" si="553"/>
        <v>0</v>
      </c>
      <c r="BD406" s="29">
        <f t="shared" si="553"/>
        <v>0</v>
      </c>
      <c r="BE406" s="29">
        <f t="shared" si="553"/>
        <v>0</v>
      </c>
      <c r="BF406" s="29">
        <f t="shared" si="553"/>
        <v>0</v>
      </c>
      <c r="BG406" s="29">
        <f t="shared" si="553"/>
        <v>0</v>
      </c>
      <c r="BH406" s="29">
        <f t="shared" si="553"/>
        <v>0</v>
      </c>
      <c r="BI406" s="29">
        <f t="shared" si="553"/>
        <v>0</v>
      </c>
      <c r="BJ406" s="29">
        <f t="shared" si="553"/>
        <v>0</v>
      </c>
      <c r="BK406" s="29">
        <f t="shared" si="553"/>
        <v>0</v>
      </c>
      <c r="BL406" s="29">
        <f t="shared" si="553"/>
        <v>0</v>
      </c>
      <c r="BM406" s="29">
        <f t="shared" si="553"/>
        <v>0</v>
      </c>
      <c r="BN406" s="29">
        <f t="shared" si="553"/>
        <v>0</v>
      </c>
      <c r="BO406" s="29">
        <f t="shared" si="553"/>
        <v>0</v>
      </c>
      <c r="BP406" s="29">
        <f t="shared" si="553"/>
        <v>0</v>
      </c>
    </row>
    <row r="407" spans="2:68" outlineLevel="1" x14ac:dyDescent="0.2">
      <c r="B407" s="20"/>
      <c r="C407" s="80"/>
      <c r="D407"/>
      <c r="E407"/>
      <c r="F407"/>
      <c r="G407" s="52"/>
      <c r="H407" s="52"/>
      <c r="I407" s="52"/>
      <c r="J407" s="123"/>
      <c r="K407"/>
      <c r="L407" s="112"/>
      <c r="M407" s="113"/>
      <c r="N407"/>
      <c r="O407"/>
      <c r="P407"/>
      <c r="Q407"/>
      <c r="R407"/>
      <c r="S407"/>
      <c r="T407"/>
      <c r="U407"/>
      <c r="V407"/>
      <c r="W407"/>
      <c r="X407"/>
      <c r="Y407"/>
      <c r="Z407"/>
      <c r="AA407"/>
      <c r="AB407"/>
      <c r="AC407"/>
      <c r="AD407"/>
      <c r="AE407"/>
      <c r="AF407"/>
      <c r="AG407"/>
      <c r="AH407"/>
      <c r="AI407"/>
      <c r="AJ407"/>
      <c r="AK407"/>
      <c r="AL407"/>
      <c r="AM407"/>
      <c r="AN407"/>
      <c r="AO407"/>
      <c r="AP407"/>
      <c r="AQ407"/>
      <c r="AR407"/>
      <c r="AS407"/>
      <c r="AT407"/>
      <c r="AU407"/>
      <c r="AV407"/>
      <c r="AW407"/>
      <c r="AX407"/>
      <c r="AY407"/>
      <c r="AZ407"/>
      <c r="BA407"/>
      <c r="BB407"/>
      <c r="BC407"/>
      <c r="BD407"/>
      <c r="BE407"/>
      <c r="BF407"/>
      <c r="BG407"/>
      <c r="BH407"/>
      <c r="BI407"/>
      <c r="BJ407"/>
      <c r="BK407"/>
      <c r="BL407"/>
      <c r="BM407"/>
      <c r="BN407"/>
      <c r="BO407"/>
      <c r="BP407"/>
    </row>
    <row r="408" spans="2:68" outlineLevel="1" x14ac:dyDescent="0.2">
      <c r="B408" s="20"/>
      <c r="C408" s="80"/>
      <c r="D408" s="10" t="s">
        <v>32</v>
      </c>
      <c r="E408"/>
      <c r="F408"/>
      <c r="G408" s="52"/>
      <c r="H408" s="52"/>
      <c r="I408" s="52"/>
      <c r="J408" s="123"/>
      <c r="K408"/>
      <c r="L408" s="112"/>
      <c r="M408" s="113"/>
      <c r="N408"/>
      <c r="O408"/>
      <c r="P408"/>
      <c r="Q408"/>
      <c r="R408"/>
      <c r="S408"/>
      <c r="T408"/>
      <c r="U408"/>
      <c r="V408"/>
      <c r="W408"/>
      <c r="X408"/>
      <c r="Y408"/>
      <c r="Z408"/>
      <c r="AA408"/>
      <c r="AB408"/>
      <c r="AC408"/>
      <c r="AD408"/>
      <c r="AE408"/>
      <c r="AF408"/>
      <c r="AG408"/>
      <c r="AH408"/>
      <c r="AI408"/>
      <c r="AJ408"/>
      <c r="AK408"/>
      <c r="AL408"/>
      <c r="AM408"/>
      <c r="AN408"/>
      <c r="AO408"/>
      <c r="AP408"/>
      <c r="AQ408"/>
      <c r="AR408"/>
      <c r="AS408"/>
      <c r="AT408"/>
      <c r="AU408"/>
      <c r="AV408"/>
      <c r="AW408"/>
      <c r="AX408"/>
      <c r="AY408"/>
      <c r="AZ408"/>
      <c r="BA408"/>
      <c r="BB408"/>
      <c r="BC408"/>
      <c r="BD408"/>
      <c r="BE408"/>
      <c r="BF408"/>
      <c r="BG408"/>
      <c r="BH408"/>
      <c r="BI408"/>
      <c r="BJ408"/>
      <c r="BK408"/>
      <c r="BL408"/>
      <c r="BM408"/>
      <c r="BN408"/>
      <c r="BO408"/>
      <c r="BP408"/>
    </row>
    <row r="409" spans="2:68" outlineLevel="1" x14ac:dyDescent="0.2">
      <c r="B409" s="20"/>
      <c r="C409" s="80"/>
      <c r="D409" s="66" t="s">
        <v>385</v>
      </c>
      <c r="E409"/>
      <c r="F409"/>
      <c r="G409" s="477">
        <f>Assumptions!$H$188</f>
        <v>0.21</v>
      </c>
      <c r="H409" s="477">
        <f>Assumptions!$I$188</f>
        <v>0.79</v>
      </c>
      <c r="I409" s="52"/>
      <c r="J409" s="85" t="str">
        <f>Assumptions!$K$188</f>
        <v>Investment opex</v>
      </c>
      <c r="K409" s="401">
        <f>SUMPRODUCT($R$297:$BP$297,R409:BP409)</f>
        <v>4440689.3370087435</v>
      </c>
      <c r="L409" s="436">
        <f>SUM(M409:BP409)</f>
        <v>5394935.1765527548</v>
      </c>
      <c r="M409" s="457"/>
      <c r="N409" s="455"/>
      <c r="O409" s="455"/>
      <c r="P409" s="455"/>
      <c r="Q409" s="455"/>
      <c r="R409" s="29">
        <f t="shared" ref="R409:AW409" si="554">IF(R$159=0,$H$409*R$251,0)</f>
        <v>0</v>
      </c>
      <c r="S409" s="29">
        <f t="shared" si="554"/>
        <v>0</v>
      </c>
      <c r="T409" s="29">
        <f t="shared" si="554"/>
        <v>0</v>
      </c>
      <c r="U409" s="29">
        <f t="shared" si="554"/>
        <v>777845.14259440603</v>
      </c>
      <c r="V409" s="29">
        <f t="shared" si="554"/>
        <v>789228.05374532938</v>
      </c>
      <c r="W409" s="29">
        <f t="shared" si="554"/>
        <v>794556.0017877029</v>
      </c>
      <c r="X409" s="29">
        <f t="shared" si="554"/>
        <v>795106.19847853307</v>
      </c>
      <c r="Y409" s="29">
        <f t="shared" si="554"/>
        <v>796450.68629885255</v>
      </c>
      <c r="Z409" s="29">
        <f t="shared" si="554"/>
        <v>1441749.093647931</v>
      </c>
      <c r="AA409" s="29">
        <f t="shared" si="554"/>
        <v>0</v>
      </c>
      <c r="AB409" s="29">
        <f t="shared" si="554"/>
        <v>0</v>
      </c>
      <c r="AC409" s="29">
        <f t="shared" si="554"/>
        <v>0</v>
      </c>
      <c r="AD409" s="29">
        <f t="shared" si="554"/>
        <v>0</v>
      </c>
      <c r="AE409" s="29">
        <f t="shared" si="554"/>
        <v>0</v>
      </c>
      <c r="AF409" s="29">
        <f t="shared" si="554"/>
        <v>0</v>
      </c>
      <c r="AG409" s="29">
        <f t="shared" si="554"/>
        <v>0</v>
      </c>
      <c r="AH409" s="29">
        <f t="shared" si="554"/>
        <v>0</v>
      </c>
      <c r="AI409" s="29">
        <f t="shared" si="554"/>
        <v>0</v>
      </c>
      <c r="AJ409" s="29">
        <f t="shared" si="554"/>
        <v>0</v>
      </c>
      <c r="AK409" s="29">
        <f t="shared" si="554"/>
        <v>0</v>
      </c>
      <c r="AL409" s="29">
        <f t="shared" si="554"/>
        <v>0</v>
      </c>
      <c r="AM409" s="29">
        <f t="shared" si="554"/>
        <v>0</v>
      </c>
      <c r="AN409" s="29">
        <f t="shared" si="554"/>
        <v>0</v>
      </c>
      <c r="AO409" s="29">
        <f t="shared" si="554"/>
        <v>0</v>
      </c>
      <c r="AP409" s="29">
        <f t="shared" si="554"/>
        <v>0</v>
      </c>
      <c r="AQ409" s="29">
        <f t="shared" si="554"/>
        <v>0</v>
      </c>
      <c r="AR409" s="29">
        <f t="shared" si="554"/>
        <v>0</v>
      </c>
      <c r="AS409" s="29">
        <f t="shared" si="554"/>
        <v>0</v>
      </c>
      <c r="AT409" s="29">
        <f t="shared" si="554"/>
        <v>0</v>
      </c>
      <c r="AU409" s="29">
        <f t="shared" si="554"/>
        <v>0</v>
      </c>
      <c r="AV409" s="29">
        <f t="shared" si="554"/>
        <v>0</v>
      </c>
      <c r="AW409" s="29">
        <f t="shared" si="554"/>
        <v>0</v>
      </c>
      <c r="AX409" s="29">
        <f t="shared" ref="AX409:BP409" si="555">IF(AX$159=0,$H$409*AX$251,0)</f>
        <v>0</v>
      </c>
      <c r="AY409" s="29">
        <f t="shared" si="555"/>
        <v>0</v>
      </c>
      <c r="AZ409" s="29">
        <f t="shared" si="555"/>
        <v>0</v>
      </c>
      <c r="BA409" s="29">
        <f t="shared" si="555"/>
        <v>0</v>
      </c>
      <c r="BB409" s="29">
        <f t="shared" si="555"/>
        <v>0</v>
      </c>
      <c r="BC409" s="29">
        <f t="shared" si="555"/>
        <v>0</v>
      </c>
      <c r="BD409" s="29">
        <f t="shared" si="555"/>
        <v>0</v>
      </c>
      <c r="BE409" s="29">
        <f t="shared" si="555"/>
        <v>0</v>
      </c>
      <c r="BF409" s="29">
        <f t="shared" si="555"/>
        <v>0</v>
      </c>
      <c r="BG409" s="29">
        <f t="shared" si="555"/>
        <v>0</v>
      </c>
      <c r="BH409" s="29">
        <f t="shared" si="555"/>
        <v>0</v>
      </c>
      <c r="BI409" s="29">
        <f t="shared" si="555"/>
        <v>0</v>
      </c>
      <c r="BJ409" s="29">
        <f t="shared" si="555"/>
        <v>0</v>
      </c>
      <c r="BK409" s="29">
        <f t="shared" si="555"/>
        <v>0</v>
      </c>
      <c r="BL409" s="29">
        <f t="shared" si="555"/>
        <v>0</v>
      </c>
      <c r="BM409" s="29">
        <f t="shared" si="555"/>
        <v>0</v>
      </c>
      <c r="BN409" s="29">
        <f t="shared" si="555"/>
        <v>0</v>
      </c>
      <c r="BO409" s="29">
        <f t="shared" si="555"/>
        <v>0</v>
      </c>
      <c r="BP409" s="29">
        <f t="shared" si="555"/>
        <v>0</v>
      </c>
    </row>
    <row r="410" spans="2:68" outlineLevel="1" x14ac:dyDescent="0.2">
      <c r="B410" s="20"/>
      <c r="C410" s="80"/>
      <c r="D410"/>
      <c r="E410"/>
      <c r="F410"/>
      <c r="G410" s="52"/>
      <c r="H410" s="52"/>
      <c r="I410" s="52"/>
      <c r="J410" s="123"/>
      <c r="K410"/>
      <c r="L410" s="112"/>
      <c r="M410" s="113"/>
      <c r="N410"/>
      <c r="O410"/>
      <c r="P410"/>
      <c r="Q410"/>
      <c r="R410"/>
      <c r="S410"/>
      <c r="T410"/>
      <c r="U410"/>
      <c r="V410"/>
      <c r="W410"/>
      <c r="X410"/>
      <c r="Y410"/>
      <c r="Z410"/>
      <c r="AA410"/>
      <c r="AB410"/>
      <c r="AC410"/>
      <c r="AD410"/>
      <c r="AE410"/>
      <c r="AF410"/>
      <c r="AG410"/>
      <c r="AH410"/>
      <c r="AI410"/>
      <c r="AJ410"/>
      <c r="AK410"/>
      <c r="AL410"/>
      <c r="AM410"/>
      <c r="AN410"/>
      <c r="AO410"/>
      <c r="AP410"/>
      <c r="AQ410"/>
      <c r="AR410"/>
      <c r="AS410"/>
      <c r="AT410"/>
      <c r="AU410"/>
      <c r="AV410"/>
      <c r="AW410"/>
      <c r="AX410"/>
      <c r="AY410"/>
      <c r="AZ410"/>
      <c r="BA410"/>
      <c r="BB410"/>
      <c r="BC410"/>
      <c r="BD410"/>
      <c r="BE410"/>
      <c r="BF410"/>
      <c r="BG410"/>
      <c r="BH410"/>
      <c r="BI410"/>
      <c r="BJ410"/>
      <c r="BK410"/>
      <c r="BL410"/>
      <c r="BM410"/>
      <c r="BN410"/>
      <c r="BO410"/>
      <c r="BP410"/>
    </row>
    <row r="411" spans="2:68" outlineLevel="1" x14ac:dyDescent="0.2">
      <c r="B411" s="20"/>
      <c r="C411" s="80"/>
      <c r="D411" s="32" t="str">
        <f>$D$253</f>
        <v>Regulated revenue - Incentive schemes</v>
      </c>
      <c r="E411" s="80"/>
      <c r="F411" s="80"/>
      <c r="G411" s="83"/>
      <c r="H411" s="83"/>
      <c r="I411" s="83"/>
      <c r="J411" s="85"/>
      <c r="K411" s="401"/>
      <c r="L411" s="436"/>
      <c r="M411" s="437"/>
      <c r="N411" s="401"/>
      <c r="O411" s="401"/>
      <c r="P411" s="401"/>
      <c r="Q411" s="401"/>
      <c r="R411" s="401"/>
      <c r="S411" s="401"/>
      <c r="T411" s="401"/>
      <c r="U411" s="401"/>
      <c r="V411" s="401"/>
      <c r="W411" s="401"/>
      <c r="X411" s="401"/>
      <c r="Y411" s="401"/>
      <c r="Z411" s="401"/>
      <c r="AA411" s="401"/>
      <c r="AB411" s="401"/>
      <c r="AC411" s="401"/>
      <c r="AD411" s="401"/>
      <c r="AE411" s="401"/>
      <c r="AF411" s="401"/>
      <c r="AG411" s="401"/>
      <c r="AH411" s="401"/>
      <c r="AI411" s="401"/>
      <c r="AJ411" s="401"/>
      <c r="AK411" s="401"/>
      <c r="AL411" s="401"/>
      <c r="AM411" s="401"/>
      <c r="AN411" s="401"/>
      <c r="AO411" s="401"/>
      <c r="AP411" s="401"/>
      <c r="AQ411" s="401"/>
      <c r="AR411" s="401"/>
      <c r="AS411" s="401"/>
      <c r="AT411" s="401"/>
      <c r="AU411" s="401"/>
      <c r="AV411" s="401"/>
      <c r="AW411" s="401"/>
      <c r="AX411" s="401"/>
      <c r="AY411" s="401"/>
      <c r="AZ411" s="401"/>
      <c r="BA411" s="401"/>
      <c r="BB411" s="401"/>
      <c r="BC411" s="401"/>
      <c r="BD411" s="401"/>
      <c r="BE411" s="401"/>
      <c r="BF411" s="401"/>
      <c r="BG411" s="401"/>
      <c r="BH411" s="401"/>
      <c r="BI411" s="401"/>
      <c r="BJ411" s="401"/>
      <c r="BK411" s="401"/>
      <c r="BL411" s="401"/>
      <c r="BM411" s="401"/>
      <c r="BN411" s="401"/>
      <c r="BO411" s="401"/>
      <c r="BP411" s="401"/>
    </row>
    <row r="412" spans="2:68" outlineLevel="1" x14ac:dyDescent="0.2">
      <c r="B412" s="20"/>
      <c r="C412" s="80"/>
      <c r="D412" s="81" t="str">
        <f>$D$254</f>
        <v>STPIS</v>
      </c>
      <c r="E412" s="80"/>
      <c r="F412" s="80"/>
      <c r="G412" s="477">
        <f>Assumptions!$H$191</f>
        <v>1</v>
      </c>
      <c r="H412" s="477">
        <f>Assumptions!$I$191</f>
        <v>-1</v>
      </c>
      <c r="I412" s="83"/>
      <c r="J412" s="85" t="str">
        <f>Assumptions!$K$191</f>
        <v>STPIS</v>
      </c>
      <c r="K412" s="401">
        <f t="shared" ref="K412:K414" si="556">SUMPRODUCT($R$375:$BP$375,R412:BP412)</f>
        <v>0</v>
      </c>
      <c r="L412" s="436">
        <f t="shared" ref="L412:L414" si="557">SUM(M412:BP412)</f>
        <v>0</v>
      </c>
      <c r="M412" s="457"/>
      <c r="N412" s="455"/>
      <c r="O412" s="455"/>
      <c r="P412" s="455"/>
      <c r="Q412" s="455"/>
      <c r="R412" s="401">
        <f>SUM(N255:R255)*$H$412</f>
        <v>0</v>
      </c>
      <c r="S412" s="401">
        <f t="shared" ref="S412:BP412" si="558">SUM(O255:S255)*$H$412</f>
        <v>0</v>
      </c>
      <c r="T412" s="401">
        <f t="shared" si="558"/>
        <v>0</v>
      </c>
      <c r="U412" s="401">
        <f t="shared" si="558"/>
        <v>0</v>
      </c>
      <c r="V412" s="401">
        <f t="shared" si="558"/>
        <v>0</v>
      </c>
      <c r="W412" s="401">
        <f t="shared" si="558"/>
        <v>0</v>
      </c>
      <c r="X412" s="401">
        <f t="shared" si="558"/>
        <v>0</v>
      </c>
      <c r="Y412" s="401">
        <f t="shared" si="558"/>
        <v>0</v>
      </c>
      <c r="Z412" s="401">
        <f t="shared" si="558"/>
        <v>0</v>
      </c>
      <c r="AA412" s="401">
        <f t="shared" si="558"/>
        <v>0</v>
      </c>
      <c r="AB412" s="401">
        <f t="shared" si="558"/>
        <v>0</v>
      </c>
      <c r="AC412" s="401">
        <f t="shared" si="558"/>
        <v>0</v>
      </c>
      <c r="AD412" s="401">
        <f t="shared" si="558"/>
        <v>0</v>
      </c>
      <c r="AE412" s="401">
        <f t="shared" si="558"/>
        <v>0</v>
      </c>
      <c r="AF412" s="401">
        <f t="shared" si="558"/>
        <v>0</v>
      </c>
      <c r="AG412" s="401">
        <f t="shared" si="558"/>
        <v>0</v>
      </c>
      <c r="AH412" s="401">
        <f t="shared" si="558"/>
        <v>0</v>
      </c>
      <c r="AI412" s="401">
        <f t="shared" si="558"/>
        <v>0</v>
      </c>
      <c r="AJ412" s="401">
        <f t="shared" si="558"/>
        <v>0</v>
      </c>
      <c r="AK412" s="401">
        <f t="shared" si="558"/>
        <v>0</v>
      </c>
      <c r="AL412" s="401">
        <f t="shared" si="558"/>
        <v>0</v>
      </c>
      <c r="AM412" s="401">
        <f t="shared" si="558"/>
        <v>0</v>
      </c>
      <c r="AN412" s="401">
        <f t="shared" si="558"/>
        <v>0</v>
      </c>
      <c r="AO412" s="401">
        <f t="shared" si="558"/>
        <v>0</v>
      </c>
      <c r="AP412" s="401">
        <f t="shared" si="558"/>
        <v>0</v>
      </c>
      <c r="AQ412" s="401">
        <f t="shared" si="558"/>
        <v>0</v>
      </c>
      <c r="AR412" s="401">
        <f t="shared" si="558"/>
        <v>0</v>
      </c>
      <c r="AS412" s="401">
        <f t="shared" si="558"/>
        <v>0</v>
      </c>
      <c r="AT412" s="401">
        <f t="shared" si="558"/>
        <v>0</v>
      </c>
      <c r="AU412" s="401">
        <f t="shared" si="558"/>
        <v>0</v>
      </c>
      <c r="AV412" s="401">
        <f t="shared" si="558"/>
        <v>0</v>
      </c>
      <c r="AW412" s="401">
        <f t="shared" si="558"/>
        <v>0</v>
      </c>
      <c r="AX412" s="401">
        <f t="shared" si="558"/>
        <v>0</v>
      </c>
      <c r="AY412" s="401">
        <f t="shared" si="558"/>
        <v>0</v>
      </c>
      <c r="AZ412" s="401">
        <f t="shared" si="558"/>
        <v>0</v>
      </c>
      <c r="BA412" s="401">
        <f t="shared" si="558"/>
        <v>0</v>
      </c>
      <c r="BB412" s="401">
        <f t="shared" si="558"/>
        <v>0</v>
      </c>
      <c r="BC412" s="401">
        <f t="shared" si="558"/>
        <v>0</v>
      </c>
      <c r="BD412" s="401">
        <f t="shared" si="558"/>
        <v>0</v>
      </c>
      <c r="BE412" s="401">
        <f t="shared" si="558"/>
        <v>0</v>
      </c>
      <c r="BF412" s="401">
        <f t="shared" si="558"/>
        <v>0</v>
      </c>
      <c r="BG412" s="401">
        <f t="shared" si="558"/>
        <v>0</v>
      </c>
      <c r="BH412" s="401">
        <f t="shared" si="558"/>
        <v>0</v>
      </c>
      <c r="BI412" s="401">
        <f t="shared" si="558"/>
        <v>0</v>
      </c>
      <c r="BJ412" s="401">
        <f t="shared" si="558"/>
        <v>0</v>
      </c>
      <c r="BK412" s="401">
        <f t="shared" si="558"/>
        <v>0</v>
      </c>
      <c r="BL412" s="401">
        <f t="shared" si="558"/>
        <v>0</v>
      </c>
      <c r="BM412" s="401">
        <f t="shared" si="558"/>
        <v>0</v>
      </c>
      <c r="BN412" s="401">
        <f t="shared" si="558"/>
        <v>0</v>
      </c>
      <c r="BO412" s="401">
        <f t="shared" si="558"/>
        <v>0</v>
      </c>
      <c r="BP412" s="401">
        <f t="shared" si="558"/>
        <v>0</v>
      </c>
    </row>
    <row r="413" spans="2:68" outlineLevel="1" x14ac:dyDescent="0.2">
      <c r="B413" s="20"/>
      <c r="C413" s="80"/>
      <c r="D413" s="81" t="str">
        <f>Assumptions!$D$192</f>
        <v>STPIS - ongoing customer benefit</v>
      </c>
      <c r="E413" s="80"/>
      <c r="F413" s="80"/>
      <c r="G413" s="477">
        <f>Assumptions!$H$192</f>
        <v>0</v>
      </c>
      <c r="H413" s="477">
        <f>IF(Output_charts!U14="yes",Assumptions!I192,0)</f>
        <v>0</v>
      </c>
      <c r="I413" s="83"/>
      <c r="J413" s="85" t="str">
        <f>Assumptions!$K$192</f>
        <v>Customer value</v>
      </c>
      <c r="K413" s="401">
        <f t="shared" ref="K413" si="559">SUMPRODUCT($R$375:$BP$375,R413:BP413)</f>
        <v>0</v>
      </c>
      <c r="L413" s="436">
        <f t="shared" ref="L413" si="560">SUM(M413:BP413)</f>
        <v>0</v>
      </c>
      <c r="M413" s="457"/>
      <c r="N413" s="455"/>
      <c r="O413" s="455"/>
      <c r="P413" s="455"/>
      <c r="Q413" s="455"/>
      <c r="R413" s="401">
        <f>SUM($L$255:M255)*$H$413</f>
        <v>0</v>
      </c>
      <c r="S413" s="401">
        <f>SUM($L$255:N255)*$H$413</f>
        <v>0</v>
      </c>
      <c r="T413" s="401">
        <f>SUM($L$255:O255)*$H$413</f>
        <v>0</v>
      </c>
      <c r="U413" s="401">
        <f>SUM($L$255:P255)*$H$413</f>
        <v>0</v>
      </c>
      <c r="V413" s="401">
        <f>SUM($L$255:Q255)*$H$413</f>
        <v>0</v>
      </c>
      <c r="W413" s="401">
        <f>SUM($L$255:R255)*$H$413</f>
        <v>0</v>
      </c>
      <c r="X413" s="401">
        <f>SUM($L$255:S255)*$H$413</f>
        <v>0</v>
      </c>
      <c r="Y413" s="401">
        <f>SUM($L$255:T255)*$H$413</f>
        <v>0</v>
      </c>
      <c r="Z413" s="401">
        <f>SUM($L$255:U255)*$H$413</f>
        <v>0</v>
      </c>
      <c r="AA413" s="401">
        <f>SUM($L$255:V255)*$H$413</f>
        <v>0</v>
      </c>
      <c r="AB413" s="401">
        <f>SUM($L$255:W255)*$H$413</f>
        <v>0</v>
      </c>
      <c r="AC413" s="401">
        <f>SUM($L$255:X255)*$H$413</f>
        <v>0</v>
      </c>
      <c r="AD413" s="401">
        <f>SUM($L$255:Y255)*$H$413</f>
        <v>0</v>
      </c>
      <c r="AE413" s="401">
        <f>SUM($L$255:Z255)*$H$413</f>
        <v>0</v>
      </c>
      <c r="AF413" s="401">
        <f>SUM($L$255:AA255)*$H$413</f>
        <v>0</v>
      </c>
      <c r="AG413" s="401">
        <f>SUM($L$255:AB255)*$H$413</f>
        <v>0</v>
      </c>
      <c r="AH413" s="401">
        <f>SUM($L$255:AC255)*$H$413</f>
        <v>0</v>
      </c>
      <c r="AI413" s="401">
        <f>SUM($L$255:AD255)*$H$413</f>
        <v>0</v>
      </c>
      <c r="AJ413" s="401">
        <f>SUM($L$255:AE255)*$H$413</f>
        <v>0</v>
      </c>
      <c r="AK413" s="401">
        <f>SUM($L$255:AF255)*$H$413</f>
        <v>0</v>
      </c>
      <c r="AL413" s="401">
        <f>SUM($L$255:AG255)*$H$413</f>
        <v>0</v>
      </c>
      <c r="AM413" s="401">
        <f>SUM($L$255:AH255)*$H$413</f>
        <v>0</v>
      </c>
      <c r="AN413" s="401">
        <f>SUM($L$255:AI255)*$H$413</f>
        <v>0</v>
      </c>
      <c r="AO413" s="401">
        <f>SUM($L$255:AJ255)*$H$413</f>
        <v>0</v>
      </c>
      <c r="AP413" s="401">
        <f>SUM($L$255:AK255)*$H$413</f>
        <v>0</v>
      </c>
      <c r="AQ413" s="401">
        <f>SUM($L$255:AL255)*$H$413</f>
        <v>0</v>
      </c>
      <c r="AR413" s="401">
        <f>SUM($L$255:AM255)*$H$413</f>
        <v>0</v>
      </c>
      <c r="AS413" s="401">
        <f>SUM($L$255:AN255)*$H$413</f>
        <v>0</v>
      </c>
      <c r="AT413" s="401">
        <f>SUM($L$255:AO255)*$H$413</f>
        <v>0</v>
      </c>
      <c r="AU413" s="401">
        <f>SUM($L$255:AP255)*$H$413</f>
        <v>0</v>
      </c>
      <c r="AV413" s="401">
        <f>SUM($L$255:AQ255)*$H$413</f>
        <v>0</v>
      </c>
      <c r="AW413" s="401">
        <f>SUM($L$255:AR255)*$H$413</f>
        <v>0</v>
      </c>
      <c r="AX413" s="401">
        <f>SUM($L$255:AS255)*$H$413</f>
        <v>0</v>
      </c>
      <c r="AY413" s="401">
        <f>SUM($L$255:AT255)*$H$413</f>
        <v>0</v>
      </c>
      <c r="AZ413" s="401">
        <f>SUM($L$255:AU255)*$H$413</f>
        <v>0</v>
      </c>
      <c r="BA413" s="401">
        <f>SUM($L$255:AV255)*$H$413</f>
        <v>0</v>
      </c>
      <c r="BB413" s="401">
        <f>SUM($L$255:AW255)*$H$413</f>
        <v>0</v>
      </c>
      <c r="BC413" s="401">
        <f>SUM($L$255:AX255)*$H$413</f>
        <v>0</v>
      </c>
      <c r="BD413" s="401">
        <f>SUM($L$255:AY255)*$H$413</f>
        <v>0</v>
      </c>
      <c r="BE413" s="401">
        <f>SUM($L$255:AZ255)*$H$413</f>
        <v>0</v>
      </c>
      <c r="BF413" s="401">
        <f>SUM($L$255:BA255)*$H$413</f>
        <v>0</v>
      </c>
      <c r="BG413" s="401">
        <f>SUM($L$255:BB255)*$H$413</f>
        <v>0</v>
      </c>
      <c r="BH413" s="401">
        <f>SUM($L$255:BC255)*$H$413</f>
        <v>0</v>
      </c>
      <c r="BI413" s="401">
        <f>SUM($L$255:BD255)*$H$413</f>
        <v>0</v>
      </c>
      <c r="BJ413" s="401">
        <f>SUM($L$255:BE255)*$H$413</f>
        <v>0</v>
      </c>
      <c r="BK413" s="401">
        <f>SUM($L$255:BF255)*$H$413</f>
        <v>0</v>
      </c>
      <c r="BL413" s="401">
        <f>SUM($L$255:BG255)*$H$413</f>
        <v>0</v>
      </c>
      <c r="BM413" s="401">
        <f>SUM($L$255:BH255)*$H$413</f>
        <v>0</v>
      </c>
      <c r="BN413" s="401">
        <f>SUM($L$255:BI255)*$H$413</f>
        <v>0</v>
      </c>
      <c r="BO413" s="401">
        <f>SUM($L$255:BJ255)*$H$413</f>
        <v>0</v>
      </c>
      <c r="BP413" s="401">
        <f>SUM($L$255:BK255)*$H$413</f>
        <v>0</v>
      </c>
    </row>
    <row r="414" spans="2:68" outlineLevel="1" x14ac:dyDescent="0.2">
      <c r="B414" s="20"/>
      <c r="C414" s="80"/>
      <c r="D414" s="81" t="str">
        <f>$D$256</f>
        <v>EBSS</v>
      </c>
      <c r="E414" s="80"/>
      <c r="F414" s="80"/>
      <c r="G414" s="477">
        <f>Assumptions!$H$193</f>
        <v>1</v>
      </c>
      <c r="H414" s="477">
        <f>Assumptions!$I$193</f>
        <v>1</v>
      </c>
      <c r="I414" s="83"/>
      <c r="J414" s="85" t="str">
        <f>Assumptions!$K$193</f>
        <v>EBSS</v>
      </c>
      <c r="K414" s="401">
        <f t="shared" si="556"/>
        <v>0</v>
      </c>
      <c r="L414" s="436">
        <f t="shared" si="557"/>
        <v>0</v>
      </c>
      <c r="M414" s="457"/>
      <c r="N414" s="455"/>
      <c r="O414" s="455"/>
      <c r="P414" s="455"/>
      <c r="Q414" s="455"/>
      <c r="R414" s="401">
        <f t="shared" ref="R414:AW414" si="561">R258</f>
        <v>0</v>
      </c>
      <c r="S414" s="401">
        <f t="shared" si="561"/>
        <v>0</v>
      </c>
      <c r="T414" s="401">
        <f t="shared" si="561"/>
        <v>0</v>
      </c>
      <c r="U414" s="401">
        <f t="shared" si="561"/>
        <v>0</v>
      </c>
      <c r="V414" s="401">
        <f t="shared" si="561"/>
        <v>0</v>
      </c>
      <c r="W414" s="401">
        <f t="shared" si="561"/>
        <v>0</v>
      </c>
      <c r="X414" s="401">
        <f t="shared" si="561"/>
        <v>0</v>
      </c>
      <c r="Y414" s="401">
        <f t="shared" si="561"/>
        <v>0</v>
      </c>
      <c r="Z414" s="401">
        <f t="shared" si="561"/>
        <v>0</v>
      </c>
      <c r="AA414" s="401">
        <f t="shared" si="561"/>
        <v>0</v>
      </c>
      <c r="AB414" s="401">
        <f t="shared" si="561"/>
        <v>0</v>
      </c>
      <c r="AC414" s="401">
        <f t="shared" si="561"/>
        <v>0</v>
      </c>
      <c r="AD414" s="401">
        <f t="shared" si="561"/>
        <v>0</v>
      </c>
      <c r="AE414" s="401">
        <f t="shared" si="561"/>
        <v>0</v>
      </c>
      <c r="AF414" s="401">
        <f t="shared" si="561"/>
        <v>0</v>
      </c>
      <c r="AG414" s="401">
        <f t="shared" si="561"/>
        <v>0</v>
      </c>
      <c r="AH414" s="401">
        <f t="shared" si="561"/>
        <v>0</v>
      </c>
      <c r="AI414" s="401">
        <f t="shared" si="561"/>
        <v>0</v>
      </c>
      <c r="AJ414" s="401">
        <f t="shared" si="561"/>
        <v>0</v>
      </c>
      <c r="AK414" s="401">
        <f t="shared" si="561"/>
        <v>0</v>
      </c>
      <c r="AL414" s="401">
        <f t="shared" si="561"/>
        <v>0</v>
      </c>
      <c r="AM414" s="401">
        <f t="shared" si="561"/>
        <v>0</v>
      </c>
      <c r="AN414" s="401">
        <f t="shared" si="561"/>
        <v>0</v>
      </c>
      <c r="AO414" s="401">
        <f t="shared" si="561"/>
        <v>0</v>
      </c>
      <c r="AP414" s="401">
        <f t="shared" si="561"/>
        <v>0</v>
      </c>
      <c r="AQ414" s="401">
        <f t="shared" si="561"/>
        <v>0</v>
      </c>
      <c r="AR414" s="401">
        <f t="shared" si="561"/>
        <v>0</v>
      </c>
      <c r="AS414" s="401">
        <f t="shared" si="561"/>
        <v>0</v>
      </c>
      <c r="AT414" s="401">
        <f t="shared" si="561"/>
        <v>0</v>
      </c>
      <c r="AU414" s="401">
        <f t="shared" si="561"/>
        <v>0</v>
      </c>
      <c r="AV414" s="401">
        <f t="shared" si="561"/>
        <v>0</v>
      </c>
      <c r="AW414" s="401">
        <f t="shared" si="561"/>
        <v>0</v>
      </c>
      <c r="AX414" s="401">
        <f t="shared" ref="AX414:BP414" si="562">AX258</f>
        <v>0</v>
      </c>
      <c r="AY414" s="401">
        <f t="shared" si="562"/>
        <v>0</v>
      </c>
      <c r="AZ414" s="401">
        <f t="shared" si="562"/>
        <v>0</v>
      </c>
      <c r="BA414" s="401">
        <f t="shared" si="562"/>
        <v>0</v>
      </c>
      <c r="BB414" s="401">
        <f t="shared" si="562"/>
        <v>0</v>
      </c>
      <c r="BC414" s="401">
        <f t="shared" si="562"/>
        <v>0</v>
      </c>
      <c r="BD414" s="401">
        <f t="shared" si="562"/>
        <v>0</v>
      </c>
      <c r="BE414" s="401">
        <f t="shared" si="562"/>
        <v>0</v>
      </c>
      <c r="BF414" s="401">
        <f t="shared" si="562"/>
        <v>0</v>
      </c>
      <c r="BG414" s="401">
        <f t="shared" si="562"/>
        <v>0</v>
      </c>
      <c r="BH414" s="401">
        <f t="shared" si="562"/>
        <v>0</v>
      </c>
      <c r="BI414" s="401">
        <f t="shared" si="562"/>
        <v>0</v>
      </c>
      <c r="BJ414" s="401">
        <f t="shared" si="562"/>
        <v>0</v>
      </c>
      <c r="BK414" s="401">
        <f t="shared" si="562"/>
        <v>0</v>
      </c>
      <c r="BL414" s="401">
        <f t="shared" si="562"/>
        <v>0</v>
      </c>
      <c r="BM414" s="401">
        <f t="shared" si="562"/>
        <v>0</v>
      </c>
      <c r="BN414" s="401">
        <f t="shared" si="562"/>
        <v>0</v>
      </c>
      <c r="BO414" s="401">
        <f t="shared" si="562"/>
        <v>0</v>
      </c>
      <c r="BP414" s="401">
        <f t="shared" si="562"/>
        <v>0</v>
      </c>
    </row>
    <row r="415" spans="2:68" outlineLevel="1" x14ac:dyDescent="0.2">
      <c r="B415" s="20"/>
      <c r="C415" s="80"/>
      <c r="D415" s="81" t="str">
        <f>$D$259</f>
        <v>CESS</v>
      </c>
      <c r="E415" s="80"/>
      <c r="F415" s="80"/>
      <c r="G415" s="450"/>
      <c r="H415" s="83"/>
      <c r="I415" s="83"/>
      <c r="J415" s="85"/>
      <c r="K415" s="80"/>
      <c r="L415" s="80"/>
      <c r="M415" s="457"/>
      <c r="N415" s="455"/>
      <c r="O415" s="455"/>
      <c r="P415" s="455"/>
      <c r="Q415" s="455"/>
      <c r="R415" s="80"/>
      <c r="S415" s="80"/>
      <c r="T415" s="80"/>
      <c r="U415" s="80"/>
      <c r="V415" s="80"/>
      <c r="W415" s="80"/>
      <c r="X415" s="80"/>
      <c r="Y415" s="80"/>
      <c r="Z415" s="80"/>
      <c r="AA415" s="80"/>
      <c r="AB415" s="80"/>
      <c r="AC415" s="80"/>
      <c r="AD415" s="80"/>
      <c r="AE415" s="80"/>
      <c r="AF415" s="80"/>
      <c r="AG415" s="80"/>
      <c r="AH415" s="80"/>
      <c r="AI415" s="80"/>
      <c r="AJ415" s="80"/>
      <c r="AK415" s="80"/>
      <c r="AL415" s="80"/>
      <c r="AM415" s="80"/>
      <c r="AN415" s="80"/>
      <c r="AO415" s="80"/>
      <c r="AP415" s="80"/>
      <c r="AQ415" s="80"/>
      <c r="AR415" s="80"/>
      <c r="AS415" s="80"/>
      <c r="AT415" s="80"/>
      <c r="AU415" s="80"/>
      <c r="AV415" s="80"/>
      <c r="AW415" s="80"/>
      <c r="AX415" s="80"/>
      <c r="AY415" s="80"/>
      <c r="AZ415" s="80"/>
      <c r="BA415" s="80"/>
      <c r="BB415" s="80"/>
      <c r="BC415" s="80"/>
      <c r="BD415" s="80"/>
      <c r="BE415" s="80"/>
      <c r="BF415" s="80"/>
      <c r="BG415" s="80"/>
      <c r="BH415" s="80"/>
      <c r="BI415" s="80"/>
      <c r="BJ415" s="80"/>
      <c r="BK415" s="80"/>
      <c r="BL415" s="80"/>
      <c r="BM415" s="80"/>
      <c r="BN415" s="80"/>
      <c r="BO415" s="80"/>
      <c r="BP415" s="80"/>
    </row>
    <row r="416" spans="2:68" outlineLevel="1" x14ac:dyDescent="0.2">
      <c r="B416" s="20"/>
      <c r="C416" s="80"/>
      <c r="D416" s="92" t="s">
        <v>64</v>
      </c>
      <c r="E416" s="80"/>
      <c r="F416" s="80"/>
      <c r="G416" s="396">
        <v>0</v>
      </c>
      <c r="H416" s="396">
        <v>0</v>
      </c>
      <c r="I416" s="488"/>
      <c r="J416" s="486" t="str">
        <f>Assumptions!$K$194</f>
        <v>CESS</v>
      </c>
      <c r="K416" s="401">
        <f>SUMPRODUCT($R$375:$BP$375,R416:BP416)</f>
        <v>0</v>
      </c>
      <c r="L416" s="436">
        <f>SUM(M416:BP416)</f>
        <v>0</v>
      </c>
      <c r="M416" s="457"/>
      <c r="N416" s="455"/>
      <c r="O416" s="455"/>
      <c r="P416" s="455"/>
      <c r="Q416" s="455"/>
      <c r="R416" s="401">
        <f t="shared" ref="R416:AW416" si="563">$H416*R260</f>
        <v>0</v>
      </c>
      <c r="S416" s="401">
        <f t="shared" si="563"/>
        <v>0</v>
      </c>
      <c r="T416" s="401">
        <f t="shared" si="563"/>
        <v>0</v>
      </c>
      <c r="U416" s="401">
        <f t="shared" si="563"/>
        <v>0</v>
      </c>
      <c r="V416" s="401">
        <f t="shared" si="563"/>
        <v>0</v>
      </c>
      <c r="W416" s="401">
        <f t="shared" si="563"/>
        <v>0</v>
      </c>
      <c r="X416" s="401">
        <f t="shared" si="563"/>
        <v>0</v>
      </c>
      <c r="Y416" s="401">
        <f t="shared" si="563"/>
        <v>0</v>
      </c>
      <c r="Z416" s="401">
        <f t="shared" si="563"/>
        <v>0</v>
      </c>
      <c r="AA416" s="401">
        <f t="shared" si="563"/>
        <v>0</v>
      </c>
      <c r="AB416" s="401">
        <f t="shared" si="563"/>
        <v>0</v>
      </c>
      <c r="AC416" s="401">
        <f t="shared" si="563"/>
        <v>0</v>
      </c>
      <c r="AD416" s="401">
        <f t="shared" si="563"/>
        <v>0</v>
      </c>
      <c r="AE416" s="401">
        <f t="shared" si="563"/>
        <v>0</v>
      </c>
      <c r="AF416" s="401">
        <f t="shared" si="563"/>
        <v>0</v>
      </c>
      <c r="AG416" s="401">
        <f t="shared" si="563"/>
        <v>0</v>
      </c>
      <c r="AH416" s="401">
        <f t="shared" si="563"/>
        <v>0</v>
      </c>
      <c r="AI416" s="401">
        <f t="shared" si="563"/>
        <v>0</v>
      </c>
      <c r="AJ416" s="401">
        <f t="shared" si="563"/>
        <v>0</v>
      </c>
      <c r="AK416" s="401">
        <f t="shared" si="563"/>
        <v>0</v>
      </c>
      <c r="AL416" s="401">
        <f t="shared" si="563"/>
        <v>0</v>
      </c>
      <c r="AM416" s="401">
        <f t="shared" si="563"/>
        <v>0</v>
      </c>
      <c r="AN416" s="401">
        <f t="shared" si="563"/>
        <v>0</v>
      </c>
      <c r="AO416" s="401">
        <f t="shared" si="563"/>
        <v>0</v>
      </c>
      <c r="AP416" s="401">
        <f t="shared" si="563"/>
        <v>0</v>
      </c>
      <c r="AQ416" s="401">
        <f t="shared" si="563"/>
        <v>0</v>
      </c>
      <c r="AR416" s="401">
        <f t="shared" si="563"/>
        <v>0</v>
      </c>
      <c r="AS416" s="401">
        <f t="shared" si="563"/>
        <v>0</v>
      </c>
      <c r="AT416" s="401">
        <f t="shared" si="563"/>
        <v>0</v>
      </c>
      <c r="AU416" s="401">
        <f t="shared" si="563"/>
        <v>0</v>
      </c>
      <c r="AV416" s="401">
        <f t="shared" si="563"/>
        <v>0</v>
      </c>
      <c r="AW416" s="401">
        <f t="shared" si="563"/>
        <v>0</v>
      </c>
      <c r="AX416" s="401">
        <f t="shared" ref="AX416:BP416" si="564">$H416*AX260</f>
        <v>0</v>
      </c>
      <c r="AY416" s="401">
        <f t="shared" si="564"/>
        <v>0</v>
      </c>
      <c r="AZ416" s="401">
        <f t="shared" si="564"/>
        <v>0</v>
      </c>
      <c r="BA416" s="401">
        <f t="shared" si="564"/>
        <v>0</v>
      </c>
      <c r="BB416" s="401">
        <f t="shared" si="564"/>
        <v>0</v>
      </c>
      <c r="BC416" s="401">
        <f t="shared" si="564"/>
        <v>0</v>
      </c>
      <c r="BD416" s="401">
        <f t="shared" si="564"/>
        <v>0</v>
      </c>
      <c r="BE416" s="401">
        <f t="shared" si="564"/>
        <v>0</v>
      </c>
      <c r="BF416" s="401">
        <f t="shared" si="564"/>
        <v>0</v>
      </c>
      <c r="BG416" s="401">
        <f t="shared" si="564"/>
        <v>0</v>
      </c>
      <c r="BH416" s="401">
        <f t="shared" si="564"/>
        <v>0</v>
      </c>
      <c r="BI416" s="401">
        <f t="shared" si="564"/>
        <v>0</v>
      </c>
      <c r="BJ416" s="401">
        <f t="shared" si="564"/>
        <v>0</v>
      </c>
      <c r="BK416" s="401">
        <f t="shared" si="564"/>
        <v>0</v>
      </c>
      <c r="BL416" s="401">
        <f t="shared" si="564"/>
        <v>0</v>
      </c>
      <c r="BM416" s="401">
        <f t="shared" si="564"/>
        <v>0</v>
      </c>
      <c r="BN416" s="401">
        <f t="shared" si="564"/>
        <v>0</v>
      </c>
      <c r="BO416" s="401">
        <f t="shared" si="564"/>
        <v>0</v>
      </c>
      <c r="BP416" s="401">
        <f t="shared" si="564"/>
        <v>0</v>
      </c>
    </row>
    <row r="417" spans="2:68" outlineLevel="1" x14ac:dyDescent="0.2">
      <c r="B417" s="20"/>
      <c r="C417" s="80"/>
      <c r="D417" s="92" t="s">
        <v>63</v>
      </c>
      <c r="E417" s="80"/>
      <c r="F417" s="80"/>
      <c r="G417" s="477">
        <f>Assumptions!$H$194</f>
        <v>1</v>
      </c>
      <c r="H417" s="477">
        <f>Assumptions!$I$194</f>
        <v>1</v>
      </c>
      <c r="I417" s="488"/>
      <c r="J417" s="486" t="str">
        <f>Assumptions!$K$194</f>
        <v>CESS</v>
      </c>
      <c r="K417" s="401">
        <f>SUMPRODUCT($R$375:$BP$375,R417:BP417)</f>
        <v>0</v>
      </c>
      <c r="L417" s="436">
        <f>SUM(M417:BP417)</f>
        <v>0</v>
      </c>
      <c r="M417" s="457"/>
      <c r="N417" s="455"/>
      <c r="O417" s="455"/>
      <c r="P417" s="455"/>
      <c r="Q417" s="455"/>
      <c r="R417" s="401">
        <f t="shared" ref="R417:AW417" si="565">$H417*R261</f>
        <v>0</v>
      </c>
      <c r="S417" s="401">
        <f t="shared" si="565"/>
        <v>0</v>
      </c>
      <c r="T417" s="401">
        <f t="shared" si="565"/>
        <v>0</v>
      </c>
      <c r="U417" s="401">
        <f t="shared" si="565"/>
        <v>0</v>
      </c>
      <c r="V417" s="401">
        <f t="shared" si="565"/>
        <v>0</v>
      </c>
      <c r="W417" s="401">
        <f t="shared" si="565"/>
        <v>0</v>
      </c>
      <c r="X417" s="401">
        <f t="shared" si="565"/>
        <v>0</v>
      </c>
      <c r="Y417" s="401">
        <f t="shared" si="565"/>
        <v>0</v>
      </c>
      <c r="Z417" s="401">
        <f t="shared" si="565"/>
        <v>0</v>
      </c>
      <c r="AA417" s="401">
        <f t="shared" si="565"/>
        <v>0</v>
      </c>
      <c r="AB417" s="401">
        <f t="shared" si="565"/>
        <v>0</v>
      </c>
      <c r="AC417" s="401">
        <f t="shared" si="565"/>
        <v>0</v>
      </c>
      <c r="AD417" s="401">
        <f t="shared" si="565"/>
        <v>0</v>
      </c>
      <c r="AE417" s="401">
        <f t="shared" si="565"/>
        <v>0</v>
      </c>
      <c r="AF417" s="401">
        <f t="shared" si="565"/>
        <v>0</v>
      </c>
      <c r="AG417" s="401">
        <f t="shared" si="565"/>
        <v>0</v>
      </c>
      <c r="AH417" s="401">
        <f t="shared" si="565"/>
        <v>0</v>
      </c>
      <c r="AI417" s="401">
        <f t="shared" si="565"/>
        <v>0</v>
      </c>
      <c r="AJ417" s="401">
        <f t="shared" si="565"/>
        <v>0</v>
      </c>
      <c r="AK417" s="401">
        <f t="shared" si="565"/>
        <v>0</v>
      </c>
      <c r="AL417" s="401">
        <f t="shared" si="565"/>
        <v>0</v>
      </c>
      <c r="AM417" s="401">
        <f t="shared" si="565"/>
        <v>0</v>
      </c>
      <c r="AN417" s="401">
        <f t="shared" si="565"/>
        <v>0</v>
      </c>
      <c r="AO417" s="401">
        <f t="shared" si="565"/>
        <v>0</v>
      </c>
      <c r="AP417" s="401">
        <f t="shared" si="565"/>
        <v>0</v>
      </c>
      <c r="AQ417" s="401">
        <f t="shared" si="565"/>
        <v>0</v>
      </c>
      <c r="AR417" s="401">
        <f t="shared" si="565"/>
        <v>0</v>
      </c>
      <c r="AS417" s="401">
        <f t="shared" si="565"/>
        <v>0</v>
      </c>
      <c r="AT417" s="401">
        <f t="shared" si="565"/>
        <v>0</v>
      </c>
      <c r="AU417" s="401">
        <f t="shared" si="565"/>
        <v>0</v>
      </c>
      <c r="AV417" s="401">
        <f t="shared" si="565"/>
        <v>0</v>
      </c>
      <c r="AW417" s="401">
        <f t="shared" si="565"/>
        <v>0</v>
      </c>
      <c r="AX417" s="401">
        <f t="shared" ref="AX417:BP417" si="566">$H417*AX261</f>
        <v>0</v>
      </c>
      <c r="AY417" s="401">
        <f t="shared" si="566"/>
        <v>0</v>
      </c>
      <c r="AZ417" s="401">
        <f t="shared" si="566"/>
        <v>0</v>
      </c>
      <c r="BA417" s="401">
        <f t="shared" si="566"/>
        <v>0</v>
      </c>
      <c r="BB417" s="401">
        <f t="shared" si="566"/>
        <v>0</v>
      </c>
      <c r="BC417" s="401">
        <f t="shared" si="566"/>
        <v>0</v>
      </c>
      <c r="BD417" s="401">
        <f t="shared" si="566"/>
        <v>0</v>
      </c>
      <c r="BE417" s="401">
        <f t="shared" si="566"/>
        <v>0</v>
      </c>
      <c r="BF417" s="401">
        <f t="shared" si="566"/>
        <v>0</v>
      </c>
      <c r="BG417" s="401">
        <f t="shared" si="566"/>
        <v>0</v>
      </c>
      <c r="BH417" s="401">
        <f t="shared" si="566"/>
        <v>0</v>
      </c>
      <c r="BI417" s="401">
        <f t="shared" si="566"/>
        <v>0</v>
      </c>
      <c r="BJ417" s="401">
        <f t="shared" si="566"/>
        <v>0</v>
      </c>
      <c r="BK417" s="401">
        <f t="shared" si="566"/>
        <v>0</v>
      </c>
      <c r="BL417" s="401">
        <f t="shared" si="566"/>
        <v>0</v>
      </c>
      <c r="BM417" s="401">
        <f t="shared" si="566"/>
        <v>0</v>
      </c>
      <c r="BN417" s="401">
        <f t="shared" si="566"/>
        <v>0</v>
      </c>
      <c r="BO417" s="401">
        <f t="shared" si="566"/>
        <v>0</v>
      </c>
      <c r="BP417" s="401">
        <f t="shared" si="566"/>
        <v>0</v>
      </c>
    </row>
    <row r="418" spans="2:68" outlineLevel="1" x14ac:dyDescent="0.2">
      <c r="B418" s="20"/>
      <c r="C418" s="80"/>
      <c r="D418" s="81" t="str">
        <f>$D$262</f>
        <v>DMIS</v>
      </c>
      <c r="E418" s="80"/>
      <c r="F418" s="80"/>
      <c r="G418" s="477">
        <f>Assumptions!$H$195</f>
        <v>1</v>
      </c>
      <c r="H418" s="477">
        <f>Assumptions!$I$195</f>
        <v>-1</v>
      </c>
      <c r="I418" s="83"/>
      <c r="J418" s="85" t="str">
        <f>Assumptions!$K$195</f>
        <v>DMIS</v>
      </c>
      <c r="K418" s="401">
        <f t="shared" ref="K418" si="567">SUMPRODUCT($R$375:$BP$375,R418:BP418)</f>
        <v>0</v>
      </c>
      <c r="L418" s="436">
        <f t="shared" ref="L418" si="568">SUM(M418:BP418)</f>
        <v>0</v>
      </c>
      <c r="M418" s="457"/>
      <c r="N418" s="455"/>
      <c r="O418" s="455"/>
      <c r="P418" s="455"/>
      <c r="Q418" s="455"/>
      <c r="R418" s="401">
        <f t="shared" ref="R418:AW418" si="569">$H418*R262</f>
        <v>0</v>
      </c>
      <c r="S418" s="401">
        <f t="shared" si="569"/>
        <v>0</v>
      </c>
      <c r="T418" s="401">
        <f t="shared" si="569"/>
        <v>0</v>
      </c>
      <c r="U418" s="401">
        <f t="shared" si="569"/>
        <v>0</v>
      </c>
      <c r="V418" s="401">
        <f t="shared" si="569"/>
        <v>0</v>
      </c>
      <c r="W418" s="401">
        <f t="shared" si="569"/>
        <v>0</v>
      </c>
      <c r="X418" s="401">
        <f t="shared" si="569"/>
        <v>0</v>
      </c>
      <c r="Y418" s="401">
        <f t="shared" si="569"/>
        <v>0</v>
      </c>
      <c r="Z418" s="401">
        <f t="shared" si="569"/>
        <v>0</v>
      </c>
      <c r="AA418" s="401">
        <f t="shared" si="569"/>
        <v>0</v>
      </c>
      <c r="AB418" s="401">
        <f t="shared" si="569"/>
        <v>0</v>
      </c>
      <c r="AC418" s="401">
        <f t="shared" si="569"/>
        <v>0</v>
      </c>
      <c r="AD418" s="401">
        <f t="shared" si="569"/>
        <v>0</v>
      </c>
      <c r="AE418" s="401">
        <f t="shared" si="569"/>
        <v>0</v>
      </c>
      <c r="AF418" s="401">
        <f t="shared" si="569"/>
        <v>0</v>
      </c>
      <c r="AG418" s="401">
        <f t="shared" si="569"/>
        <v>0</v>
      </c>
      <c r="AH418" s="401">
        <f t="shared" si="569"/>
        <v>0</v>
      </c>
      <c r="AI418" s="401">
        <f t="shared" si="569"/>
        <v>0</v>
      </c>
      <c r="AJ418" s="401">
        <f t="shared" si="569"/>
        <v>0</v>
      </c>
      <c r="AK418" s="401">
        <f t="shared" si="569"/>
        <v>0</v>
      </c>
      <c r="AL418" s="401">
        <f t="shared" si="569"/>
        <v>0</v>
      </c>
      <c r="AM418" s="401">
        <f t="shared" si="569"/>
        <v>0</v>
      </c>
      <c r="AN418" s="401">
        <f t="shared" si="569"/>
        <v>0</v>
      </c>
      <c r="AO418" s="401">
        <f t="shared" si="569"/>
        <v>0</v>
      </c>
      <c r="AP418" s="401">
        <f t="shared" si="569"/>
        <v>0</v>
      </c>
      <c r="AQ418" s="401">
        <f t="shared" si="569"/>
        <v>0</v>
      </c>
      <c r="AR418" s="401">
        <f t="shared" si="569"/>
        <v>0</v>
      </c>
      <c r="AS418" s="401">
        <f t="shared" si="569"/>
        <v>0</v>
      </c>
      <c r="AT418" s="401">
        <f t="shared" si="569"/>
        <v>0</v>
      </c>
      <c r="AU418" s="401">
        <f t="shared" si="569"/>
        <v>0</v>
      </c>
      <c r="AV418" s="401">
        <f t="shared" si="569"/>
        <v>0</v>
      </c>
      <c r="AW418" s="401">
        <f t="shared" si="569"/>
        <v>0</v>
      </c>
      <c r="AX418" s="401">
        <f t="shared" ref="AX418:BP418" si="570">$H418*AX262</f>
        <v>0</v>
      </c>
      <c r="AY418" s="401">
        <f t="shared" si="570"/>
        <v>0</v>
      </c>
      <c r="AZ418" s="401">
        <f t="shared" si="570"/>
        <v>0</v>
      </c>
      <c r="BA418" s="401">
        <f t="shared" si="570"/>
        <v>0</v>
      </c>
      <c r="BB418" s="401">
        <f t="shared" si="570"/>
        <v>0</v>
      </c>
      <c r="BC418" s="401">
        <f t="shared" si="570"/>
        <v>0</v>
      </c>
      <c r="BD418" s="401">
        <f t="shared" si="570"/>
        <v>0</v>
      </c>
      <c r="BE418" s="401">
        <f t="shared" si="570"/>
        <v>0</v>
      </c>
      <c r="BF418" s="401">
        <f t="shared" si="570"/>
        <v>0</v>
      </c>
      <c r="BG418" s="401">
        <f t="shared" si="570"/>
        <v>0</v>
      </c>
      <c r="BH418" s="401">
        <f t="shared" si="570"/>
        <v>0</v>
      </c>
      <c r="BI418" s="401">
        <f t="shared" si="570"/>
        <v>0</v>
      </c>
      <c r="BJ418" s="401">
        <f t="shared" si="570"/>
        <v>0</v>
      </c>
      <c r="BK418" s="401">
        <f t="shared" si="570"/>
        <v>0</v>
      </c>
      <c r="BL418" s="401">
        <f t="shared" si="570"/>
        <v>0</v>
      </c>
      <c r="BM418" s="401">
        <f t="shared" si="570"/>
        <v>0</v>
      </c>
      <c r="BN418" s="401">
        <f t="shared" si="570"/>
        <v>0</v>
      </c>
      <c r="BO418" s="401">
        <f t="shared" si="570"/>
        <v>0</v>
      </c>
      <c r="BP418" s="401">
        <f t="shared" si="570"/>
        <v>0</v>
      </c>
    </row>
    <row r="419" spans="2:68" outlineLevel="1" x14ac:dyDescent="0.2">
      <c r="B419" s="20"/>
      <c r="C419" s="80"/>
      <c r="D419" s="81"/>
      <c r="E419" s="80"/>
      <c r="F419" s="80"/>
      <c r="G419" s="83"/>
      <c r="H419" s="83"/>
      <c r="I419" s="83"/>
      <c r="J419" s="85"/>
      <c r="K419" s="401"/>
      <c r="L419" s="436"/>
      <c r="M419" s="437"/>
      <c r="N419" s="401"/>
      <c r="O419" s="401"/>
      <c r="P419" s="401"/>
      <c r="Q419" s="401"/>
      <c r="R419" s="401"/>
      <c r="S419" s="401"/>
      <c r="T419" s="401"/>
      <c r="U419" s="401"/>
      <c r="V419" s="401"/>
      <c r="W419" s="401"/>
      <c r="X419" s="401"/>
      <c r="Y419" s="401"/>
      <c r="Z419" s="401"/>
      <c r="AA419" s="401"/>
      <c r="AB419" s="401"/>
      <c r="AC419" s="401"/>
      <c r="AD419" s="401"/>
      <c r="AE419" s="401"/>
      <c r="AF419" s="401"/>
      <c r="AG419" s="401"/>
      <c r="AH419" s="401"/>
      <c r="AI419" s="401"/>
      <c r="AJ419" s="401"/>
      <c r="AK419" s="401"/>
      <c r="AL419" s="401"/>
      <c r="AM419" s="401"/>
      <c r="AN419" s="401"/>
      <c r="AO419" s="401"/>
      <c r="AP419" s="401"/>
      <c r="AQ419" s="401"/>
      <c r="AR419" s="401"/>
      <c r="AS419" s="401"/>
      <c r="AT419" s="401"/>
      <c r="AU419" s="401"/>
      <c r="AV419" s="401"/>
      <c r="AW419" s="401"/>
      <c r="AX419" s="401"/>
      <c r="AY419" s="401"/>
      <c r="AZ419" s="401"/>
      <c r="BA419" s="401"/>
      <c r="BB419" s="401"/>
      <c r="BC419" s="401"/>
      <c r="BD419" s="401"/>
      <c r="BE419" s="401"/>
      <c r="BF419" s="401"/>
      <c r="BG419" s="401"/>
      <c r="BH419" s="401"/>
      <c r="BI419" s="401"/>
      <c r="BJ419" s="401"/>
      <c r="BK419" s="401"/>
      <c r="BL419" s="401"/>
      <c r="BM419" s="401"/>
      <c r="BN419" s="401"/>
      <c r="BO419" s="401"/>
      <c r="BP419" s="401"/>
    </row>
    <row r="420" spans="2:68" outlineLevel="1" x14ac:dyDescent="0.2">
      <c r="B420" s="20"/>
      <c r="C420" s="80"/>
      <c r="D420" s="32" t="str">
        <f>$D$264</f>
        <v>Probabilistic cost &amp; benefits</v>
      </c>
      <c r="E420" s="80"/>
      <c r="F420" s="80"/>
      <c r="G420" s="83"/>
      <c r="H420" s="83"/>
      <c r="I420" s="83"/>
      <c r="J420" s="85"/>
      <c r="K420" s="401"/>
      <c r="L420" s="436"/>
      <c r="M420" s="437"/>
      <c r="N420" s="401"/>
      <c r="O420" s="401"/>
      <c r="P420" s="401"/>
      <c r="Q420" s="401"/>
      <c r="R420" s="401"/>
      <c r="S420" s="35"/>
      <c r="T420" s="35"/>
      <c r="U420" s="35"/>
      <c r="V420" s="35"/>
      <c r="W420" s="35"/>
      <c r="X420" s="35"/>
      <c r="Y420" s="35"/>
      <c r="Z420" s="35"/>
      <c r="AA420" s="35"/>
      <c r="AB420" s="35"/>
      <c r="AC420" s="35"/>
      <c r="AD420" s="35"/>
      <c r="AE420" s="35"/>
      <c r="AF420" s="35"/>
      <c r="AG420" s="35"/>
      <c r="AH420" s="35"/>
      <c r="AI420" s="35"/>
      <c r="AJ420" s="35"/>
      <c r="AK420" s="35"/>
      <c r="AL420" s="35"/>
      <c r="AM420" s="35"/>
      <c r="AN420" s="35"/>
      <c r="AO420" s="35"/>
      <c r="AP420" s="35"/>
      <c r="AQ420" s="35"/>
      <c r="AR420" s="35"/>
      <c r="AS420" s="35"/>
      <c r="AT420" s="35"/>
      <c r="AU420" s="35"/>
      <c r="AV420" s="35"/>
      <c r="AW420" s="35"/>
      <c r="AX420" s="35"/>
      <c r="AY420" s="35"/>
      <c r="AZ420" s="35"/>
      <c r="BA420" s="35"/>
      <c r="BB420" s="35"/>
      <c r="BC420" s="35"/>
      <c r="BD420" s="35"/>
      <c r="BE420" s="35"/>
      <c r="BF420" s="35"/>
      <c r="BG420" s="35"/>
      <c r="BH420" s="35"/>
      <c r="BI420" s="35"/>
      <c r="BJ420" s="35"/>
      <c r="BK420" s="35"/>
      <c r="BL420" s="35"/>
      <c r="BM420" s="35"/>
      <c r="BN420" s="35"/>
      <c r="BO420" s="35"/>
      <c r="BP420" s="35"/>
    </row>
    <row r="421" spans="2:68" outlineLevel="1" x14ac:dyDescent="0.2">
      <c r="B421" s="20"/>
      <c r="C421" s="80"/>
      <c r="D421" s="81" t="str">
        <f>$D$265</f>
        <v>Safety risk</v>
      </c>
      <c r="E421" s="80"/>
      <c r="F421" s="80"/>
      <c r="G421" s="477">
        <f>Assumptions!$H$198</f>
        <v>0</v>
      </c>
      <c r="H421" s="477">
        <f>Assumptions!$I$198</f>
        <v>1</v>
      </c>
      <c r="I421" s="83"/>
      <c r="J421" s="85" t="str">
        <f>Assumptions!$K$198</f>
        <v>Safety risk</v>
      </c>
      <c r="K421" s="401">
        <f t="shared" ref="K421:K428" si="571">SUMPRODUCT($R$375:$BP$375,R421:BP421)</f>
        <v>20551310.612568729</v>
      </c>
      <c r="L421" s="436">
        <f t="shared" ref="L421:L428" si="572">SUM(M421:BP421)</f>
        <v>24551006.651312798</v>
      </c>
      <c r="M421" s="457"/>
      <c r="N421" s="455"/>
      <c r="O421" s="455"/>
      <c r="P421" s="455"/>
      <c r="Q421" s="455"/>
      <c r="R421" s="401">
        <f t="shared" ref="R421:AW421" si="573">$H421*R265</f>
        <v>0</v>
      </c>
      <c r="S421" s="401">
        <f t="shared" si="573"/>
        <v>0</v>
      </c>
      <c r="T421" s="401">
        <f t="shared" si="573"/>
        <v>0</v>
      </c>
      <c r="U421" s="401">
        <f t="shared" si="573"/>
        <v>4357421.4794582743</v>
      </c>
      <c r="V421" s="401">
        <f t="shared" si="573"/>
        <v>4421187.5671172729</v>
      </c>
      <c r="W421" s="401">
        <f t="shared" si="573"/>
        <v>4451034.2730616657</v>
      </c>
      <c r="X421" s="401">
        <f t="shared" si="573"/>
        <v>4454116.4275256703</v>
      </c>
      <c r="Y421" s="401">
        <f t="shared" si="573"/>
        <v>4521292.9927943535</v>
      </c>
      <c r="Z421" s="401">
        <f t="shared" si="573"/>
        <v>2345953.9113555606</v>
      </c>
      <c r="AA421" s="401">
        <f t="shared" si="573"/>
        <v>0</v>
      </c>
      <c r="AB421" s="401">
        <f t="shared" si="573"/>
        <v>0</v>
      </c>
      <c r="AC421" s="401">
        <f t="shared" si="573"/>
        <v>0</v>
      </c>
      <c r="AD421" s="401">
        <f t="shared" si="573"/>
        <v>0</v>
      </c>
      <c r="AE421" s="401">
        <f t="shared" si="573"/>
        <v>0</v>
      </c>
      <c r="AF421" s="401">
        <f t="shared" si="573"/>
        <v>0</v>
      </c>
      <c r="AG421" s="401">
        <f t="shared" si="573"/>
        <v>0</v>
      </c>
      <c r="AH421" s="401">
        <f t="shared" si="573"/>
        <v>0</v>
      </c>
      <c r="AI421" s="401">
        <f t="shared" si="573"/>
        <v>0</v>
      </c>
      <c r="AJ421" s="401">
        <f t="shared" si="573"/>
        <v>0</v>
      </c>
      <c r="AK421" s="401">
        <f t="shared" si="573"/>
        <v>0</v>
      </c>
      <c r="AL421" s="401">
        <f t="shared" si="573"/>
        <v>0</v>
      </c>
      <c r="AM421" s="401">
        <f t="shared" si="573"/>
        <v>0</v>
      </c>
      <c r="AN421" s="401">
        <f t="shared" si="573"/>
        <v>0</v>
      </c>
      <c r="AO421" s="401">
        <f t="shared" si="573"/>
        <v>0</v>
      </c>
      <c r="AP421" s="401">
        <f t="shared" si="573"/>
        <v>0</v>
      </c>
      <c r="AQ421" s="401">
        <f t="shared" si="573"/>
        <v>0</v>
      </c>
      <c r="AR421" s="401">
        <f t="shared" si="573"/>
        <v>0</v>
      </c>
      <c r="AS421" s="401">
        <f t="shared" si="573"/>
        <v>0</v>
      </c>
      <c r="AT421" s="401">
        <f t="shared" si="573"/>
        <v>0</v>
      </c>
      <c r="AU421" s="401">
        <f t="shared" si="573"/>
        <v>0</v>
      </c>
      <c r="AV421" s="401">
        <f t="shared" si="573"/>
        <v>0</v>
      </c>
      <c r="AW421" s="401">
        <f t="shared" si="573"/>
        <v>0</v>
      </c>
      <c r="AX421" s="401">
        <f t="shared" ref="AX421:BP421" si="574">$H421*AX265</f>
        <v>0</v>
      </c>
      <c r="AY421" s="401">
        <f t="shared" si="574"/>
        <v>0</v>
      </c>
      <c r="AZ421" s="401">
        <f t="shared" si="574"/>
        <v>0</v>
      </c>
      <c r="BA421" s="401">
        <f t="shared" si="574"/>
        <v>0</v>
      </c>
      <c r="BB421" s="401">
        <f t="shared" si="574"/>
        <v>0</v>
      </c>
      <c r="BC421" s="401">
        <f t="shared" si="574"/>
        <v>0</v>
      </c>
      <c r="BD421" s="401">
        <f t="shared" si="574"/>
        <v>0</v>
      </c>
      <c r="BE421" s="401">
        <f t="shared" si="574"/>
        <v>0</v>
      </c>
      <c r="BF421" s="401">
        <f t="shared" si="574"/>
        <v>0</v>
      </c>
      <c r="BG421" s="401">
        <f t="shared" si="574"/>
        <v>0</v>
      </c>
      <c r="BH421" s="401">
        <f t="shared" si="574"/>
        <v>0</v>
      </c>
      <c r="BI421" s="401">
        <f t="shared" si="574"/>
        <v>0</v>
      </c>
      <c r="BJ421" s="401">
        <f t="shared" si="574"/>
        <v>0</v>
      </c>
      <c r="BK421" s="401">
        <f t="shared" si="574"/>
        <v>0</v>
      </c>
      <c r="BL421" s="401">
        <f t="shared" si="574"/>
        <v>0</v>
      </c>
      <c r="BM421" s="401">
        <f t="shared" si="574"/>
        <v>0</v>
      </c>
      <c r="BN421" s="401">
        <f t="shared" si="574"/>
        <v>0</v>
      </c>
      <c r="BO421" s="401">
        <f t="shared" si="574"/>
        <v>0</v>
      </c>
      <c r="BP421" s="401">
        <f t="shared" si="574"/>
        <v>0</v>
      </c>
    </row>
    <row r="422" spans="2:68" outlineLevel="1" x14ac:dyDescent="0.2">
      <c r="B422" s="20"/>
      <c r="C422" s="80"/>
      <c r="D422" s="81" t="str">
        <f>$D$266</f>
        <v>Fire risk</v>
      </c>
      <c r="E422" s="80"/>
      <c r="F422" s="80"/>
      <c r="G422" s="477">
        <f>Assumptions!$H$199</f>
        <v>0</v>
      </c>
      <c r="H422" s="477">
        <f>Assumptions!$I$199</f>
        <v>1</v>
      </c>
      <c r="I422" s="83"/>
      <c r="J422" s="85" t="str">
        <f>Assumptions!$K$199</f>
        <v>Fire risk</v>
      </c>
      <c r="K422" s="401">
        <f t="shared" si="571"/>
        <v>0</v>
      </c>
      <c r="L422" s="436">
        <f t="shared" si="572"/>
        <v>0</v>
      </c>
      <c r="M422" s="457"/>
      <c r="N422" s="455"/>
      <c r="O422" s="455"/>
      <c r="P422" s="455"/>
      <c r="Q422" s="455"/>
      <c r="R422" s="401">
        <f t="shared" ref="R422:AW422" si="575">$H422*R266</f>
        <v>0</v>
      </c>
      <c r="S422" s="401">
        <f t="shared" si="575"/>
        <v>0</v>
      </c>
      <c r="T422" s="401">
        <f t="shared" si="575"/>
        <v>0</v>
      </c>
      <c r="U422" s="401">
        <f t="shared" si="575"/>
        <v>0</v>
      </c>
      <c r="V422" s="401">
        <f t="shared" si="575"/>
        <v>0</v>
      </c>
      <c r="W422" s="401">
        <f t="shared" si="575"/>
        <v>0</v>
      </c>
      <c r="X422" s="401">
        <f t="shared" si="575"/>
        <v>0</v>
      </c>
      <c r="Y422" s="401">
        <f t="shared" si="575"/>
        <v>0</v>
      </c>
      <c r="Z422" s="401">
        <f t="shared" si="575"/>
        <v>0</v>
      </c>
      <c r="AA422" s="401">
        <f t="shared" si="575"/>
        <v>0</v>
      </c>
      <c r="AB422" s="401">
        <f t="shared" si="575"/>
        <v>0</v>
      </c>
      <c r="AC422" s="401">
        <f t="shared" si="575"/>
        <v>0</v>
      </c>
      <c r="AD422" s="401">
        <f t="shared" si="575"/>
        <v>0</v>
      </c>
      <c r="AE422" s="401">
        <f t="shared" si="575"/>
        <v>0</v>
      </c>
      <c r="AF422" s="401">
        <f t="shared" si="575"/>
        <v>0</v>
      </c>
      <c r="AG422" s="401">
        <f t="shared" si="575"/>
        <v>0</v>
      </c>
      <c r="AH422" s="401">
        <f t="shared" si="575"/>
        <v>0</v>
      </c>
      <c r="AI422" s="401">
        <f t="shared" si="575"/>
        <v>0</v>
      </c>
      <c r="AJ422" s="401">
        <f t="shared" si="575"/>
        <v>0</v>
      </c>
      <c r="AK422" s="401">
        <f t="shared" si="575"/>
        <v>0</v>
      </c>
      <c r="AL422" s="401">
        <f t="shared" si="575"/>
        <v>0</v>
      </c>
      <c r="AM422" s="401">
        <f t="shared" si="575"/>
        <v>0</v>
      </c>
      <c r="AN422" s="401">
        <f t="shared" si="575"/>
        <v>0</v>
      </c>
      <c r="AO422" s="401">
        <f t="shared" si="575"/>
        <v>0</v>
      </c>
      <c r="AP422" s="401">
        <f t="shared" si="575"/>
        <v>0</v>
      </c>
      <c r="AQ422" s="401">
        <f t="shared" si="575"/>
        <v>0</v>
      </c>
      <c r="AR422" s="401">
        <f t="shared" si="575"/>
        <v>0</v>
      </c>
      <c r="AS422" s="401">
        <f t="shared" si="575"/>
        <v>0</v>
      </c>
      <c r="AT422" s="401">
        <f t="shared" si="575"/>
        <v>0</v>
      </c>
      <c r="AU422" s="401">
        <f t="shared" si="575"/>
        <v>0</v>
      </c>
      <c r="AV422" s="401">
        <f t="shared" si="575"/>
        <v>0</v>
      </c>
      <c r="AW422" s="401">
        <f t="shared" si="575"/>
        <v>0</v>
      </c>
      <c r="AX422" s="401">
        <f t="shared" ref="AX422:BP422" si="576">$H422*AX266</f>
        <v>0</v>
      </c>
      <c r="AY422" s="401">
        <f t="shared" si="576"/>
        <v>0</v>
      </c>
      <c r="AZ422" s="401">
        <f t="shared" si="576"/>
        <v>0</v>
      </c>
      <c r="BA422" s="401">
        <f t="shared" si="576"/>
        <v>0</v>
      </c>
      <c r="BB422" s="401">
        <f t="shared" si="576"/>
        <v>0</v>
      </c>
      <c r="BC422" s="401">
        <f t="shared" si="576"/>
        <v>0</v>
      </c>
      <c r="BD422" s="401">
        <f t="shared" si="576"/>
        <v>0</v>
      </c>
      <c r="BE422" s="401">
        <f t="shared" si="576"/>
        <v>0</v>
      </c>
      <c r="BF422" s="401">
        <f t="shared" si="576"/>
        <v>0</v>
      </c>
      <c r="BG422" s="401">
        <f t="shared" si="576"/>
        <v>0</v>
      </c>
      <c r="BH422" s="401">
        <f t="shared" si="576"/>
        <v>0</v>
      </c>
      <c r="BI422" s="401">
        <f t="shared" si="576"/>
        <v>0</v>
      </c>
      <c r="BJ422" s="401">
        <f t="shared" si="576"/>
        <v>0</v>
      </c>
      <c r="BK422" s="401">
        <f t="shared" si="576"/>
        <v>0</v>
      </c>
      <c r="BL422" s="401">
        <f t="shared" si="576"/>
        <v>0</v>
      </c>
      <c r="BM422" s="401">
        <f t="shared" si="576"/>
        <v>0</v>
      </c>
      <c r="BN422" s="401">
        <f t="shared" si="576"/>
        <v>0</v>
      </c>
      <c r="BO422" s="401">
        <f t="shared" si="576"/>
        <v>0</v>
      </c>
      <c r="BP422" s="401">
        <f t="shared" si="576"/>
        <v>0</v>
      </c>
    </row>
    <row r="423" spans="2:68" outlineLevel="1" x14ac:dyDescent="0.2">
      <c r="B423" s="20"/>
      <c r="C423" s="80"/>
      <c r="D423" s="81" t="str">
        <f>$D$267</f>
        <v>Environment risk</v>
      </c>
      <c r="E423" s="80"/>
      <c r="F423" s="80"/>
      <c r="G423" s="477">
        <f>Assumptions!$H$200</f>
        <v>0</v>
      </c>
      <c r="H423" s="477">
        <f>Assumptions!$I$200</f>
        <v>1</v>
      </c>
      <c r="I423" s="83"/>
      <c r="J423" s="85" t="str">
        <f>Assumptions!$K$200</f>
        <v>Environment risk</v>
      </c>
      <c r="K423" s="401">
        <f t="shared" si="571"/>
        <v>0</v>
      </c>
      <c r="L423" s="436">
        <f t="shared" si="572"/>
        <v>0</v>
      </c>
      <c r="M423" s="457"/>
      <c r="N423" s="455"/>
      <c r="O423" s="455"/>
      <c r="P423" s="455"/>
      <c r="Q423" s="455"/>
      <c r="R423" s="401">
        <f t="shared" ref="R423:AW423" si="577">$H423*R267</f>
        <v>0</v>
      </c>
      <c r="S423" s="401">
        <f t="shared" si="577"/>
        <v>0</v>
      </c>
      <c r="T423" s="401">
        <f t="shared" si="577"/>
        <v>0</v>
      </c>
      <c r="U423" s="401">
        <f t="shared" si="577"/>
        <v>0</v>
      </c>
      <c r="V423" s="401">
        <f t="shared" si="577"/>
        <v>0</v>
      </c>
      <c r="W423" s="401">
        <f t="shared" si="577"/>
        <v>0</v>
      </c>
      <c r="X423" s="401">
        <f t="shared" si="577"/>
        <v>0</v>
      </c>
      <c r="Y423" s="401">
        <f t="shared" si="577"/>
        <v>0</v>
      </c>
      <c r="Z423" s="401">
        <f t="shared" si="577"/>
        <v>0</v>
      </c>
      <c r="AA423" s="401">
        <f t="shared" si="577"/>
        <v>0</v>
      </c>
      <c r="AB423" s="401">
        <f t="shared" si="577"/>
        <v>0</v>
      </c>
      <c r="AC423" s="401">
        <f t="shared" si="577"/>
        <v>0</v>
      </c>
      <c r="AD423" s="401">
        <f t="shared" si="577"/>
        <v>0</v>
      </c>
      <c r="AE423" s="401">
        <f t="shared" si="577"/>
        <v>0</v>
      </c>
      <c r="AF423" s="401">
        <f t="shared" si="577"/>
        <v>0</v>
      </c>
      <c r="AG423" s="401">
        <f t="shared" si="577"/>
        <v>0</v>
      </c>
      <c r="AH423" s="401">
        <f t="shared" si="577"/>
        <v>0</v>
      </c>
      <c r="AI423" s="401">
        <f t="shared" si="577"/>
        <v>0</v>
      </c>
      <c r="AJ423" s="401">
        <f t="shared" si="577"/>
        <v>0</v>
      </c>
      <c r="AK423" s="401">
        <f t="shared" si="577"/>
        <v>0</v>
      </c>
      <c r="AL423" s="401">
        <f t="shared" si="577"/>
        <v>0</v>
      </c>
      <c r="AM423" s="401">
        <f t="shared" si="577"/>
        <v>0</v>
      </c>
      <c r="AN423" s="401">
        <f t="shared" si="577"/>
        <v>0</v>
      </c>
      <c r="AO423" s="401">
        <f t="shared" si="577"/>
        <v>0</v>
      </c>
      <c r="AP423" s="401">
        <f t="shared" si="577"/>
        <v>0</v>
      </c>
      <c r="AQ423" s="401">
        <f t="shared" si="577"/>
        <v>0</v>
      </c>
      <c r="AR423" s="401">
        <f t="shared" si="577"/>
        <v>0</v>
      </c>
      <c r="AS423" s="401">
        <f t="shared" si="577"/>
        <v>0</v>
      </c>
      <c r="AT423" s="401">
        <f t="shared" si="577"/>
        <v>0</v>
      </c>
      <c r="AU423" s="401">
        <f t="shared" si="577"/>
        <v>0</v>
      </c>
      <c r="AV423" s="401">
        <f t="shared" si="577"/>
        <v>0</v>
      </c>
      <c r="AW423" s="401">
        <f t="shared" si="577"/>
        <v>0</v>
      </c>
      <c r="AX423" s="401">
        <f t="shared" ref="AX423:BP423" si="578">$H423*AX267</f>
        <v>0</v>
      </c>
      <c r="AY423" s="401">
        <f t="shared" si="578"/>
        <v>0</v>
      </c>
      <c r="AZ423" s="401">
        <f t="shared" si="578"/>
        <v>0</v>
      </c>
      <c r="BA423" s="401">
        <f t="shared" si="578"/>
        <v>0</v>
      </c>
      <c r="BB423" s="401">
        <f t="shared" si="578"/>
        <v>0</v>
      </c>
      <c r="BC423" s="401">
        <f t="shared" si="578"/>
        <v>0</v>
      </c>
      <c r="BD423" s="401">
        <f t="shared" si="578"/>
        <v>0</v>
      </c>
      <c r="BE423" s="401">
        <f t="shared" si="578"/>
        <v>0</v>
      </c>
      <c r="BF423" s="401">
        <f t="shared" si="578"/>
        <v>0</v>
      </c>
      <c r="BG423" s="401">
        <f t="shared" si="578"/>
        <v>0</v>
      </c>
      <c r="BH423" s="401">
        <f t="shared" si="578"/>
        <v>0</v>
      </c>
      <c r="BI423" s="401">
        <f t="shared" si="578"/>
        <v>0</v>
      </c>
      <c r="BJ423" s="401">
        <f t="shared" si="578"/>
        <v>0</v>
      </c>
      <c r="BK423" s="401">
        <f t="shared" si="578"/>
        <v>0</v>
      </c>
      <c r="BL423" s="401">
        <f t="shared" si="578"/>
        <v>0</v>
      </c>
      <c r="BM423" s="401">
        <f t="shared" si="578"/>
        <v>0</v>
      </c>
      <c r="BN423" s="401">
        <f t="shared" si="578"/>
        <v>0</v>
      </c>
      <c r="BO423" s="401">
        <f t="shared" si="578"/>
        <v>0</v>
      </c>
      <c r="BP423" s="401">
        <f t="shared" si="578"/>
        <v>0</v>
      </c>
    </row>
    <row r="424" spans="2:68" outlineLevel="1" x14ac:dyDescent="0.2">
      <c r="B424" s="20"/>
      <c r="C424" s="80"/>
      <c r="D424" s="81" t="str">
        <f>$D$268</f>
        <v>Network asset failure EUE</v>
      </c>
      <c r="E424" s="80"/>
      <c r="F424" s="80"/>
      <c r="G424" s="477">
        <f>Assumptions!$H$201</f>
        <v>0</v>
      </c>
      <c r="H424" s="477">
        <f>Assumptions!$I$201</f>
        <v>1</v>
      </c>
      <c r="I424" s="83"/>
      <c r="J424" s="85" t="str">
        <f>Assumptions!$K$201</f>
        <v>Network asset failure EUE</v>
      </c>
      <c r="K424" s="401">
        <f t="shared" si="571"/>
        <v>8733838.3751617204</v>
      </c>
      <c r="L424" s="436">
        <f t="shared" si="572"/>
        <v>10652719.644212171</v>
      </c>
      <c r="M424" s="457"/>
      <c r="N424" s="455"/>
      <c r="O424" s="455"/>
      <c r="P424" s="455"/>
      <c r="Q424" s="455"/>
      <c r="R424" s="401">
        <f t="shared" ref="R424:AW424" si="579">$H424*R268</f>
        <v>0</v>
      </c>
      <c r="S424" s="401">
        <f t="shared" si="579"/>
        <v>0</v>
      </c>
      <c r="T424" s="401">
        <f t="shared" si="579"/>
        <v>0</v>
      </c>
      <c r="U424" s="401">
        <f t="shared" si="579"/>
        <v>1601352.3937009159</v>
      </c>
      <c r="V424" s="401">
        <f t="shared" si="579"/>
        <v>1624786.4309155978</v>
      </c>
      <c r="W424" s="401">
        <f t="shared" si="579"/>
        <v>1635755.0953501621</v>
      </c>
      <c r="X424" s="401">
        <f t="shared" si="579"/>
        <v>1636887.7871156838</v>
      </c>
      <c r="Y424" s="401">
        <f t="shared" si="579"/>
        <v>1661575.1748519249</v>
      </c>
      <c r="Z424" s="401">
        <f t="shared" si="579"/>
        <v>830787.58742596244</v>
      </c>
      <c r="AA424" s="401">
        <f t="shared" si="579"/>
        <v>830787.58742596244</v>
      </c>
      <c r="AB424" s="401">
        <f t="shared" si="579"/>
        <v>830787.58742596244</v>
      </c>
      <c r="AC424" s="401">
        <f t="shared" si="579"/>
        <v>0</v>
      </c>
      <c r="AD424" s="401">
        <f t="shared" si="579"/>
        <v>0</v>
      </c>
      <c r="AE424" s="401">
        <f t="shared" si="579"/>
        <v>0</v>
      </c>
      <c r="AF424" s="401">
        <f t="shared" si="579"/>
        <v>0</v>
      </c>
      <c r="AG424" s="401">
        <f t="shared" si="579"/>
        <v>0</v>
      </c>
      <c r="AH424" s="401">
        <f t="shared" si="579"/>
        <v>0</v>
      </c>
      <c r="AI424" s="401">
        <f t="shared" si="579"/>
        <v>0</v>
      </c>
      <c r="AJ424" s="401">
        <f t="shared" si="579"/>
        <v>0</v>
      </c>
      <c r="AK424" s="401">
        <f t="shared" si="579"/>
        <v>0</v>
      </c>
      <c r="AL424" s="401">
        <f t="shared" si="579"/>
        <v>0</v>
      </c>
      <c r="AM424" s="401">
        <f t="shared" si="579"/>
        <v>0</v>
      </c>
      <c r="AN424" s="401">
        <f t="shared" si="579"/>
        <v>0</v>
      </c>
      <c r="AO424" s="401">
        <f t="shared" si="579"/>
        <v>0</v>
      </c>
      <c r="AP424" s="401">
        <f t="shared" si="579"/>
        <v>0</v>
      </c>
      <c r="AQ424" s="401">
        <f t="shared" si="579"/>
        <v>0</v>
      </c>
      <c r="AR424" s="401">
        <f t="shared" si="579"/>
        <v>0</v>
      </c>
      <c r="AS424" s="401">
        <f t="shared" si="579"/>
        <v>0</v>
      </c>
      <c r="AT424" s="401">
        <f t="shared" si="579"/>
        <v>0</v>
      </c>
      <c r="AU424" s="401">
        <f t="shared" si="579"/>
        <v>0</v>
      </c>
      <c r="AV424" s="401">
        <f t="shared" si="579"/>
        <v>0</v>
      </c>
      <c r="AW424" s="401">
        <f t="shared" si="579"/>
        <v>0</v>
      </c>
      <c r="AX424" s="401">
        <f t="shared" ref="AX424:BP424" si="580">$H424*AX268</f>
        <v>0</v>
      </c>
      <c r="AY424" s="401">
        <f t="shared" si="580"/>
        <v>0</v>
      </c>
      <c r="AZ424" s="401">
        <f t="shared" si="580"/>
        <v>0</v>
      </c>
      <c r="BA424" s="401">
        <f t="shared" si="580"/>
        <v>0</v>
      </c>
      <c r="BB424" s="401">
        <f t="shared" si="580"/>
        <v>0</v>
      </c>
      <c r="BC424" s="401">
        <f t="shared" si="580"/>
        <v>0</v>
      </c>
      <c r="BD424" s="401">
        <f t="shared" si="580"/>
        <v>0</v>
      </c>
      <c r="BE424" s="401">
        <f t="shared" si="580"/>
        <v>0</v>
      </c>
      <c r="BF424" s="401">
        <f t="shared" si="580"/>
        <v>0</v>
      </c>
      <c r="BG424" s="401">
        <f t="shared" si="580"/>
        <v>0</v>
      </c>
      <c r="BH424" s="401">
        <f t="shared" si="580"/>
        <v>0</v>
      </c>
      <c r="BI424" s="401">
        <f t="shared" si="580"/>
        <v>0</v>
      </c>
      <c r="BJ424" s="401">
        <f t="shared" si="580"/>
        <v>0</v>
      </c>
      <c r="BK424" s="401">
        <f t="shared" si="580"/>
        <v>0</v>
      </c>
      <c r="BL424" s="401">
        <f t="shared" si="580"/>
        <v>0</v>
      </c>
      <c r="BM424" s="401">
        <f t="shared" si="580"/>
        <v>0</v>
      </c>
      <c r="BN424" s="401">
        <f t="shared" si="580"/>
        <v>0</v>
      </c>
      <c r="BO424" s="401">
        <f t="shared" si="580"/>
        <v>0</v>
      </c>
      <c r="BP424" s="401">
        <f t="shared" si="580"/>
        <v>0</v>
      </c>
    </row>
    <row r="425" spans="2:68" outlineLevel="1" x14ac:dyDescent="0.2">
      <c r="B425" s="20"/>
      <c r="C425" s="80"/>
      <c r="D425" s="81" t="str">
        <f>$D$269</f>
        <v>Reactive replacement cost</v>
      </c>
      <c r="E425" s="80"/>
      <c r="F425" s="80"/>
      <c r="G425" s="477">
        <f>Assumptions!$H$202</f>
        <v>0</v>
      </c>
      <c r="H425" s="477">
        <f>Assumptions!$I$202</f>
        <v>1</v>
      </c>
      <c r="I425" s="83"/>
      <c r="J425" s="85" t="str">
        <f>Assumptions!$K$202</f>
        <v>Reactive replacement cost</v>
      </c>
      <c r="K425" s="401">
        <f t="shared" si="571"/>
        <v>0</v>
      </c>
      <c r="L425" s="436">
        <f t="shared" si="572"/>
        <v>0</v>
      </c>
      <c r="M425" s="457"/>
      <c r="N425" s="455"/>
      <c r="O425" s="455"/>
      <c r="P425" s="455"/>
      <c r="Q425" s="455"/>
      <c r="R425" s="401">
        <f t="shared" ref="R425:AW425" si="581">$H425*R269</f>
        <v>0</v>
      </c>
      <c r="S425" s="401">
        <f t="shared" si="581"/>
        <v>0</v>
      </c>
      <c r="T425" s="401">
        <f t="shared" si="581"/>
        <v>0</v>
      </c>
      <c r="U425" s="401">
        <f t="shared" si="581"/>
        <v>0</v>
      </c>
      <c r="V425" s="401">
        <f t="shared" si="581"/>
        <v>0</v>
      </c>
      <c r="W425" s="401">
        <f t="shared" si="581"/>
        <v>0</v>
      </c>
      <c r="X425" s="401">
        <f t="shared" si="581"/>
        <v>0</v>
      </c>
      <c r="Y425" s="401">
        <f t="shared" si="581"/>
        <v>0</v>
      </c>
      <c r="Z425" s="401">
        <f t="shared" si="581"/>
        <v>0</v>
      </c>
      <c r="AA425" s="401">
        <f t="shared" si="581"/>
        <v>0</v>
      </c>
      <c r="AB425" s="401">
        <f t="shared" si="581"/>
        <v>0</v>
      </c>
      <c r="AC425" s="401">
        <f t="shared" si="581"/>
        <v>0</v>
      </c>
      <c r="AD425" s="401">
        <f t="shared" si="581"/>
        <v>0</v>
      </c>
      <c r="AE425" s="401">
        <f t="shared" si="581"/>
        <v>0</v>
      </c>
      <c r="AF425" s="401">
        <f t="shared" si="581"/>
        <v>0</v>
      </c>
      <c r="AG425" s="401">
        <f t="shared" si="581"/>
        <v>0</v>
      </c>
      <c r="AH425" s="401">
        <f t="shared" si="581"/>
        <v>0</v>
      </c>
      <c r="AI425" s="401">
        <f t="shared" si="581"/>
        <v>0</v>
      </c>
      <c r="AJ425" s="401">
        <f t="shared" si="581"/>
        <v>0</v>
      </c>
      <c r="AK425" s="401">
        <f t="shared" si="581"/>
        <v>0</v>
      </c>
      <c r="AL425" s="401">
        <f t="shared" si="581"/>
        <v>0</v>
      </c>
      <c r="AM425" s="401">
        <f t="shared" si="581"/>
        <v>0</v>
      </c>
      <c r="AN425" s="401">
        <f t="shared" si="581"/>
        <v>0</v>
      </c>
      <c r="AO425" s="401">
        <f t="shared" si="581"/>
        <v>0</v>
      </c>
      <c r="AP425" s="401">
        <f t="shared" si="581"/>
        <v>0</v>
      </c>
      <c r="AQ425" s="401">
        <f t="shared" si="581"/>
        <v>0</v>
      </c>
      <c r="AR425" s="401">
        <f t="shared" si="581"/>
        <v>0</v>
      </c>
      <c r="AS425" s="401">
        <f t="shared" si="581"/>
        <v>0</v>
      </c>
      <c r="AT425" s="401">
        <f t="shared" si="581"/>
        <v>0</v>
      </c>
      <c r="AU425" s="401">
        <f t="shared" si="581"/>
        <v>0</v>
      </c>
      <c r="AV425" s="401">
        <f t="shared" si="581"/>
        <v>0</v>
      </c>
      <c r="AW425" s="401">
        <f t="shared" si="581"/>
        <v>0</v>
      </c>
      <c r="AX425" s="401">
        <f t="shared" ref="AX425:BP425" si="582">$H425*AX269</f>
        <v>0</v>
      </c>
      <c r="AY425" s="401">
        <f t="shared" si="582"/>
        <v>0</v>
      </c>
      <c r="AZ425" s="401">
        <f t="shared" si="582"/>
        <v>0</v>
      </c>
      <c r="BA425" s="401">
        <f t="shared" si="582"/>
        <v>0</v>
      </c>
      <c r="BB425" s="401">
        <f t="shared" si="582"/>
        <v>0</v>
      </c>
      <c r="BC425" s="401">
        <f t="shared" si="582"/>
        <v>0</v>
      </c>
      <c r="BD425" s="401">
        <f t="shared" si="582"/>
        <v>0</v>
      </c>
      <c r="BE425" s="401">
        <f t="shared" si="582"/>
        <v>0</v>
      </c>
      <c r="BF425" s="401">
        <f t="shared" si="582"/>
        <v>0</v>
      </c>
      <c r="BG425" s="401">
        <f t="shared" si="582"/>
        <v>0</v>
      </c>
      <c r="BH425" s="401">
        <f t="shared" si="582"/>
        <v>0</v>
      </c>
      <c r="BI425" s="401">
        <f t="shared" si="582"/>
        <v>0</v>
      </c>
      <c r="BJ425" s="401">
        <f t="shared" si="582"/>
        <v>0</v>
      </c>
      <c r="BK425" s="401">
        <f t="shared" si="582"/>
        <v>0</v>
      </c>
      <c r="BL425" s="401">
        <f t="shared" si="582"/>
        <v>0</v>
      </c>
      <c r="BM425" s="401">
        <f t="shared" si="582"/>
        <v>0</v>
      </c>
      <c r="BN425" s="401">
        <f t="shared" si="582"/>
        <v>0</v>
      </c>
      <c r="BO425" s="401">
        <f t="shared" si="582"/>
        <v>0</v>
      </c>
      <c r="BP425" s="401">
        <f t="shared" si="582"/>
        <v>0</v>
      </c>
    </row>
    <row r="426" spans="2:68" outlineLevel="1" x14ac:dyDescent="0.2">
      <c r="B426" s="20"/>
      <c r="C426" s="80"/>
      <c r="D426" s="81" t="str">
        <f>$D$270</f>
        <v>3rd party property damage risk</v>
      </c>
      <c r="E426" s="80"/>
      <c r="F426" s="80"/>
      <c r="G426" s="477">
        <f>Assumptions!$H$203</f>
        <v>1</v>
      </c>
      <c r="H426" s="477">
        <f>Assumptions!$I$203</f>
        <v>0</v>
      </c>
      <c r="I426" s="83"/>
      <c r="J426" s="85" t="str">
        <f>Assumptions!$K$203</f>
        <v>3rd party property damage risk</v>
      </c>
      <c r="K426" s="401">
        <f t="shared" si="571"/>
        <v>0</v>
      </c>
      <c r="L426" s="436">
        <f t="shared" si="572"/>
        <v>0</v>
      </c>
      <c r="M426" s="457"/>
      <c r="N426" s="455"/>
      <c r="O426" s="455"/>
      <c r="P426" s="455"/>
      <c r="Q426" s="455"/>
      <c r="R426" s="401">
        <f t="shared" ref="R426:AW426" si="583">$H426*R270</f>
        <v>0</v>
      </c>
      <c r="S426" s="401">
        <f t="shared" si="583"/>
        <v>0</v>
      </c>
      <c r="T426" s="401">
        <f t="shared" si="583"/>
        <v>0</v>
      </c>
      <c r="U426" s="401">
        <f t="shared" si="583"/>
        <v>0</v>
      </c>
      <c r="V426" s="401">
        <f t="shared" si="583"/>
        <v>0</v>
      </c>
      <c r="W426" s="401">
        <f t="shared" si="583"/>
        <v>0</v>
      </c>
      <c r="X426" s="401">
        <f t="shared" si="583"/>
        <v>0</v>
      </c>
      <c r="Y426" s="401">
        <f t="shared" si="583"/>
        <v>0</v>
      </c>
      <c r="Z426" s="401">
        <f t="shared" si="583"/>
        <v>0</v>
      </c>
      <c r="AA426" s="401">
        <f t="shared" si="583"/>
        <v>0</v>
      </c>
      <c r="AB426" s="401">
        <f t="shared" si="583"/>
        <v>0</v>
      </c>
      <c r="AC426" s="401">
        <f t="shared" si="583"/>
        <v>0</v>
      </c>
      <c r="AD426" s="401">
        <f t="shared" si="583"/>
        <v>0</v>
      </c>
      <c r="AE426" s="401">
        <f t="shared" si="583"/>
        <v>0</v>
      </c>
      <c r="AF426" s="401">
        <f t="shared" si="583"/>
        <v>0</v>
      </c>
      <c r="AG426" s="401">
        <f t="shared" si="583"/>
        <v>0</v>
      </c>
      <c r="AH426" s="401">
        <f t="shared" si="583"/>
        <v>0</v>
      </c>
      <c r="AI426" s="401">
        <f t="shared" si="583"/>
        <v>0</v>
      </c>
      <c r="AJ426" s="401">
        <f t="shared" si="583"/>
        <v>0</v>
      </c>
      <c r="AK426" s="401">
        <f t="shared" si="583"/>
        <v>0</v>
      </c>
      <c r="AL426" s="401">
        <f t="shared" si="583"/>
        <v>0</v>
      </c>
      <c r="AM426" s="401">
        <f t="shared" si="583"/>
        <v>0</v>
      </c>
      <c r="AN426" s="401">
        <f t="shared" si="583"/>
        <v>0</v>
      </c>
      <c r="AO426" s="401">
        <f t="shared" si="583"/>
        <v>0</v>
      </c>
      <c r="AP426" s="401">
        <f t="shared" si="583"/>
        <v>0</v>
      </c>
      <c r="AQ426" s="401">
        <f t="shared" si="583"/>
        <v>0</v>
      </c>
      <c r="AR426" s="401">
        <f t="shared" si="583"/>
        <v>0</v>
      </c>
      <c r="AS426" s="401">
        <f t="shared" si="583"/>
        <v>0</v>
      </c>
      <c r="AT426" s="401">
        <f t="shared" si="583"/>
        <v>0</v>
      </c>
      <c r="AU426" s="401">
        <f t="shared" si="583"/>
        <v>0</v>
      </c>
      <c r="AV426" s="401">
        <f t="shared" si="583"/>
        <v>0</v>
      </c>
      <c r="AW426" s="401">
        <f t="shared" si="583"/>
        <v>0</v>
      </c>
      <c r="AX426" s="401">
        <f t="shared" ref="AX426:BP426" si="584">$H426*AX270</f>
        <v>0</v>
      </c>
      <c r="AY426" s="401">
        <f t="shared" si="584"/>
        <v>0</v>
      </c>
      <c r="AZ426" s="401">
        <f t="shared" si="584"/>
        <v>0</v>
      </c>
      <c r="BA426" s="401">
        <f t="shared" si="584"/>
        <v>0</v>
      </c>
      <c r="BB426" s="401">
        <f t="shared" si="584"/>
        <v>0</v>
      </c>
      <c r="BC426" s="401">
        <f t="shared" si="584"/>
        <v>0</v>
      </c>
      <c r="BD426" s="401">
        <f t="shared" si="584"/>
        <v>0</v>
      </c>
      <c r="BE426" s="401">
        <f t="shared" si="584"/>
        <v>0</v>
      </c>
      <c r="BF426" s="401">
        <f t="shared" si="584"/>
        <v>0</v>
      </c>
      <c r="BG426" s="401">
        <f t="shared" si="584"/>
        <v>0</v>
      </c>
      <c r="BH426" s="401">
        <f t="shared" si="584"/>
        <v>0</v>
      </c>
      <c r="BI426" s="401">
        <f t="shared" si="584"/>
        <v>0</v>
      </c>
      <c r="BJ426" s="401">
        <f t="shared" si="584"/>
        <v>0</v>
      </c>
      <c r="BK426" s="401">
        <f t="shared" si="584"/>
        <v>0</v>
      </c>
      <c r="BL426" s="401">
        <f t="shared" si="584"/>
        <v>0</v>
      </c>
      <c r="BM426" s="401">
        <f t="shared" si="584"/>
        <v>0</v>
      </c>
      <c r="BN426" s="401">
        <f t="shared" si="584"/>
        <v>0</v>
      </c>
      <c r="BO426" s="401">
        <f t="shared" si="584"/>
        <v>0</v>
      </c>
      <c r="BP426" s="401">
        <f t="shared" si="584"/>
        <v>0</v>
      </c>
    </row>
    <row r="427" spans="2:68" outlineLevel="1" x14ac:dyDescent="0.2">
      <c r="B427" s="20"/>
      <c r="C427" s="80"/>
      <c r="D427" s="81" t="str">
        <f>$D$271</f>
        <v>Construction EUE risk</v>
      </c>
      <c r="E427" s="80"/>
      <c r="F427" s="80"/>
      <c r="G427" s="477">
        <f>Assumptions!$H$204</f>
        <v>0</v>
      </c>
      <c r="H427" s="477">
        <f>Assumptions!$I$204</f>
        <v>1</v>
      </c>
      <c r="I427" s="83"/>
      <c r="J427" s="85" t="str">
        <f>Assumptions!$K$204</f>
        <v>Construction EUE risk</v>
      </c>
      <c r="K427" s="401">
        <f t="shared" si="571"/>
        <v>0</v>
      </c>
      <c r="L427" s="436">
        <f t="shared" si="572"/>
        <v>0</v>
      </c>
      <c r="M427" s="457"/>
      <c r="N427" s="455"/>
      <c r="O427" s="455"/>
      <c r="P427" s="455"/>
      <c r="Q427" s="455"/>
      <c r="R427" s="401">
        <f t="shared" ref="R427:AW427" si="585">$H427*R271</f>
        <v>0</v>
      </c>
      <c r="S427" s="401">
        <f t="shared" si="585"/>
        <v>0</v>
      </c>
      <c r="T427" s="401">
        <f t="shared" si="585"/>
        <v>0</v>
      </c>
      <c r="U427" s="401">
        <f t="shared" si="585"/>
        <v>0</v>
      </c>
      <c r="V427" s="401">
        <f t="shared" si="585"/>
        <v>0</v>
      </c>
      <c r="W427" s="401">
        <f t="shared" si="585"/>
        <v>0</v>
      </c>
      <c r="X427" s="401">
        <f t="shared" si="585"/>
        <v>0</v>
      </c>
      <c r="Y427" s="401">
        <f t="shared" si="585"/>
        <v>0</v>
      </c>
      <c r="Z427" s="401">
        <f t="shared" si="585"/>
        <v>0</v>
      </c>
      <c r="AA427" s="401">
        <f t="shared" si="585"/>
        <v>0</v>
      </c>
      <c r="AB427" s="401">
        <f t="shared" si="585"/>
        <v>0</v>
      </c>
      <c r="AC427" s="401">
        <f t="shared" si="585"/>
        <v>0</v>
      </c>
      <c r="AD427" s="401">
        <f t="shared" si="585"/>
        <v>0</v>
      </c>
      <c r="AE427" s="401">
        <f t="shared" si="585"/>
        <v>0</v>
      </c>
      <c r="AF427" s="401">
        <f t="shared" si="585"/>
        <v>0</v>
      </c>
      <c r="AG427" s="401">
        <f t="shared" si="585"/>
        <v>0</v>
      </c>
      <c r="AH427" s="401">
        <f t="shared" si="585"/>
        <v>0</v>
      </c>
      <c r="AI427" s="401">
        <f t="shared" si="585"/>
        <v>0</v>
      </c>
      <c r="AJ427" s="401">
        <f t="shared" si="585"/>
        <v>0</v>
      </c>
      <c r="AK427" s="401">
        <f t="shared" si="585"/>
        <v>0</v>
      </c>
      <c r="AL427" s="401">
        <f t="shared" si="585"/>
        <v>0</v>
      </c>
      <c r="AM427" s="401">
        <f t="shared" si="585"/>
        <v>0</v>
      </c>
      <c r="AN427" s="401">
        <f t="shared" si="585"/>
        <v>0</v>
      </c>
      <c r="AO427" s="401">
        <f t="shared" si="585"/>
        <v>0</v>
      </c>
      <c r="AP427" s="401">
        <f t="shared" si="585"/>
        <v>0</v>
      </c>
      <c r="AQ427" s="401">
        <f t="shared" si="585"/>
        <v>0</v>
      </c>
      <c r="AR427" s="401">
        <f t="shared" si="585"/>
        <v>0</v>
      </c>
      <c r="AS427" s="401">
        <f t="shared" si="585"/>
        <v>0</v>
      </c>
      <c r="AT427" s="401">
        <f t="shared" si="585"/>
        <v>0</v>
      </c>
      <c r="AU427" s="401">
        <f t="shared" si="585"/>
        <v>0</v>
      </c>
      <c r="AV427" s="401">
        <f t="shared" si="585"/>
        <v>0</v>
      </c>
      <c r="AW427" s="401">
        <f t="shared" si="585"/>
        <v>0</v>
      </c>
      <c r="AX427" s="401">
        <f t="shared" ref="AX427:BP427" si="586">$H427*AX271</f>
        <v>0</v>
      </c>
      <c r="AY427" s="401">
        <f t="shared" si="586"/>
        <v>0</v>
      </c>
      <c r="AZ427" s="401">
        <f t="shared" si="586"/>
        <v>0</v>
      </c>
      <c r="BA427" s="401">
        <f t="shared" si="586"/>
        <v>0</v>
      </c>
      <c r="BB427" s="401">
        <f t="shared" si="586"/>
        <v>0</v>
      </c>
      <c r="BC427" s="401">
        <f t="shared" si="586"/>
        <v>0</v>
      </c>
      <c r="BD427" s="401">
        <f t="shared" si="586"/>
        <v>0</v>
      </c>
      <c r="BE427" s="401">
        <f t="shared" si="586"/>
        <v>0</v>
      </c>
      <c r="BF427" s="401">
        <f t="shared" si="586"/>
        <v>0</v>
      </c>
      <c r="BG427" s="401">
        <f t="shared" si="586"/>
        <v>0</v>
      </c>
      <c r="BH427" s="401">
        <f t="shared" si="586"/>
        <v>0</v>
      </c>
      <c r="BI427" s="401">
        <f t="shared" si="586"/>
        <v>0</v>
      </c>
      <c r="BJ427" s="401">
        <f t="shared" si="586"/>
        <v>0</v>
      </c>
      <c r="BK427" s="401">
        <f t="shared" si="586"/>
        <v>0</v>
      </c>
      <c r="BL427" s="401">
        <f t="shared" si="586"/>
        <v>0</v>
      </c>
      <c r="BM427" s="401">
        <f t="shared" si="586"/>
        <v>0</v>
      </c>
      <c r="BN427" s="401">
        <f t="shared" si="586"/>
        <v>0</v>
      </c>
      <c r="BO427" s="401">
        <f t="shared" si="586"/>
        <v>0</v>
      </c>
      <c r="BP427" s="401">
        <f t="shared" si="586"/>
        <v>0</v>
      </c>
    </row>
    <row r="428" spans="2:68" outlineLevel="1" x14ac:dyDescent="0.2">
      <c r="B428" s="20"/>
      <c r="C428" s="80"/>
      <c r="D428" s="81" t="str">
        <f>$D$272</f>
        <v>Carbon emissions</v>
      </c>
      <c r="E428" s="80"/>
      <c r="F428" s="80"/>
      <c r="G428" s="477">
        <f>Assumptions!$H$205</f>
        <v>0</v>
      </c>
      <c r="H428" s="477">
        <f>Assumptions!$I$205</f>
        <v>1</v>
      </c>
      <c r="I428" s="83"/>
      <c r="J428" s="85" t="str">
        <f>Assumptions!$K$205</f>
        <v>Carbon emissions</v>
      </c>
      <c r="K428" s="401">
        <f t="shared" si="571"/>
        <v>0</v>
      </c>
      <c r="L428" s="436">
        <f t="shared" si="572"/>
        <v>0</v>
      </c>
      <c r="M428" s="457"/>
      <c r="N428" s="455"/>
      <c r="O428" s="455"/>
      <c r="P428" s="455"/>
      <c r="Q428" s="455"/>
      <c r="R428" s="401">
        <f t="shared" ref="R428:AW428" si="587">$H428*R272</f>
        <v>0</v>
      </c>
      <c r="S428" s="401">
        <f t="shared" si="587"/>
        <v>0</v>
      </c>
      <c r="T428" s="401">
        <f t="shared" si="587"/>
        <v>0</v>
      </c>
      <c r="U428" s="401">
        <f t="shared" si="587"/>
        <v>0</v>
      </c>
      <c r="V428" s="401">
        <f t="shared" si="587"/>
        <v>0</v>
      </c>
      <c r="W428" s="401">
        <f t="shared" si="587"/>
        <v>0</v>
      </c>
      <c r="X428" s="401">
        <f t="shared" si="587"/>
        <v>0</v>
      </c>
      <c r="Y428" s="401">
        <f t="shared" si="587"/>
        <v>0</v>
      </c>
      <c r="Z428" s="401">
        <f t="shared" si="587"/>
        <v>0</v>
      </c>
      <c r="AA428" s="401">
        <f t="shared" si="587"/>
        <v>0</v>
      </c>
      <c r="AB428" s="401">
        <f t="shared" si="587"/>
        <v>0</v>
      </c>
      <c r="AC428" s="401">
        <f t="shared" si="587"/>
        <v>0</v>
      </c>
      <c r="AD428" s="401">
        <f t="shared" si="587"/>
        <v>0</v>
      </c>
      <c r="AE428" s="401">
        <f t="shared" si="587"/>
        <v>0</v>
      </c>
      <c r="AF428" s="401">
        <f t="shared" si="587"/>
        <v>0</v>
      </c>
      <c r="AG428" s="401">
        <f t="shared" si="587"/>
        <v>0</v>
      </c>
      <c r="AH428" s="401">
        <f t="shared" si="587"/>
        <v>0</v>
      </c>
      <c r="AI428" s="401">
        <f t="shared" si="587"/>
        <v>0</v>
      </c>
      <c r="AJ428" s="401">
        <f t="shared" si="587"/>
        <v>0</v>
      </c>
      <c r="AK428" s="401">
        <f t="shared" si="587"/>
        <v>0</v>
      </c>
      <c r="AL428" s="401">
        <f t="shared" si="587"/>
        <v>0</v>
      </c>
      <c r="AM428" s="401">
        <f t="shared" si="587"/>
        <v>0</v>
      </c>
      <c r="AN428" s="401">
        <f t="shared" si="587"/>
        <v>0</v>
      </c>
      <c r="AO428" s="401">
        <f t="shared" si="587"/>
        <v>0</v>
      </c>
      <c r="AP428" s="401">
        <f t="shared" si="587"/>
        <v>0</v>
      </c>
      <c r="AQ428" s="401">
        <f t="shared" si="587"/>
        <v>0</v>
      </c>
      <c r="AR428" s="401">
        <f t="shared" si="587"/>
        <v>0</v>
      </c>
      <c r="AS428" s="401">
        <f t="shared" si="587"/>
        <v>0</v>
      </c>
      <c r="AT428" s="401">
        <f t="shared" si="587"/>
        <v>0</v>
      </c>
      <c r="AU428" s="401">
        <f t="shared" si="587"/>
        <v>0</v>
      </c>
      <c r="AV428" s="401">
        <f t="shared" si="587"/>
        <v>0</v>
      </c>
      <c r="AW428" s="401">
        <f t="shared" si="587"/>
        <v>0</v>
      </c>
      <c r="AX428" s="401">
        <f t="shared" ref="AX428:BP428" si="588">$H428*AX272</f>
        <v>0</v>
      </c>
      <c r="AY428" s="401">
        <f t="shared" si="588"/>
        <v>0</v>
      </c>
      <c r="AZ428" s="401">
        <f t="shared" si="588"/>
        <v>0</v>
      </c>
      <c r="BA428" s="401">
        <f t="shared" si="588"/>
        <v>0</v>
      </c>
      <c r="BB428" s="401">
        <f t="shared" si="588"/>
        <v>0</v>
      </c>
      <c r="BC428" s="401">
        <f t="shared" si="588"/>
        <v>0</v>
      </c>
      <c r="BD428" s="401">
        <f t="shared" si="588"/>
        <v>0</v>
      </c>
      <c r="BE428" s="401">
        <f t="shared" si="588"/>
        <v>0</v>
      </c>
      <c r="BF428" s="401">
        <f t="shared" si="588"/>
        <v>0</v>
      </c>
      <c r="BG428" s="401">
        <f t="shared" si="588"/>
        <v>0</v>
      </c>
      <c r="BH428" s="401">
        <f t="shared" si="588"/>
        <v>0</v>
      </c>
      <c r="BI428" s="401">
        <f t="shared" si="588"/>
        <v>0</v>
      </c>
      <c r="BJ428" s="401">
        <f t="shared" si="588"/>
        <v>0</v>
      </c>
      <c r="BK428" s="401">
        <f t="shared" si="588"/>
        <v>0</v>
      </c>
      <c r="BL428" s="401">
        <f t="shared" si="588"/>
        <v>0</v>
      </c>
      <c r="BM428" s="401">
        <f t="shared" si="588"/>
        <v>0</v>
      </c>
      <c r="BN428" s="401">
        <f t="shared" si="588"/>
        <v>0</v>
      </c>
      <c r="BO428" s="401">
        <f t="shared" si="588"/>
        <v>0</v>
      </c>
      <c r="BP428" s="401">
        <f t="shared" si="588"/>
        <v>0</v>
      </c>
    </row>
    <row r="429" spans="2:68" outlineLevel="1" x14ac:dyDescent="0.2">
      <c r="B429" s="20"/>
      <c r="C429" s="80"/>
      <c r="D429" s="81" t="str">
        <f>$D$273</f>
        <v>Protective security risk</v>
      </c>
      <c r="E429" s="80"/>
      <c r="F429" s="80"/>
      <c r="G429" s="83"/>
      <c r="H429" s="83"/>
      <c r="I429" s="83"/>
      <c r="J429" s="85"/>
      <c r="K429" s="401"/>
      <c r="L429" s="436"/>
      <c r="M429" s="457"/>
      <c r="N429" s="455"/>
      <c r="O429" s="455"/>
      <c r="P429" s="455"/>
      <c r="Q429" s="455"/>
      <c r="R429" s="455"/>
      <c r="S429" s="455"/>
      <c r="T429" s="455"/>
      <c r="U429" s="455"/>
      <c r="V429" s="455"/>
      <c r="W429" s="455"/>
      <c r="X429" s="455"/>
      <c r="Y429" s="455"/>
      <c r="Z429" s="455"/>
      <c r="AA429" s="455"/>
      <c r="AB429" s="455"/>
      <c r="AC429" s="455"/>
      <c r="AD429" s="455"/>
      <c r="AE429" s="455"/>
      <c r="AF429" s="455"/>
      <c r="AG429" s="455"/>
      <c r="AH429" s="455"/>
      <c r="AI429" s="455"/>
      <c r="AJ429" s="455"/>
      <c r="AK429" s="455"/>
      <c r="AL429" s="455"/>
      <c r="AM429" s="455"/>
      <c r="AN429" s="455"/>
      <c r="AO429" s="455"/>
      <c r="AP429" s="455"/>
      <c r="AQ429" s="455"/>
      <c r="AR429" s="455"/>
      <c r="AS429" s="455"/>
      <c r="AT429" s="455"/>
      <c r="AU429" s="455"/>
      <c r="AV429" s="455"/>
      <c r="AW429" s="455"/>
      <c r="AX429" s="455"/>
      <c r="AY429" s="455"/>
      <c r="AZ429" s="455"/>
      <c r="BA429" s="455"/>
      <c r="BB429" s="455"/>
      <c r="BC429" s="455"/>
      <c r="BD429" s="455"/>
      <c r="BE429" s="455"/>
      <c r="BF429" s="455"/>
      <c r="BG429" s="455"/>
      <c r="BH429" s="455"/>
      <c r="BI429" s="455"/>
      <c r="BJ429" s="455"/>
      <c r="BK429" s="455"/>
      <c r="BL429" s="455"/>
      <c r="BM429" s="455"/>
      <c r="BN429" s="455"/>
      <c r="BO429" s="455"/>
      <c r="BP429" s="455"/>
    </row>
    <row r="430" spans="2:68" outlineLevel="1" x14ac:dyDescent="0.2">
      <c r="B430" s="20"/>
      <c r="C430" s="80"/>
      <c r="D430" s="402" t="str">
        <f>$D$274</f>
        <v>Cost to respond to crisis</v>
      </c>
      <c r="E430" s="80"/>
      <c r="F430" s="80"/>
      <c r="G430" s="477">
        <f>Assumptions!$H$207</f>
        <v>1</v>
      </c>
      <c r="H430" s="477">
        <f>Assumptions!$I$207</f>
        <v>0</v>
      </c>
      <c r="I430" s="83"/>
      <c r="J430" s="85" t="str">
        <f>Assumptions!$K$207</f>
        <v>Protective security risk</v>
      </c>
      <c r="K430" s="401">
        <f t="shared" ref="K430:K446" si="589">SUMPRODUCT($R$375:$BP$375,R430:BP430)</f>
        <v>0</v>
      </c>
      <c r="L430" s="436">
        <f t="shared" ref="L430:L446" si="590">SUM(M430:BP430)</f>
        <v>0</v>
      </c>
      <c r="M430" s="457"/>
      <c r="N430" s="455"/>
      <c r="O430" s="455"/>
      <c r="P430" s="455"/>
      <c r="Q430" s="455"/>
      <c r="R430" s="401">
        <f t="shared" ref="R430:AW430" si="591">$H430*R274</f>
        <v>0</v>
      </c>
      <c r="S430" s="401">
        <f t="shared" si="591"/>
        <v>0</v>
      </c>
      <c r="T430" s="401">
        <f t="shared" si="591"/>
        <v>0</v>
      </c>
      <c r="U430" s="401">
        <f t="shared" si="591"/>
        <v>0</v>
      </c>
      <c r="V430" s="401">
        <f t="shared" si="591"/>
        <v>0</v>
      </c>
      <c r="W430" s="401">
        <f t="shared" si="591"/>
        <v>0</v>
      </c>
      <c r="X430" s="401">
        <f t="shared" si="591"/>
        <v>0</v>
      </c>
      <c r="Y430" s="401">
        <f t="shared" si="591"/>
        <v>0</v>
      </c>
      <c r="Z430" s="401">
        <f t="shared" si="591"/>
        <v>0</v>
      </c>
      <c r="AA430" s="401">
        <f t="shared" si="591"/>
        <v>0</v>
      </c>
      <c r="AB430" s="401">
        <f t="shared" si="591"/>
        <v>0</v>
      </c>
      <c r="AC430" s="401">
        <f t="shared" si="591"/>
        <v>0</v>
      </c>
      <c r="AD430" s="401">
        <f t="shared" si="591"/>
        <v>0</v>
      </c>
      <c r="AE430" s="401">
        <f t="shared" si="591"/>
        <v>0</v>
      </c>
      <c r="AF430" s="401">
        <f t="shared" si="591"/>
        <v>0</v>
      </c>
      <c r="AG430" s="401">
        <f t="shared" si="591"/>
        <v>0</v>
      </c>
      <c r="AH430" s="401">
        <f t="shared" si="591"/>
        <v>0</v>
      </c>
      <c r="AI430" s="401">
        <f t="shared" si="591"/>
        <v>0</v>
      </c>
      <c r="AJ430" s="401">
        <f t="shared" si="591"/>
        <v>0</v>
      </c>
      <c r="AK430" s="401">
        <f t="shared" si="591"/>
        <v>0</v>
      </c>
      <c r="AL430" s="401">
        <f t="shared" si="591"/>
        <v>0</v>
      </c>
      <c r="AM430" s="401">
        <f t="shared" si="591"/>
        <v>0</v>
      </c>
      <c r="AN430" s="401">
        <f t="shared" si="591"/>
        <v>0</v>
      </c>
      <c r="AO430" s="401">
        <f t="shared" si="591"/>
        <v>0</v>
      </c>
      <c r="AP430" s="401">
        <f t="shared" si="591"/>
        <v>0</v>
      </c>
      <c r="AQ430" s="401">
        <f t="shared" si="591"/>
        <v>0</v>
      </c>
      <c r="AR430" s="401">
        <f t="shared" si="591"/>
        <v>0</v>
      </c>
      <c r="AS430" s="401">
        <f t="shared" si="591"/>
        <v>0</v>
      </c>
      <c r="AT430" s="401">
        <f t="shared" si="591"/>
        <v>0</v>
      </c>
      <c r="AU430" s="401">
        <f t="shared" si="591"/>
        <v>0</v>
      </c>
      <c r="AV430" s="401">
        <f t="shared" si="591"/>
        <v>0</v>
      </c>
      <c r="AW430" s="401">
        <f t="shared" si="591"/>
        <v>0</v>
      </c>
      <c r="AX430" s="401">
        <f t="shared" ref="AX430:BP430" si="592">$H430*AX274</f>
        <v>0</v>
      </c>
      <c r="AY430" s="401">
        <f t="shared" si="592"/>
        <v>0</v>
      </c>
      <c r="AZ430" s="401">
        <f t="shared" si="592"/>
        <v>0</v>
      </c>
      <c r="BA430" s="401">
        <f t="shared" si="592"/>
        <v>0</v>
      </c>
      <c r="BB430" s="401">
        <f t="shared" si="592"/>
        <v>0</v>
      </c>
      <c r="BC430" s="401">
        <f t="shared" si="592"/>
        <v>0</v>
      </c>
      <c r="BD430" s="401">
        <f t="shared" si="592"/>
        <v>0</v>
      </c>
      <c r="BE430" s="401">
        <f t="shared" si="592"/>
        <v>0</v>
      </c>
      <c r="BF430" s="401">
        <f t="shared" si="592"/>
        <v>0</v>
      </c>
      <c r="BG430" s="401">
        <f t="shared" si="592"/>
        <v>0</v>
      </c>
      <c r="BH430" s="401">
        <f t="shared" si="592"/>
        <v>0</v>
      </c>
      <c r="BI430" s="401">
        <f t="shared" si="592"/>
        <v>0</v>
      </c>
      <c r="BJ430" s="401">
        <f t="shared" si="592"/>
        <v>0</v>
      </c>
      <c r="BK430" s="401">
        <f t="shared" si="592"/>
        <v>0</v>
      </c>
      <c r="BL430" s="401">
        <f t="shared" si="592"/>
        <v>0</v>
      </c>
      <c r="BM430" s="401">
        <f t="shared" si="592"/>
        <v>0</v>
      </c>
      <c r="BN430" s="401">
        <f t="shared" si="592"/>
        <v>0</v>
      </c>
      <c r="BO430" s="401">
        <f t="shared" si="592"/>
        <v>0</v>
      </c>
      <c r="BP430" s="401">
        <f t="shared" si="592"/>
        <v>0</v>
      </c>
    </row>
    <row r="431" spans="2:68" outlineLevel="1" x14ac:dyDescent="0.2">
      <c r="B431" s="20"/>
      <c r="C431" s="80"/>
      <c r="D431" s="402" t="str">
        <f>$D$275</f>
        <v>Loss productive time</v>
      </c>
      <c r="E431" s="80"/>
      <c r="F431" s="80"/>
      <c r="G431" s="83"/>
      <c r="H431" s="83"/>
      <c r="I431" s="83"/>
      <c r="J431" s="85"/>
      <c r="K431" s="401"/>
      <c r="L431" s="436"/>
      <c r="M431" s="457"/>
      <c r="N431" s="455"/>
      <c r="O431" s="455"/>
      <c r="P431" s="455"/>
      <c r="Q431" s="455"/>
      <c r="R431" s="455"/>
      <c r="S431" s="455"/>
      <c r="T431" s="455"/>
      <c r="U431" s="455"/>
      <c r="V431" s="455"/>
      <c r="W431" s="455"/>
      <c r="X431" s="455"/>
      <c r="Y431" s="455"/>
      <c r="Z431" s="455"/>
      <c r="AA431" s="455"/>
      <c r="AB431" s="455"/>
      <c r="AC431" s="455"/>
      <c r="AD431" s="455"/>
      <c r="AE431" s="455"/>
      <c r="AF431" s="455"/>
      <c r="AG431" s="455"/>
      <c r="AH431" s="455"/>
      <c r="AI431" s="455"/>
      <c r="AJ431" s="455"/>
      <c r="AK431" s="455"/>
      <c r="AL431" s="455"/>
      <c r="AM431" s="455"/>
      <c r="AN431" s="455"/>
      <c r="AO431" s="455"/>
      <c r="AP431" s="455"/>
      <c r="AQ431" s="455"/>
      <c r="AR431" s="455"/>
      <c r="AS431" s="455"/>
      <c r="AT431" s="455"/>
      <c r="AU431" s="455"/>
      <c r="AV431" s="455"/>
      <c r="AW431" s="455"/>
      <c r="AX431" s="455"/>
      <c r="AY431" s="455"/>
      <c r="AZ431" s="455"/>
      <c r="BA431" s="455"/>
      <c r="BB431" s="455"/>
      <c r="BC431" s="455"/>
      <c r="BD431" s="455"/>
      <c r="BE431" s="455"/>
      <c r="BF431" s="455"/>
      <c r="BG431" s="455"/>
      <c r="BH431" s="455"/>
      <c r="BI431" s="455"/>
      <c r="BJ431" s="455"/>
      <c r="BK431" s="455"/>
      <c r="BL431" s="455"/>
      <c r="BM431" s="455"/>
      <c r="BN431" s="455"/>
      <c r="BO431" s="455"/>
      <c r="BP431" s="455"/>
    </row>
    <row r="432" spans="2:68" outlineLevel="1" x14ac:dyDescent="0.2">
      <c r="B432" s="20"/>
      <c r="C432" s="80"/>
      <c r="D432" s="403" t="str">
        <f>$D$276</f>
        <v>Additional capex completed without additional labour cost</v>
      </c>
      <c r="E432" s="80"/>
      <c r="F432" s="80"/>
      <c r="G432" s="477">
        <f>Assumptions!$H$209</f>
        <v>1</v>
      </c>
      <c r="H432" s="477">
        <f>Assumptions!$I$209</f>
        <v>0</v>
      </c>
      <c r="I432" s="83"/>
      <c r="J432" s="85" t="str">
        <f>Assumptions!$K$209</f>
        <v>Protective security risk</v>
      </c>
      <c r="K432" s="401">
        <f t="shared" si="589"/>
        <v>0</v>
      </c>
      <c r="L432" s="436">
        <f t="shared" si="590"/>
        <v>0</v>
      </c>
      <c r="M432" s="457"/>
      <c r="N432" s="455"/>
      <c r="O432" s="455"/>
      <c r="P432" s="455"/>
      <c r="Q432" s="455"/>
      <c r="R432" s="401">
        <f t="shared" ref="R432:AW432" si="593">$H432*R276</f>
        <v>0</v>
      </c>
      <c r="S432" s="401">
        <f t="shared" si="593"/>
        <v>0</v>
      </c>
      <c r="T432" s="401">
        <f t="shared" si="593"/>
        <v>0</v>
      </c>
      <c r="U432" s="401">
        <f t="shared" si="593"/>
        <v>0</v>
      </c>
      <c r="V432" s="401">
        <f t="shared" si="593"/>
        <v>0</v>
      </c>
      <c r="W432" s="401">
        <f t="shared" si="593"/>
        <v>0</v>
      </c>
      <c r="X432" s="401">
        <f t="shared" si="593"/>
        <v>0</v>
      </c>
      <c r="Y432" s="401">
        <f t="shared" si="593"/>
        <v>0</v>
      </c>
      <c r="Z432" s="401">
        <f t="shared" si="593"/>
        <v>0</v>
      </c>
      <c r="AA432" s="401">
        <f t="shared" si="593"/>
        <v>0</v>
      </c>
      <c r="AB432" s="401">
        <f t="shared" si="593"/>
        <v>0</v>
      </c>
      <c r="AC432" s="401">
        <f t="shared" si="593"/>
        <v>0</v>
      </c>
      <c r="AD432" s="401">
        <f t="shared" si="593"/>
        <v>0</v>
      </c>
      <c r="AE432" s="401">
        <f t="shared" si="593"/>
        <v>0</v>
      </c>
      <c r="AF432" s="401">
        <f t="shared" si="593"/>
        <v>0</v>
      </c>
      <c r="AG432" s="401">
        <f t="shared" si="593"/>
        <v>0</v>
      </c>
      <c r="AH432" s="401">
        <f t="shared" si="593"/>
        <v>0</v>
      </c>
      <c r="AI432" s="401">
        <f t="shared" si="593"/>
        <v>0</v>
      </c>
      <c r="AJ432" s="401">
        <f t="shared" si="593"/>
        <v>0</v>
      </c>
      <c r="AK432" s="401">
        <f t="shared" si="593"/>
        <v>0</v>
      </c>
      <c r="AL432" s="401">
        <f t="shared" si="593"/>
        <v>0</v>
      </c>
      <c r="AM432" s="401">
        <f t="shared" si="593"/>
        <v>0</v>
      </c>
      <c r="AN432" s="401">
        <f t="shared" si="593"/>
        <v>0</v>
      </c>
      <c r="AO432" s="401">
        <f t="shared" si="593"/>
        <v>0</v>
      </c>
      <c r="AP432" s="401">
        <f t="shared" si="593"/>
        <v>0</v>
      </c>
      <c r="AQ432" s="401">
        <f t="shared" si="593"/>
        <v>0</v>
      </c>
      <c r="AR432" s="401">
        <f t="shared" si="593"/>
        <v>0</v>
      </c>
      <c r="AS432" s="401">
        <f t="shared" si="593"/>
        <v>0</v>
      </c>
      <c r="AT432" s="401">
        <f t="shared" si="593"/>
        <v>0</v>
      </c>
      <c r="AU432" s="401">
        <f t="shared" si="593"/>
        <v>0</v>
      </c>
      <c r="AV432" s="401">
        <f t="shared" si="593"/>
        <v>0</v>
      </c>
      <c r="AW432" s="401">
        <f t="shared" si="593"/>
        <v>0</v>
      </c>
      <c r="AX432" s="401">
        <f t="shared" ref="AX432:BP432" si="594">$H432*AX276</f>
        <v>0</v>
      </c>
      <c r="AY432" s="401">
        <f t="shared" si="594"/>
        <v>0</v>
      </c>
      <c r="AZ432" s="401">
        <f t="shared" si="594"/>
        <v>0</v>
      </c>
      <c r="BA432" s="401">
        <f t="shared" si="594"/>
        <v>0</v>
      </c>
      <c r="BB432" s="401">
        <f t="shared" si="594"/>
        <v>0</v>
      </c>
      <c r="BC432" s="401">
        <f t="shared" si="594"/>
        <v>0</v>
      </c>
      <c r="BD432" s="401">
        <f t="shared" si="594"/>
        <v>0</v>
      </c>
      <c r="BE432" s="401">
        <f t="shared" si="594"/>
        <v>0</v>
      </c>
      <c r="BF432" s="401">
        <f t="shared" si="594"/>
        <v>0</v>
      </c>
      <c r="BG432" s="401">
        <f t="shared" si="594"/>
        <v>0</v>
      </c>
      <c r="BH432" s="401">
        <f t="shared" si="594"/>
        <v>0</v>
      </c>
      <c r="BI432" s="401">
        <f t="shared" si="594"/>
        <v>0</v>
      </c>
      <c r="BJ432" s="401">
        <f t="shared" si="594"/>
        <v>0</v>
      </c>
      <c r="BK432" s="401">
        <f t="shared" si="594"/>
        <v>0</v>
      </c>
      <c r="BL432" s="401">
        <f t="shared" si="594"/>
        <v>0</v>
      </c>
      <c r="BM432" s="401">
        <f t="shared" si="594"/>
        <v>0</v>
      </c>
      <c r="BN432" s="401">
        <f t="shared" si="594"/>
        <v>0</v>
      </c>
      <c r="BO432" s="401">
        <f t="shared" si="594"/>
        <v>0</v>
      </c>
      <c r="BP432" s="401">
        <f t="shared" si="594"/>
        <v>0</v>
      </c>
    </row>
    <row r="433" spans="2:68" outlineLevel="1" x14ac:dyDescent="0.2">
      <c r="B433" s="20"/>
      <c r="C433" s="80"/>
      <c r="D433" s="403" t="str">
        <f>$D$277</f>
        <v>Decrease in opex costs</v>
      </c>
      <c r="E433" s="80"/>
      <c r="F433" s="80"/>
      <c r="G433" s="477">
        <f>Assumptions!$H$210</f>
        <v>1</v>
      </c>
      <c r="H433" s="477">
        <f>Assumptions!$I$210</f>
        <v>1</v>
      </c>
      <c r="I433" s="83"/>
      <c r="J433" s="85" t="str">
        <f>Assumptions!$K$210</f>
        <v>Protective security risk</v>
      </c>
      <c r="K433" s="401">
        <f t="shared" si="589"/>
        <v>0</v>
      </c>
      <c r="L433" s="436">
        <f t="shared" si="590"/>
        <v>0</v>
      </c>
      <c r="M433" s="457"/>
      <c r="N433" s="455"/>
      <c r="O433" s="455"/>
      <c r="P433" s="455"/>
      <c r="Q433" s="455"/>
      <c r="R433" s="401">
        <f>IF(R$15&lt;Assumptions!$O210+$L$197,0,$H433*R277)</f>
        <v>0</v>
      </c>
      <c r="S433" s="401">
        <f>IF(S$15&lt;Assumptions!$O210+$L$197,0,$H433*S277)</f>
        <v>0</v>
      </c>
      <c r="T433" s="401">
        <f>IF(T$15&lt;Assumptions!$O210+$L$197,0,$H433*T277)</f>
        <v>0</v>
      </c>
      <c r="U433" s="401">
        <f>IF(U$15&lt;Assumptions!$O210+$L$197,0,$H433*U277)</f>
        <v>0</v>
      </c>
      <c r="V433" s="401">
        <f>IF(V$15&lt;Assumptions!$O210+$L$197,0,$H433*V277)</f>
        <v>0</v>
      </c>
      <c r="W433" s="401">
        <f>IF(W$15&lt;Assumptions!$O210+$L$197,0,$H433*W277)</f>
        <v>0</v>
      </c>
      <c r="X433" s="401">
        <f>IF(X$15&lt;Assumptions!$O210+$L$197,0,$H433*X277)</f>
        <v>0</v>
      </c>
      <c r="Y433" s="401">
        <f>IF(Y$15&lt;Assumptions!$O210+$L$197,0,$H433*Y277)</f>
        <v>0</v>
      </c>
      <c r="Z433" s="401">
        <f>IF(Z$15&lt;Assumptions!$O210+$L$197,0,$H433*Z277)</f>
        <v>0</v>
      </c>
      <c r="AA433" s="401">
        <f>IF(AA$15&lt;Assumptions!$O210+$L$197,0,$H433*AA277)</f>
        <v>0</v>
      </c>
      <c r="AB433" s="401">
        <f>IF(AB$15&lt;Assumptions!$O210+$L$197,0,$H433*AB277)</f>
        <v>0</v>
      </c>
      <c r="AC433" s="401">
        <f>IF(AC$15&lt;Assumptions!$O210+$L$197,0,$H433*AC277)</f>
        <v>0</v>
      </c>
      <c r="AD433" s="401">
        <f>IF(AD$15&lt;Assumptions!$O210+$L$197,0,$H433*AD277)</f>
        <v>0</v>
      </c>
      <c r="AE433" s="401">
        <f>IF(AE$15&lt;Assumptions!$O210+$L$197,0,$H433*AE277)</f>
        <v>0</v>
      </c>
      <c r="AF433" s="401">
        <f>IF(AF$15&lt;Assumptions!$O210+$L$197,0,$H433*AF277)</f>
        <v>0</v>
      </c>
      <c r="AG433" s="401">
        <f>IF(AG$15&lt;Assumptions!$O210+$L$197,0,$H433*AG277)</f>
        <v>0</v>
      </c>
      <c r="AH433" s="401">
        <f>IF(AH$15&lt;Assumptions!$O210+$L$197,0,$H433*AH277)</f>
        <v>0</v>
      </c>
      <c r="AI433" s="401">
        <f>IF(AI$15&lt;Assumptions!$O210+$L$197,0,$H433*AI277)</f>
        <v>0</v>
      </c>
      <c r="AJ433" s="401">
        <f>IF(AJ$15&lt;Assumptions!$O210+$L$197,0,$H433*AJ277)</f>
        <v>0</v>
      </c>
      <c r="AK433" s="401">
        <f>IF(AK$15&lt;Assumptions!$O210+$L$197,0,$H433*AK277)</f>
        <v>0</v>
      </c>
      <c r="AL433" s="401">
        <f>IF(AL$15&lt;Assumptions!$O210+$L$197,0,$H433*AL277)</f>
        <v>0</v>
      </c>
      <c r="AM433" s="401">
        <f>IF(AM$15&lt;Assumptions!$O210+$L$197,0,$H433*AM277)</f>
        <v>0</v>
      </c>
      <c r="AN433" s="401">
        <f>IF(AN$15&lt;Assumptions!$O210+$L$197,0,$H433*AN277)</f>
        <v>0</v>
      </c>
      <c r="AO433" s="401">
        <f>IF(AO$15&lt;Assumptions!$O210+$L$197,0,$H433*AO277)</f>
        <v>0</v>
      </c>
      <c r="AP433" s="401">
        <f>IF(AP$15&lt;Assumptions!$O210+$L$197,0,$H433*AP277)</f>
        <v>0</v>
      </c>
      <c r="AQ433" s="401">
        <f>IF(AQ$15&lt;Assumptions!$O210+$L$197,0,$H433*AQ277)</f>
        <v>0</v>
      </c>
      <c r="AR433" s="401">
        <f>IF(AR$15&lt;Assumptions!$O210+$L$197,0,$H433*AR277)</f>
        <v>0</v>
      </c>
      <c r="AS433" s="401">
        <f>IF(AS$15&lt;Assumptions!$O210+$L$197,0,$H433*AS277)</f>
        <v>0</v>
      </c>
      <c r="AT433" s="401">
        <f>IF(AT$15&lt;Assumptions!$O210+$L$197,0,$H433*AT277)</f>
        <v>0</v>
      </c>
      <c r="AU433" s="401">
        <f>IF(AU$15&lt;Assumptions!$O210+$L$197,0,$H433*AU277)</f>
        <v>0</v>
      </c>
      <c r="AV433" s="401">
        <f>IF(AV$15&lt;Assumptions!$O210+$L$197,0,$H433*AV277)</f>
        <v>0</v>
      </c>
      <c r="AW433" s="401">
        <f>IF(AW$15&lt;Assumptions!$O210+$L$197,0,$H433*AW277)</f>
        <v>0</v>
      </c>
      <c r="AX433" s="401">
        <f>IF(AX$15&lt;Assumptions!$O210+$L$197,0,$H433*AX277)</f>
        <v>0</v>
      </c>
      <c r="AY433" s="401">
        <f>IF(AY$15&lt;Assumptions!$O210+$L$197,0,$H433*AY277)</f>
        <v>0</v>
      </c>
      <c r="AZ433" s="401">
        <f>IF(AZ$15&lt;Assumptions!$O210+$L$197,0,$H433*AZ277)</f>
        <v>0</v>
      </c>
      <c r="BA433" s="401">
        <f>IF(BA$15&lt;Assumptions!$O210+$L$197,0,$H433*BA277)</f>
        <v>0</v>
      </c>
      <c r="BB433" s="401">
        <f>IF(BB$15&lt;Assumptions!$O210+$L$197,0,$H433*BB277)</f>
        <v>0</v>
      </c>
      <c r="BC433" s="401">
        <f>IF(BC$15&lt;Assumptions!$O210+$L$197,0,$H433*BC277)</f>
        <v>0</v>
      </c>
      <c r="BD433" s="401">
        <f>IF(BD$15&lt;Assumptions!$O210+$L$197,0,$H433*BD277)</f>
        <v>0</v>
      </c>
      <c r="BE433" s="401">
        <f>IF(BE$15&lt;Assumptions!$O210+$L$197,0,$H433*BE277)</f>
        <v>0</v>
      </c>
      <c r="BF433" s="401">
        <f>IF(BF$15&lt;Assumptions!$O210+$L$197,0,$H433*BF277)</f>
        <v>0</v>
      </c>
      <c r="BG433" s="401">
        <f>IF(BG$15&lt;Assumptions!$O210+$L$197,0,$H433*BG277)</f>
        <v>0</v>
      </c>
      <c r="BH433" s="401">
        <f>IF(BH$15&lt;Assumptions!$O210+$L$197,0,$H433*BH277)</f>
        <v>0</v>
      </c>
      <c r="BI433" s="401">
        <f>IF(BI$15&lt;Assumptions!$O210+$L$197,0,$H433*BI277)</f>
        <v>0</v>
      </c>
      <c r="BJ433" s="401">
        <f>IF(BJ$15&lt;Assumptions!$O210+$L$197,0,$H433*BJ277)</f>
        <v>0</v>
      </c>
      <c r="BK433" s="401">
        <f>IF(BK$15&lt;Assumptions!$O210+$L$197,0,$H433*BK277)</f>
        <v>0</v>
      </c>
      <c r="BL433" s="401">
        <f>IF(BL$15&lt;Assumptions!$O210+$L$197,0,$H433*BL277)</f>
        <v>0</v>
      </c>
      <c r="BM433" s="401">
        <f>IF(BM$15&lt;Assumptions!$O210+$L$197,0,$H433*BM277)</f>
        <v>0</v>
      </c>
      <c r="BN433" s="401">
        <f>IF(BN$15&lt;Assumptions!$O210+$L$197,0,$H433*BN277)</f>
        <v>0</v>
      </c>
      <c r="BO433" s="401">
        <f>IF(BO$15&lt;Assumptions!$O210+$L$197,0,$H433*BO277)</f>
        <v>0</v>
      </c>
      <c r="BP433" s="401">
        <f>IF(BP$15&lt;Assumptions!$O210+$L$197,0,$H433*BP277)</f>
        <v>0</v>
      </c>
    </row>
    <row r="434" spans="2:68" outlineLevel="1" x14ac:dyDescent="0.2">
      <c r="B434" s="20"/>
      <c r="C434" s="80"/>
      <c r="D434" s="402" t="str">
        <f>$D$278</f>
        <v>Fines and penalties</v>
      </c>
      <c r="E434" s="80"/>
      <c r="F434" s="80"/>
      <c r="G434" s="477">
        <f>Assumptions!$H$211</f>
        <v>1</v>
      </c>
      <c r="H434" s="477">
        <f>Assumptions!$I$211</f>
        <v>0</v>
      </c>
      <c r="I434" s="83"/>
      <c r="J434" s="85" t="str">
        <f>Assumptions!$K$211</f>
        <v>Protective security risk</v>
      </c>
      <c r="K434" s="401">
        <f t="shared" si="589"/>
        <v>0</v>
      </c>
      <c r="L434" s="436">
        <f t="shared" si="590"/>
        <v>0</v>
      </c>
      <c r="M434" s="457"/>
      <c r="N434" s="455"/>
      <c r="O434" s="455"/>
      <c r="P434" s="455"/>
      <c r="Q434" s="455"/>
      <c r="R434" s="401">
        <f t="shared" ref="R434:AW434" si="595">$H434*R278</f>
        <v>0</v>
      </c>
      <c r="S434" s="401">
        <f t="shared" si="595"/>
        <v>0</v>
      </c>
      <c r="T434" s="401">
        <f t="shared" si="595"/>
        <v>0</v>
      </c>
      <c r="U434" s="401">
        <f t="shared" si="595"/>
        <v>0</v>
      </c>
      <c r="V434" s="401">
        <f t="shared" si="595"/>
        <v>0</v>
      </c>
      <c r="W434" s="401">
        <f t="shared" si="595"/>
        <v>0</v>
      </c>
      <c r="X434" s="401">
        <f t="shared" si="595"/>
        <v>0</v>
      </c>
      <c r="Y434" s="401">
        <f t="shared" si="595"/>
        <v>0</v>
      </c>
      <c r="Z434" s="401">
        <f t="shared" si="595"/>
        <v>0</v>
      </c>
      <c r="AA434" s="401">
        <f t="shared" si="595"/>
        <v>0</v>
      </c>
      <c r="AB434" s="401">
        <f t="shared" si="595"/>
        <v>0</v>
      </c>
      <c r="AC434" s="401">
        <f t="shared" si="595"/>
        <v>0</v>
      </c>
      <c r="AD434" s="401">
        <f t="shared" si="595"/>
        <v>0</v>
      </c>
      <c r="AE434" s="401">
        <f t="shared" si="595"/>
        <v>0</v>
      </c>
      <c r="AF434" s="401">
        <f t="shared" si="595"/>
        <v>0</v>
      </c>
      <c r="AG434" s="401">
        <f t="shared" si="595"/>
        <v>0</v>
      </c>
      <c r="AH434" s="401">
        <f t="shared" si="595"/>
        <v>0</v>
      </c>
      <c r="AI434" s="401">
        <f t="shared" si="595"/>
        <v>0</v>
      </c>
      <c r="AJ434" s="401">
        <f t="shared" si="595"/>
        <v>0</v>
      </c>
      <c r="AK434" s="401">
        <f t="shared" si="595"/>
        <v>0</v>
      </c>
      <c r="AL434" s="401">
        <f t="shared" si="595"/>
        <v>0</v>
      </c>
      <c r="AM434" s="401">
        <f t="shared" si="595"/>
        <v>0</v>
      </c>
      <c r="AN434" s="401">
        <f t="shared" si="595"/>
        <v>0</v>
      </c>
      <c r="AO434" s="401">
        <f t="shared" si="595"/>
        <v>0</v>
      </c>
      <c r="AP434" s="401">
        <f t="shared" si="595"/>
        <v>0</v>
      </c>
      <c r="AQ434" s="401">
        <f t="shared" si="595"/>
        <v>0</v>
      </c>
      <c r="AR434" s="401">
        <f t="shared" si="595"/>
        <v>0</v>
      </c>
      <c r="AS434" s="401">
        <f t="shared" si="595"/>
        <v>0</v>
      </c>
      <c r="AT434" s="401">
        <f t="shared" si="595"/>
        <v>0</v>
      </c>
      <c r="AU434" s="401">
        <f t="shared" si="595"/>
        <v>0</v>
      </c>
      <c r="AV434" s="401">
        <f t="shared" si="595"/>
        <v>0</v>
      </c>
      <c r="AW434" s="401">
        <f t="shared" si="595"/>
        <v>0</v>
      </c>
      <c r="AX434" s="401">
        <f t="shared" ref="AX434:BP434" si="596">$H434*AX278</f>
        <v>0</v>
      </c>
      <c r="AY434" s="401">
        <f t="shared" si="596"/>
        <v>0</v>
      </c>
      <c r="AZ434" s="401">
        <f t="shared" si="596"/>
        <v>0</v>
      </c>
      <c r="BA434" s="401">
        <f t="shared" si="596"/>
        <v>0</v>
      </c>
      <c r="BB434" s="401">
        <f t="shared" si="596"/>
        <v>0</v>
      </c>
      <c r="BC434" s="401">
        <f t="shared" si="596"/>
        <v>0</v>
      </c>
      <c r="BD434" s="401">
        <f t="shared" si="596"/>
        <v>0</v>
      </c>
      <c r="BE434" s="401">
        <f t="shared" si="596"/>
        <v>0</v>
      </c>
      <c r="BF434" s="401">
        <f t="shared" si="596"/>
        <v>0</v>
      </c>
      <c r="BG434" s="401">
        <f t="shared" si="596"/>
        <v>0</v>
      </c>
      <c r="BH434" s="401">
        <f t="shared" si="596"/>
        <v>0</v>
      </c>
      <c r="BI434" s="401">
        <f t="shared" si="596"/>
        <v>0</v>
      </c>
      <c r="BJ434" s="401">
        <f t="shared" si="596"/>
        <v>0</v>
      </c>
      <c r="BK434" s="401">
        <f t="shared" si="596"/>
        <v>0</v>
      </c>
      <c r="BL434" s="401">
        <f t="shared" si="596"/>
        <v>0</v>
      </c>
      <c r="BM434" s="401">
        <f t="shared" si="596"/>
        <v>0</v>
      </c>
      <c r="BN434" s="401">
        <f t="shared" si="596"/>
        <v>0</v>
      </c>
      <c r="BO434" s="401">
        <f t="shared" si="596"/>
        <v>0</v>
      </c>
      <c r="BP434" s="401">
        <f t="shared" si="596"/>
        <v>0</v>
      </c>
    </row>
    <row r="435" spans="2:68" outlineLevel="1" x14ac:dyDescent="0.2">
      <c r="B435" s="20"/>
      <c r="C435" s="80"/>
      <c r="D435" s="402" t="str">
        <f>$D$279</f>
        <v>Damage / theft of assets</v>
      </c>
      <c r="E435" s="80"/>
      <c r="F435" s="80"/>
      <c r="G435" s="477">
        <f>Assumptions!$H$212</f>
        <v>1</v>
      </c>
      <c r="H435" s="477">
        <f>Assumptions!$I$212</f>
        <v>0</v>
      </c>
      <c r="I435" s="83"/>
      <c r="J435" s="85" t="str">
        <f>Assumptions!$K$212</f>
        <v>Protective security risk</v>
      </c>
      <c r="K435" s="401">
        <f t="shared" si="589"/>
        <v>0</v>
      </c>
      <c r="L435" s="436">
        <f t="shared" si="590"/>
        <v>0</v>
      </c>
      <c r="M435" s="457"/>
      <c r="N435" s="455"/>
      <c r="O435" s="455"/>
      <c r="P435" s="455"/>
      <c r="Q435" s="455"/>
      <c r="R435" s="401">
        <f t="shared" ref="R435:AW435" si="597">$H435*R279</f>
        <v>0</v>
      </c>
      <c r="S435" s="401">
        <f t="shared" si="597"/>
        <v>0</v>
      </c>
      <c r="T435" s="401">
        <f t="shared" si="597"/>
        <v>0</v>
      </c>
      <c r="U435" s="401">
        <f t="shared" si="597"/>
        <v>0</v>
      </c>
      <c r="V435" s="401">
        <f t="shared" si="597"/>
        <v>0</v>
      </c>
      <c r="W435" s="401">
        <f t="shared" si="597"/>
        <v>0</v>
      </c>
      <c r="X435" s="401">
        <f t="shared" si="597"/>
        <v>0</v>
      </c>
      <c r="Y435" s="401">
        <f t="shared" si="597"/>
        <v>0</v>
      </c>
      <c r="Z435" s="401">
        <f t="shared" si="597"/>
        <v>0</v>
      </c>
      <c r="AA435" s="401">
        <f t="shared" si="597"/>
        <v>0</v>
      </c>
      <c r="AB435" s="401">
        <f t="shared" si="597"/>
        <v>0</v>
      </c>
      <c r="AC435" s="401">
        <f t="shared" si="597"/>
        <v>0</v>
      </c>
      <c r="AD435" s="401">
        <f t="shared" si="597"/>
        <v>0</v>
      </c>
      <c r="AE435" s="401">
        <f t="shared" si="597"/>
        <v>0</v>
      </c>
      <c r="AF435" s="401">
        <f t="shared" si="597"/>
        <v>0</v>
      </c>
      <c r="AG435" s="401">
        <f t="shared" si="597"/>
        <v>0</v>
      </c>
      <c r="AH435" s="401">
        <f t="shared" si="597"/>
        <v>0</v>
      </c>
      <c r="AI435" s="401">
        <f t="shared" si="597"/>
        <v>0</v>
      </c>
      <c r="AJ435" s="401">
        <f t="shared" si="597"/>
        <v>0</v>
      </c>
      <c r="AK435" s="401">
        <f t="shared" si="597"/>
        <v>0</v>
      </c>
      <c r="AL435" s="401">
        <f t="shared" si="597"/>
        <v>0</v>
      </c>
      <c r="AM435" s="401">
        <f t="shared" si="597"/>
        <v>0</v>
      </c>
      <c r="AN435" s="401">
        <f t="shared" si="597"/>
        <v>0</v>
      </c>
      <c r="AO435" s="401">
        <f t="shared" si="597"/>
        <v>0</v>
      </c>
      <c r="AP435" s="401">
        <f t="shared" si="597"/>
        <v>0</v>
      </c>
      <c r="AQ435" s="401">
        <f t="shared" si="597"/>
        <v>0</v>
      </c>
      <c r="AR435" s="401">
        <f t="shared" si="597"/>
        <v>0</v>
      </c>
      <c r="AS435" s="401">
        <f t="shared" si="597"/>
        <v>0</v>
      </c>
      <c r="AT435" s="401">
        <f t="shared" si="597"/>
        <v>0</v>
      </c>
      <c r="AU435" s="401">
        <f t="shared" si="597"/>
        <v>0</v>
      </c>
      <c r="AV435" s="401">
        <f t="shared" si="597"/>
        <v>0</v>
      </c>
      <c r="AW435" s="401">
        <f t="shared" si="597"/>
        <v>0</v>
      </c>
      <c r="AX435" s="401">
        <f t="shared" ref="AX435:BP435" si="598">$H435*AX279</f>
        <v>0</v>
      </c>
      <c r="AY435" s="401">
        <f t="shared" si="598"/>
        <v>0</v>
      </c>
      <c r="AZ435" s="401">
        <f t="shared" si="598"/>
        <v>0</v>
      </c>
      <c r="BA435" s="401">
        <f t="shared" si="598"/>
        <v>0</v>
      </c>
      <c r="BB435" s="401">
        <f t="shared" si="598"/>
        <v>0</v>
      </c>
      <c r="BC435" s="401">
        <f t="shared" si="598"/>
        <v>0</v>
      </c>
      <c r="BD435" s="401">
        <f t="shared" si="598"/>
        <v>0</v>
      </c>
      <c r="BE435" s="401">
        <f t="shared" si="598"/>
        <v>0</v>
      </c>
      <c r="BF435" s="401">
        <f t="shared" si="598"/>
        <v>0</v>
      </c>
      <c r="BG435" s="401">
        <f t="shared" si="598"/>
        <v>0</v>
      </c>
      <c r="BH435" s="401">
        <f t="shared" si="598"/>
        <v>0</v>
      </c>
      <c r="BI435" s="401">
        <f t="shared" si="598"/>
        <v>0</v>
      </c>
      <c r="BJ435" s="401">
        <f t="shared" si="598"/>
        <v>0</v>
      </c>
      <c r="BK435" s="401">
        <f t="shared" si="598"/>
        <v>0</v>
      </c>
      <c r="BL435" s="401">
        <f t="shared" si="598"/>
        <v>0</v>
      </c>
      <c r="BM435" s="401">
        <f t="shared" si="598"/>
        <v>0</v>
      </c>
      <c r="BN435" s="401">
        <f t="shared" si="598"/>
        <v>0</v>
      </c>
      <c r="BO435" s="401">
        <f t="shared" si="598"/>
        <v>0</v>
      </c>
      <c r="BP435" s="401">
        <f t="shared" si="598"/>
        <v>0</v>
      </c>
    </row>
    <row r="436" spans="2:68" outlineLevel="1" x14ac:dyDescent="0.2">
      <c r="B436" s="20"/>
      <c r="C436" s="80"/>
      <c r="D436" s="402" t="str">
        <f>$D$280</f>
        <v>Loss of data</v>
      </c>
      <c r="E436" s="80"/>
      <c r="F436" s="80"/>
      <c r="G436" s="477">
        <f>Assumptions!$H$213</f>
        <v>0</v>
      </c>
      <c r="H436" s="477">
        <f>Assumptions!$I$213</f>
        <v>1</v>
      </c>
      <c r="I436" s="83"/>
      <c r="J436" s="85" t="str">
        <f>Assumptions!$K$213</f>
        <v>Protective security risk</v>
      </c>
      <c r="K436" s="401">
        <f t="shared" si="589"/>
        <v>0</v>
      </c>
      <c r="L436" s="436">
        <f t="shared" si="590"/>
        <v>0</v>
      </c>
      <c r="M436" s="457"/>
      <c r="N436" s="455"/>
      <c r="O436" s="455"/>
      <c r="P436" s="455"/>
      <c r="Q436" s="455"/>
      <c r="R436" s="401">
        <f t="shared" ref="R436:AW436" si="599">$H436*R280</f>
        <v>0</v>
      </c>
      <c r="S436" s="401">
        <f t="shared" si="599"/>
        <v>0</v>
      </c>
      <c r="T436" s="401">
        <f t="shared" si="599"/>
        <v>0</v>
      </c>
      <c r="U436" s="401">
        <f t="shared" si="599"/>
        <v>0</v>
      </c>
      <c r="V436" s="401">
        <f t="shared" si="599"/>
        <v>0</v>
      </c>
      <c r="W436" s="401">
        <f t="shared" si="599"/>
        <v>0</v>
      </c>
      <c r="X436" s="401">
        <f t="shared" si="599"/>
        <v>0</v>
      </c>
      <c r="Y436" s="401">
        <f t="shared" si="599"/>
        <v>0</v>
      </c>
      <c r="Z436" s="401">
        <f t="shared" si="599"/>
        <v>0</v>
      </c>
      <c r="AA436" s="401">
        <f t="shared" si="599"/>
        <v>0</v>
      </c>
      <c r="AB436" s="401">
        <f t="shared" si="599"/>
        <v>0</v>
      </c>
      <c r="AC436" s="401">
        <f t="shared" si="599"/>
        <v>0</v>
      </c>
      <c r="AD436" s="401">
        <f t="shared" si="599"/>
        <v>0</v>
      </c>
      <c r="AE436" s="401">
        <f t="shared" si="599"/>
        <v>0</v>
      </c>
      <c r="AF436" s="401">
        <f t="shared" si="599"/>
        <v>0</v>
      </c>
      <c r="AG436" s="401">
        <f t="shared" si="599"/>
        <v>0</v>
      </c>
      <c r="AH436" s="401">
        <f t="shared" si="599"/>
        <v>0</v>
      </c>
      <c r="AI436" s="401">
        <f t="shared" si="599"/>
        <v>0</v>
      </c>
      <c r="AJ436" s="401">
        <f t="shared" si="599"/>
        <v>0</v>
      </c>
      <c r="AK436" s="401">
        <f t="shared" si="599"/>
        <v>0</v>
      </c>
      <c r="AL436" s="401">
        <f t="shared" si="599"/>
        <v>0</v>
      </c>
      <c r="AM436" s="401">
        <f t="shared" si="599"/>
        <v>0</v>
      </c>
      <c r="AN436" s="401">
        <f t="shared" si="599"/>
        <v>0</v>
      </c>
      <c r="AO436" s="401">
        <f t="shared" si="599"/>
        <v>0</v>
      </c>
      <c r="AP436" s="401">
        <f t="shared" si="599"/>
        <v>0</v>
      </c>
      <c r="AQ436" s="401">
        <f t="shared" si="599"/>
        <v>0</v>
      </c>
      <c r="AR436" s="401">
        <f t="shared" si="599"/>
        <v>0</v>
      </c>
      <c r="AS436" s="401">
        <f t="shared" si="599"/>
        <v>0</v>
      </c>
      <c r="AT436" s="401">
        <f t="shared" si="599"/>
        <v>0</v>
      </c>
      <c r="AU436" s="401">
        <f t="shared" si="599"/>
        <v>0</v>
      </c>
      <c r="AV436" s="401">
        <f t="shared" si="599"/>
        <v>0</v>
      </c>
      <c r="AW436" s="401">
        <f t="shared" si="599"/>
        <v>0</v>
      </c>
      <c r="AX436" s="401">
        <f t="shared" ref="AX436:BP436" si="600">$H436*AX280</f>
        <v>0</v>
      </c>
      <c r="AY436" s="401">
        <f t="shared" si="600"/>
        <v>0</v>
      </c>
      <c r="AZ436" s="401">
        <f t="shared" si="600"/>
        <v>0</v>
      </c>
      <c r="BA436" s="401">
        <f t="shared" si="600"/>
        <v>0</v>
      </c>
      <c r="BB436" s="401">
        <f t="shared" si="600"/>
        <v>0</v>
      </c>
      <c r="BC436" s="401">
        <f t="shared" si="600"/>
        <v>0</v>
      </c>
      <c r="BD436" s="401">
        <f t="shared" si="600"/>
        <v>0</v>
      </c>
      <c r="BE436" s="401">
        <f t="shared" si="600"/>
        <v>0</v>
      </c>
      <c r="BF436" s="401">
        <f t="shared" si="600"/>
        <v>0</v>
      </c>
      <c r="BG436" s="401">
        <f t="shared" si="600"/>
        <v>0</v>
      </c>
      <c r="BH436" s="401">
        <f t="shared" si="600"/>
        <v>0</v>
      </c>
      <c r="BI436" s="401">
        <f t="shared" si="600"/>
        <v>0</v>
      </c>
      <c r="BJ436" s="401">
        <f t="shared" si="600"/>
        <v>0</v>
      </c>
      <c r="BK436" s="401">
        <f t="shared" si="600"/>
        <v>0</v>
      </c>
      <c r="BL436" s="401">
        <f t="shared" si="600"/>
        <v>0</v>
      </c>
      <c r="BM436" s="401">
        <f t="shared" si="600"/>
        <v>0</v>
      </c>
      <c r="BN436" s="401">
        <f t="shared" si="600"/>
        <v>0</v>
      </c>
      <c r="BO436" s="401">
        <f t="shared" si="600"/>
        <v>0</v>
      </c>
      <c r="BP436" s="401">
        <f t="shared" si="600"/>
        <v>0</v>
      </c>
    </row>
    <row r="437" spans="2:68" outlineLevel="1" x14ac:dyDescent="0.2">
      <c r="B437" s="20"/>
      <c r="C437" s="80"/>
      <c r="D437" s="81" t="str">
        <f>$D$281</f>
        <v>ICT/OT hardware or software failure risk</v>
      </c>
      <c r="E437" s="80"/>
      <c r="F437" s="80"/>
      <c r="G437" s="83"/>
      <c r="H437" s="83"/>
      <c r="I437" s="83"/>
      <c r="J437" s="85"/>
      <c r="K437" s="401"/>
      <c r="L437" s="436"/>
      <c r="M437" s="457"/>
      <c r="N437" s="455"/>
      <c r="O437" s="455"/>
      <c r="P437" s="455"/>
      <c r="Q437" s="455"/>
      <c r="R437" s="455"/>
      <c r="S437" s="455"/>
      <c r="T437" s="455"/>
      <c r="U437" s="455"/>
      <c r="V437" s="455"/>
      <c r="W437" s="455"/>
      <c r="X437" s="455"/>
      <c r="Y437" s="455"/>
      <c r="Z437" s="455"/>
      <c r="AA437" s="455"/>
      <c r="AB437" s="455"/>
      <c r="AC437" s="455"/>
      <c r="AD437" s="455"/>
      <c r="AE437" s="455"/>
      <c r="AF437" s="455"/>
      <c r="AG437" s="455"/>
      <c r="AH437" s="455"/>
      <c r="AI437" s="455"/>
      <c r="AJ437" s="455"/>
      <c r="AK437" s="455"/>
      <c r="AL437" s="455"/>
      <c r="AM437" s="455"/>
      <c r="AN437" s="455"/>
      <c r="AO437" s="455"/>
      <c r="AP437" s="455"/>
      <c r="AQ437" s="455"/>
      <c r="AR437" s="455"/>
      <c r="AS437" s="455"/>
      <c r="AT437" s="455"/>
      <c r="AU437" s="455"/>
      <c r="AV437" s="455"/>
      <c r="AW437" s="455"/>
      <c r="AX437" s="455"/>
      <c r="AY437" s="455"/>
      <c r="AZ437" s="455"/>
      <c r="BA437" s="455"/>
      <c r="BB437" s="455"/>
      <c r="BC437" s="455"/>
      <c r="BD437" s="455"/>
      <c r="BE437" s="455"/>
      <c r="BF437" s="455"/>
      <c r="BG437" s="455"/>
      <c r="BH437" s="455"/>
      <c r="BI437" s="455"/>
      <c r="BJ437" s="455"/>
      <c r="BK437" s="455"/>
      <c r="BL437" s="455"/>
      <c r="BM437" s="455"/>
      <c r="BN437" s="455"/>
      <c r="BO437" s="455"/>
      <c r="BP437" s="455"/>
    </row>
    <row r="438" spans="2:68" outlineLevel="1" x14ac:dyDescent="0.2">
      <c r="B438" s="20"/>
      <c r="C438" s="80"/>
      <c r="D438" s="402" t="str">
        <f>$D$282</f>
        <v>Cost of manual intervention</v>
      </c>
      <c r="E438" s="80"/>
      <c r="F438" s="80"/>
      <c r="G438" s="477">
        <f>Assumptions!$H$215</f>
        <v>1</v>
      </c>
      <c r="H438" s="477">
        <f>Assumptions!$I$215</f>
        <v>0</v>
      </c>
      <c r="I438" s="83"/>
      <c r="J438" s="85" t="str">
        <f>Assumptions!$K$215</f>
        <v>ICT/OT hardware or software failure risk</v>
      </c>
      <c r="K438" s="401">
        <f t="shared" si="589"/>
        <v>0</v>
      </c>
      <c r="L438" s="436">
        <f t="shared" si="590"/>
        <v>0</v>
      </c>
      <c r="M438" s="457"/>
      <c r="N438" s="455"/>
      <c r="O438" s="455"/>
      <c r="P438" s="455"/>
      <c r="Q438" s="455"/>
      <c r="R438" s="401">
        <f t="shared" ref="R438:AW438" si="601">$H438*R282</f>
        <v>0</v>
      </c>
      <c r="S438" s="401">
        <f t="shared" si="601"/>
        <v>0</v>
      </c>
      <c r="T438" s="401">
        <f t="shared" si="601"/>
        <v>0</v>
      </c>
      <c r="U438" s="401">
        <f t="shared" si="601"/>
        <v>0</v>
      </c>
      <c r="V438" s="401">
        <f t="shared" si="601"/>
        <v>0</v>
      </c>
      <c r="W438" s="401">
        <f t="shared" si="601"/>
        <v>0</v>
      </c>
      <c r="X438" s="401">
        <f t="shared" si="601"/>
        <v>0</v>
      </c>
      <c r="Y438" s="401">
        <f t="shared" si="601"/>
        <v>0</v>
      </c>
      <c r="Z438" s="401">
        <f t="shared" si="601"/>
        <v>0</v>
      </c>
      <c r="AA438" s="401">
        <f t="shared" si="601"/>
        <v>0</v>
      </c>
      <c r="AB438" s="401">
        <f t="shared" si="601"/>
        <v>0</v>
      </c>
      <c r="AC438" s="401">
        <f t="shared" si="601"/>
        <v>0</v>
      </c>
      <c r="AD438" s="401">
        <f t="shared" si="601"/>
        <v>0</v>
      </c>
      <c r="AE438" s="401">
        <f t="shared" si="601"/>
        <v>0</v>
      </c>
      <c r="AF438" s="401">
        <f t="shared" si="601"/>
        <v>0</v>
      </c>
      <c r="AG438" s="401">
        <f t="shared" si="601"/>
        <v>0</v>
      </c>
      <c r="AH438" s="401">
        <f t="shared" si="601"/>
        <v>0</v>
      </c>
      <c r="AI438" s="401">
        <f t="shared" si="601"/>
        <v>0</v>
      </c>
      <c r="AJ438" s="401">
        <f t="shared" si="601"/>
        <v>0</v>
      </c>
      <c r="AK438" s="401">
        <f t="shared" si="601"/>
        <v>0</v>
      </c>
      <c r="AL438" s="401">
        <f t="shared" si="601"/>
        <v>0</v>
      </c>
      <c r="AM438" s="401">
        <f t="shared" si="601"/>
        <v>0</v>
      </c>
      <c r="AN438" s="401">
        <f t="shared" si="601"/>
        <v>0</v>
      </c>
      <c r="AO438" s="401">
        <f t="shared" si="601"/>
        <v>0</v>
      </c>
      <c r="AP438" s="401">
        <f t="shared" si="601"/>
        <v>0</v>
      </c>
      <c r="AQ438" s="401">
        <f t="shared" si="601"/>
        <v>0</v>
      </c>
      <c r="AR438" s="401">
        <f t="shared" si="601"/>
        <v>0</v>
      </c>
      <c r="AS438" s="401">
        <f t="shared" si="601"/>
        <v>0</v>
      </c>
      <c r="AT438" s="401">
        <f t="shared" si="601"/>
        <v>0</v>
      </c>
      <c r="AU438" s="401">
        <f t="shared" si="601"/>
        <v>0</v>
      </c>
      <c r="AV438" s="401">
        <f t="shared" si="601"/>
        <v>0</v>
      </c>
      <c r="AW438" s="401">
        <f t="shared" si="601"/>
        <v>0</v>
      </c>
      <c r="AX438" s="401">
        <f t="shared" ref="AX438:BP438" si="602">$H438*AX282</f>
        <v>0</v>
      </c>
      <c r="AY438" s="401">
        <f t="shared" si="602"/>
        <v>0</v>
      </c>
      <c r="AZ438" s="401">
        <f t="shared" si="602"/>
        <v>0</v>
      </c>
      <c r="BA438" s="401">
        <f t="shared" si="602"/>
        <v>0</v>
      </c>
      <c r="BB438" s="401">
        <f t="shared" si="602"/>
        <v>0</v>
      </c>
      <c r="BC438" s="401">
        <f t="shared" si="602"/>
        <v>0</v>
      </c>
      <c r="BD438" s="401">
        <f t="shared" si="602"/>
        <v>0</v>
      </c>
      <c r="BE438" s="401">
        <f t="shared" si="602"/>
        <v>0</v>
      </c>
      <c r="BF438" s="401">
        <f t="shared" si="602"/>
        <v>0</v>
      </c>
      <c r="BG438" s="401">
        <f t="shared" si="602"/>
        <v>0</v>
      </c>
      <c r="BH438" s="401">
        <f t="shared" si="602"/>
        <v>0</v>
      </c>
      <c r="BI438" s="401">
        <f t="shared" si="602"/>
        <v>0</v>
      </c>
      <c r="BJ438" s="401">
        <f t="shared" si="602"/>
        <v>0</v>
      </c>
      <c r="BK438" s="401">
        <f t="shared" si="602"/>
        <v>0</v>
      </c>
      <c r="BL438" s="401">
        <f t="shared" si="602"/>
        <v>0</v>
      </c>
      <c r="BM438" s="401">
        <f t="shared" si="602"/>
        <v>0</v>
      </c>
      <c r="BN438" s="401">
        <f t="shared" si="602"/>
        <v>0</v>
      </c>
      <c r="BO438" s="401">
        <f t="shared" si="602"/>
        <v>0</v>
      </c>
      <c r="BP438" s="401">
        <f t="shared" si="602"/>
        <v>0</v>
      </c>
    </row>
    <row r="439" spans="2:68" outlineLevel="1" x14ac:dyDescent="0.2">
      <c r="B439" s="20"/>
      <c r="C439" s="80"/>
      <c r="D439" s="402" t="str">
        <f>$D$283</f>
        <v>Loss productive time</v>
      </c>
      <c r="E439" s="80"/>
      <c r="F439" s="80"/>
      <c r="G439" s="83"/>
      <c r="H439" s="83"/>
      <c r="I439" s="83"/>
      <c r="J439" s="85"/>
      <c r="K439" s="401"/>
      <c r="L439" s="436"/>
      <c r="M439" s="457"/>
      <c r="N439" s="455"/>
      <c r="O439" s="455"/>
      <c r="P439" s="455"/>
      <c r="Q439" s="455"/>
      <c r="R439" s="455"/>
      <c r="S439" s="455"/>
      <c r="T439" s="455"/>
      <c r="U439" s="455"/>
      <c r="V439" s="455"/>
      <c r="W439" s="455"/>
      <c r="X439" s="455"/>
      <c r="Y439" s="455"/>
      <c r="Z439" s="455"/>
      <c r="AA439" s="455"/>
      <c r="AB439" s="455"/>
      <c r="AC439" s="455"/>
      <c r="AD439" s="455"/>
      <c r="AE439" s="455"/>
      <c r="AF439" s="455"/>
      <c r="AG439" s="455"/>
      <c r="AH439" s="455"/>
      <c r="AI439" s="455"/>
      <c r="AJ439" s="455"/>
      <c r="AK439" s="455"/>
      <c r="AL439" s="455"/>
      <c r="AM439" s="455"/>
      <c r="AN439" s="455"/>
      <c r="AO439" s="455"/>
      <c r="AP439" s="455"/>
      <c r="AQ439" s="455"/>
      <c r="AR439" s="455"/>
      <c r="AS439" s="455"/>
      <c r="AT439" s="455"/>
      <c r="AU439" s="455"/>
      <c r="AV439" s="455"/>
      <c r="AW439" s="455"/>
      <c r="AX439" s="455"/>
      <c r="AY439" s="455"/>
      <c r="AZ439" s="455"/>
      <c r="BA439" s="455"/>
      <c r="BB439" s="455"/>
      <c r="BC439" s="455"/>
      <c r="BD439" s="455"/>
      <c r="BE439" s="455"/>
      <c r="BF439" s="455"/>
      <c r="BG439" s="455"/>
      <c r="BH439" s="455"/>
      <c r="BI439" s="455"/>
      <c r="BJ439" s="455"/>
      <c r="BK439" s="455"/>
      <c r="BL439" s="455"/>
      <c r="BM439" s="455"/>
      <c r="BN439" s="455"/>
      <c r="BO439" s="455"/>
      <c r="BP439" s="455"/>
    </row>
    <row r="440" spans="2:68" outlineLevel="1" x14ac:dyDescent="0.2">
      <c r="B440" s="20"/>
      <c r="C440" s="80"/>
      <c r="D440" s="403" t="str">
        <f>$D$284</f>
        <v>Additional capex completed without additional labour cost</v>
      </c>
      <c r="E440" s="80"/>
      <c r="F440" s="80"/>
      <c r="G440" s="477">
        <f>Assumptions!$H$217</f>
        <v>1</v>
      </c>
      <c r="H440" s="477">
        <f>Assumptions!$I$217</f>
        <v>0</v>
      </c>
      <c r="I440" s="83"/>
      <c r="J440" s="85" t="str">
        <f>Assumptions!$K$217</f>
        <v>ICT/OT hardware or software failure risk</v>
      </c>
      <c r="K440" s="401">
        <f t="shared" si="589"/>
        <v>0</v>
      </c>
      <c r="L440" s="436">
        <f t="shared" si="590"/>
        <v>0</v>
      </c>
      <c r="M440" s="457"/>
      <c r="N440" s="455"/>
      <c r="O440" s="455"/>
      <c r="P440" s="455"/>
      <c r="Q440" s="455"/>
      <c r="R440" s="401">
        <f t="shared" ref="R440:AW440" si="603">$H440*R284</f>
        <v>0</v>
      </c>
      <c r="S440" s="401">
        <f t="shared" si="603"/>
        <v>0</v>
      </c>
      <c r="T440" s="401">
        <f t="shared" si="603"/>
        <v>0</v>
      </c>
      <c r="U440" s="401">
        <f t="shared" si="603"/>
        <v>0</v>
      </c>
      <c r="V440" s="401">
        <f t="shared" si="603"/>
        <v>0</v>
      </c>
      <c r="W440" s="401">
        <f t="shared" si="603"/>
        <v>0</v>
      </c>
      <c r="X440" s="401">
        <f t="shared" si="603"/>
        <v>0</v>
      </c>
      <c r="Y440" s="401">
        <f t="shared" si="603"/>
        <v>0</v>
      </c>
      <c r="Z440" s="401">
        <f t="shared" si="603"/>
        <v>0</v>
      </c>
      <c r="AA440" s="401">
        <f t="shared" si="603"/>
        <v>0</v>
      </c>
      <c r="AB440" s="401">
        <f t="shared" si="603"/>
        <v>0</v>
      </c>
      <c r="AC440" s="401">
        <f t="shared" si="603"/>
        <v>0</v>
      </c>
      <c r="AD440" s="401">
        <f t="shared" si="603"/>
        <v>0</v>
      </c>
      <c r="AE440" s="401">
        <f t="shared" si="603"/>
        <v>0</v>
      </c>
      <c r="AF440" s="401">
        <f t="shared" si="603"/>
        <v>0</v>
      </c>
      <c r="AG440" s="401">
        <f t="shared" si="603"/>
        <v>0</v>
      </c>
      <c r="AH440" s="401">
        <f t="shared" si="603"/>
        <v>0</v>
      </c>
      <c r="AI440" s="401">
        <f t="shared" si="603"/>
        <v>0</v>
      </c>
      <c r="AJ440" s="401">
        <f t="shared" si="603"/>
        <v>0</v>
      </c>
      <c r="AK440" s="401">
        <f t="shared" si="603"/>
        <v>0</v>
      </c>
      <c r="AL440" s="401">
        <f t="shared" si="603"/>
        <v>0</v>
      </c>
      <c r="AM440" s="401">
        <f t="shared" si="603"/>
        <v>0</v>
      </c>
      <c r="AN440" s="401">
        <f t="shared" si="603"/>
        <v>0</v>
      </c>
      <c r="AO440" s="401">
        <f t="shared" si="603"/>
        <v>0</v>
      </c>
      <c r="AP440" s="401">
        <f t="shared" si="603"/>
        <v>0</v>
      </c>
      <c r="AQ440" s="401">
        <f t="shared" si="603"/>
        <v>0</v>
      </c>
      <c r="AR440" s="401">
        <f t="shared" si="603"/>
        <v>0</v>
      </c>
      <c r="AS440" s="401">
        <f t="shared" si="603"/>
        <v>0</v>
      </c>
      <c r="AT440" s="401">
        <f t="shared" si="603"/>
        <v>0</v>
      </c>
      <c r="AU440" s="401">
        <f t="shared" si="603"/>
        <v>0</v>
      </c>
      <c r="AV440" s="401">
        <f t="shared" si="603"/>
        <v>0</v>
      </c>
      <c r="AW440" s="401">
        <f t="shared" si="603"/>
        <v>0</v>
      </c>
      <c r="AX440" s="401">
        <f t="shared" ref="AX440:BP440" si="604">$H440*AX284</f>
        <v>0</v>
      </c>
      <c r="AY440" s="401">
        <f t="shared" si="604"/>
        <v>0</v>
      </c>
      <c r="AZ440" s="401">
        <f t="shared" si="604"/>
        <v>0</v>
      </c>
      <c r="BA440" s="401">
        <f t="shared" si="604"/>
        <v>0</v>
      </c>
      <c r="BB440" s="401">
        <f t="shared" si="604"/>
        <v>0</v>
      </c>
      <c r="BC440" s="401">
        <f t="shared" si="604"/>
        <v>0</v>
      </c>
      <c r="BD440" s="401">
        <f t="shared" si="604"/>
        <v>0</v>
      </c>
      <c r="BE440" s="401">
        <f t="shared" si="604"/>
        <v>0</v>
      </c>
      <c r="BF440" s="401">
        <f t="shared" si="604"/>
        <v>0</v>
      </c>
      <c r="BG440" s="401">
        <f t="shared" si="604"/>
        <v>0</v>
      </c>
      <c r="BH440" s="401">
        <f t="shared" si="604"/>
        <v>0</v>
      </c>
      <c r="BI440" s="401">
        <f t="shared" si="604"/>
        <v>0</v>
      </c>
      <c r="BJ440" s="401">
        <f t="shared" si="604"/>
        <v>0</v>
      </c>
      <c r="BK440" s="401">
        <f t="shared" si="604"/>
        <v>0</v>
      </c>
      <c r="BL440" s="401">
        <f t="shared" si="604"/>
        <v>0</v>
      </c>
      <c r="BM440" s="401">
        <f t="shared" si="604"/>
        <v>0</v>
      </c>
      <c r="BN440" s="401">
        <f t="shared" si="604"/>
        <v>0</v>
      </c>
      <c r="BO440" s="401">
        <f t="shared" si="604"/>
        <v>0</v>
      </c>
      <c r="BP440" s="401">
        <f t="shared" si="604"/>
        <v>0</v>
      </c>
    </row>
    <row r="441" spans="2:68" outlineLevel="1" x14ac:dyDescent="0.2">
      <c r="B441" s="20"/>
      <c r="C441" s="80"/>
      <c r="D441" s="403" t="str">
        <f>$D$285</f>
        <v>Decrease in opex costs</v>
      </c>
      <c r="E441" s="80"/>
      <c r="F441" s="80"/>
      <c r="G441" s="477">
        <f>Assumptions!$H$218</f>
        <v>1</v>
      </c>
      <c r="H441" s="477">
        <f>Assumptions!$I$218</f>
        <v>1</v>
      </c>
      <c r="I441" s="83"/>
      <c r="J441" s="85" t="str">
        <f>Assumptions!$K$218</f>
        <v>ICT/OT hardware or software failure risk</v>
      </c>
      <c r="K441" s="401">
        <f t="shared" si="589"/>
        <v>0</v>
      </c>
      <c r="L441" s="436">
        <f t="shared" si="590"/>
        <v>0</v>
      </c>
      <c r="M441" s="457"/>
      <c r="N441" s="455"/>
      <c r="O441" s="455"/>
      <c r="P441" s="455"/>
      <c r="Q441" s="455"/>
      <c r="R441" s="401">
        <f>IF(R$15&lt;Assumptions!$O218+$L$206,0,$H441*R285)</f>
        <v>0</v>
      </c>
      <c r="S441" s="401">
        <f>IF(S$15&lt;Assumptions!$O218+$L$206,0,$H441*S285)</f>
        <v>0</v>
      </c>
      <c r="T441" s="401">
        <f>IF(T$15&lt;Assumptions!$O218+$L$206,0,$H441*T285)</f>
        <v>0</v>
      </c>
      <c r="U441" s="401">
        <f>IF(U$15&lt;Assumptions!$O218+$L$206,0,$H441*U285)</f>
        <v>0</v>
      </c>
      <c r="V441" s="401">
        <f>IF(V$15&lt;Assumptions!$O218+$L$206,0,$H441*V285)</f>
        <v>0</v>
      </c>
      <c r="W441" s="401">
        <f>IF(W$15&lt;Assumptions!$O218+$L$206,0,$H441*W285)</f>
        <v>0</v>
      </c>
      <c r="X441" s="401">
        <f>IF(X$15&lt;Assumptions!$O218+$L$206,0,$H441*X285)</f>
        <v>0</v>
      </c>
      <c r="Y441" s="401">
        <f>IF(Y$15&lt;Assumptions!$O218+$L$206,0,$H441*Y285)</f>
        <v>0</v>
      </c>
      <c r="Z441" s="401">
        <f>IF(Z$15&lt;Assumptions!$O218+$L$206,0,$H441*Z285)</f>
        <v>0</v>
      </c>
      <c r="AA441" s="401">
        <f>IF(AA$15&lt;Assumptions!$O218+$L$206,0,$H441*AA285)</f>
        <v>0</v>
      </c>
      <c r="AB441" s="401">
        <f>IF(AB$15&lt;Assumptions!$O218+$L$206,0,$H441*AB285)</f>
        <v>0</v>
      </c>
      <c r="AC441" s="401">
        <f>IF(AC$15&lt;Assumptions!$O218+$L$206,0,$H441*AC285)</f>
        <v>0</v>
      </c>
      <c r="AD441" s="401">
        <f>IF(AD$15&lt;Assumptions!$O218+$L$206,0,$H441*AD285)</f>
        <v>0</v>
      </c>
      <c r="AE441" s="401">
        <f>IF(AE$15&lt;Assumptions!$O218+$L$206,0,$H441*AE285)</f>
        <v>0</v>
      </c>
      <c r="AF441" s="401">
        <f>IF(AF$15&lt;Assumptions!$O218+$L$206,0,$H441*AF285)</f>
        <v>0</v>
      </c>
      <c r="AG441" s="401">
        <f>IF(AG$15&lt;Assumptions!$O218+$L$206,0,$H441*AG285)</f>
        <v>0</v>
      </c>
      <c r="AH441" s="401">
        <f>IF(AH$15&lt;Assumptions!$O218+$L$206,0,$H441*AH285)</f>
        <v>0</v>
      </c>
      <c r="AI441" s="401">
        <f>IF(AI$15&lt;Assumptions!$O218+$L$206,0,$H441*AI285)</f>
        <v>0</v>
      </c>
      <c r="AJ441" s="401">
        <f>IF(AJ$15&lt;Assumptions!$O218+$L$206,0,$H441*AJ285)</f>
        <v>0</v>
      </c>
      <c r="AK441" s="401">
        <f>IF(AK$15&lt;Assumptions!$O218+$L$206,0,$H441*AK285)</f>
        <v>0</v>
      </c>
      <c r="AL441" s="401">
        <f>IF(AL$15&lt;Assumptions!$O218+$L$206,0,$H441*AL285)</f>
        <v>0</v>
      </c>
      <c r="AM441" s="401">
        <f>IF(AM$15&lt;Assumptions!$O218+$L$206,0,$H441*AM285)</f>
        <v>0</v>
      </c>
      <c r="AN441" s="401">
        <f>IF(AN$15&lt;Assumptions!$O218+$L$206,0,$H441*AN285)</f>
        <v>0</v>
      </c>
      <c r="AO441" s="401">
        <f>IF(AO$15&lt;Assumptions!$O218+$L$206,0,$H441*AO285)</f>
        <v>0</v>
      </c>
      <c r="AP441" s="401">
        <f>IF(AP$15&lt;Assumptions!$O218+$L$206,0,$H441*AP285)</f>
        <v>0</v>
      </c>
      <c r="AQ441" s="401">
        <f>IF(AQ$15&lt;Assumptions!$O218+$L$206,0,$H441*AQ285)</f>
        <v>0</v>
      </c>
      <c r="AR441" s="401">
        <f>IF(AR$15&lt;Assumptions!$O218+$L$206,0,$H441*AR285)</f>
        <v>0</v>
      </c>
      <c r="AS441" s="401">
        <f>IF(AS$15&lt;Assumptions!$O218+$L$206,0,$H441*AS285)</f>
        <v>0</v>
      </c>
      <c r="AT441" s="401">
        <f>IF(AT$15&lt;Assumptions!$O218+$L$206,0,$H441*AT285)</f>
        <v>0</v>
      </c>
      <c r="AU441" s="401">
        <f>IF(AU$15&lt;Assumptions!$O218+$L$206,0,$H441*AU285)</f>
        <v>0</v>
      </c>
      <c r="AV441" s="401">
        <f>IF(AV$15&lt;Assumptions!$O218+$L$206,0,$H441*AV285)</f>
        <v>0</v>
      </c>
      <c r="AW441" s="401">
        <f>IF(AW$15&lt;Assumptions!$O218+$L$206,0,$H441*AW285)</f>
        <v>0</v>
      </c>
      <c r="AX441" s="401">
        <f>IF(AX$15&lt;Assumptions!$O218+$L$206,0,$H441*AX285)</f>
        <v>0</v>
      </c>
      <c r="AY441" s="401">
        <f>IF(AY$15&lt;Assumptions!$O218+$L$206,0,$H441*AY285)</f>
        <v>0</v>
      </c>
      <c r="AZ441" s="401">
        <f>IF(AZ$15&lt;Assumptions!$O218+$L$206,0,$H441*AZ285)</f>
        <v>0</v>
      </c>
      <c r="BA441" s="401">
        <f>IF(BA$15&lt;Assumptions!$O218+$L$206,0,$H441*BA285)</f>
        <v>0</v>
      </c>
      <c r="BB441" s="401">
        <f>IF(BB$15&lt;Assumptions!$O218+$L$206,0,$H441*BB285)</f>
        <v>0</v>
      </c>
      <c r="BC441" s="401">
        <f>IF(BC$15&lt;Assumptions!$O218+$L$206,0,$H441*BC285)</f>
        <v>0</v>
      </c>
      <c r="BD441" s="401">
        <f>IF(BD$15&lt;Assumptions!$O218+$L$206,0,$H441*BD285)</f>
        <v>0</v>
      </c>
      <c r="BE441" s="401">
        <f>IF(BE$15&lt;Assumptions!$O218+$L$206,0,$H441*BE285)</f>
        <v>0</v>
      </c>
      <c r="BF441" s="401">
        <f>IF(BF$15&lt;Assumptions!$O218+$L$206,0,$H441*BF285)</f>
        <v>0</v>
      </c>
      <c r="BG441" s="401">
        <f>IF(BG$15&lt;Assumptions!$O218+$L$206,0,$H441*BG285)</f>
        <v>0</v>
      </c>
      <c r="BH441" s="401">
        <f>IF(BH$15&lt;Assumptions!$O218+$L$206,0,$H441*BH285)</f>
        <v>0</v>
      </c>
      <c r="BI441" s="401">
        <f>IF(BI$15&lt;Assumptions!$O218+$L$206,0,$H441*BI285)</f>
        <v>0</v>
      </c>
      <c r="BJ441" s="401">
        <f>IF(BJ$15&lt;Assumptions!$O218+$L$206,0,$H441*BJ285)</f>
        <v>0</v>
      </c>
      <c r="BK441" s="401">
        <f>IF(BK$15&lt;Assumptions!$O218+$L$206,0,$H441*BK285)</f>
        <v>0</v>
      </c>
      <c r="BL441" s="401">
        <f>IF(BL$15&lt;Assumptions!$O218+$L$206,0,$H441*BL285)</f>
        <v>0</v>
      </c>
      <c r="BM441" s="401">
        <f>IF(BM$15&lt;Assumptions!$O218+$L$206,0,$H441*BM285)</f>
        <v>0</v>
      </c>
      <c r="BN441" s="401">
        <f>IF(BN$15&lt;Assumptions!$O218+$L$206,0,$H441*BN285)</f>
        <v>0</v>
      </c>
      <c r="BO441" s="401">
        <f>IF(BO$15&lt;Assumptions!$O218+$L$206,0,$H441*BO285)</f>
        <v>0</v>
      </c>
      <c r="BP441" s="401">
        <f>IF(BP$15&lt;Assumptions!$O218+$L$206,0,$H441*BP285)</f>
        <v>0</v>
      </c>
    </row>
    <row r="442" spans="2:68" outlineLevel="1" x14ac:dyDescent="0.2">
      <c r="B442" s="20"/>
      <c r="C442" s="80"/>
      <c r="D442" s="402" t="str">
        <f>$D$286</f>
        <v>Safety risk</v>
      </c>
      <c r="E442" s="80"/>
      <c r="F442" s="80"/>
      <c r="G442" s="477">
        <f>Assumptions!$H$219</f>
        <v>0</v>
      </c>
      <c r="H442" s="477">
        <f>Assumptions!$I$219</f>
        <v>1</v>
      </c>
      <c r="I442" s="83"/>
      <c r="J442" s="85" t="str">
        <f>Assumptions!$K$219</f>
        <v>ICT/OT hardware or software failure risk</v>
      </c>
      <c r="K442" s="401">
        <f t="shared" si="589"/>
        <v>0</v>
      </c>
      <c r="L442" s="436">
        <f t="shared" si="590"/>
        <v>0</v>
      </c>
      <c r="M442" s="457"/>
      <c r="N442" s="455"/>
      <c r="O442" s="455"/>
      <c r="P442" s="455"/>
      <c r="Q442" s="455"/>
      <c r="R442" s="401">
        <f t="shared" ref="R442:AW442" si="605">$H442*R286</f>
        <v>0</v>
      </c>
      <c r="S442" s="401">
        <f t="shared" si="605"/>
        <v>0</v>
      </c>
      <c r="T442" s="401">
        <f t="shared" si="605"/>
        <v>0</v>
      </c>
      <c r="U442" s="401">
        <f t="shared" si="605"/>
        <v>0</v>
      </c>
      <c r="V442" s="401">
        <f t="shared" si="605"/>
        <v>0</v>
      </c>
      <c r="W442" s="401">
        <f t="shared" si="605"/>
        <v>0</v>
      </c>
      <c r="X442" s="401">
        <f t="shared" si="605"/>
        <v>0</v>
      </c>
      <c r="Y442" s="401">
        <f t="shared" si="605"/>
        <v>0</v>
      </c>
      <c r="Z442" s="401">
        <f t="shared" si="605"/>
        <v>0</v>
      </c>
      <c r="AA442" s="401">
        <f t="shared" si="605"/>
        <v>0</v>
      </c>
      <c r="AB442" s="401">
        <f t="shared" si="605"/>
        <v>0</v>
      </c>
      <c r="AC442" s="401">
        <f t="shared" si="605"/>
        <v>0</v>
      </c>
      <c r="AD442" s="401">
        <f t="shared" si="605"/>
        <v>0</v>
      </c>
      <c r="AE442" s="401">
        <f t="shared" si="605"/>
        <v>0</v>
      </c>
      <c r="AF442" s="401">
        <f t="shared" si="605"/>
        <v>0</v>
      </c>
      <c r="AG442" s="401">
        <f t="shared" si="605"/>
        <v>0</v>
      </c>
      <c r="AH442" s="401">
        <f t="shared" si="605"/>
        <v>0</v>
      </c>
      <c r="AI442" s="401">
        <f t="shared" si="605"/>
        <v>0</v>
      </c>
      <c r="AJ442" s="401">
        <f t="shared" si="605"/>
        <v>0</v>
      </c>
      <c r="AK442" s="401">
        <f t="shared" si="605"/>
        <v>0</v>
      </c>
      <c r="AL442" s="401">
        <f t="shared" si="605"/>
        <v>0</v>
      </c>
      <c r="AM442" s="401">
        <f t="shared" si="605"/>
        <v>0</v>
      </c>
      <c r="AN442" s="401">
        <f t="shared" si="605"/>
        <v>0</v>
      </c>
      <c r="AO442" s="401">
        <f t="shared" si="605"/>
        <v>0</v>
      </c>
      <c r="AP442" s="401">
        <f t="shared" si="605"/>
        <v>0</v>
      </c>
      <c r="AQ442" s="401">
        <f t="shared" si="605"/>
        <v>0</v>
      </c>
      <c r="AR442" s="401">
        <f t="shared" si="605"/>
        <v>0</v>
      </c>
      <c r="AS442" s="401">
        <f t="shared" si="605"/>
        <v>0</v>
      </c>
      <c r="AT442" s="401">
        <f t="shared" si="605"/>
        <v>0</v>
      </c>
      <c r="AU442" s="401">
        <f t="shared" si="605"/>
        <v>0</v>
      </c>
      <c r="AV442" s="401">
        <f t="shared" si="605"/>
        <v>0</v>
      </c>
      <c r="AW442" s="401">
        <f t="shared" si="605"/>
        <v>0</v>
      </c>
      <c r="AX442" s="401">
        <f t="shared" ref="AX442:BP442" si="606">$H442*AX286</f>
        <v>0</v>
      </c>
      <c r="AY442" s="401">
        <f t="shared" si="606"/>
        <v>0</v>
      </c>
      <c r="AZ442" s="401">
        <f t="shared" si="606"/>
        <v>0</v>
      </c>
      <c r="BA442" s="401">
        <f t="shared" si="606"/>
        <v>0</v>
      </c>
      <c r="BB442" s="401">
        <f t="shared" si="606"/>
        <v>0</v>
      </c>
      <c r="BC442" s="401">
        <f t="shared" si="606"/>
        <v>0</v>
      </c>
      <c r="BD442" s="401">
        <f t="shared" si="606"/>
        <v>0</v>
      </c>
      <c r="BE442" s="401">
        <f t="shared" si="606"/>
        <v>0</v>
      </c>
      <c r="BF442" s="401">
        <f t="shared" si="606"/>
        <v>0</v>
      </c>
      <c r="BG442" s="401">
        <f t="shared" si="606"/>
        <v>0</v>
      </c>
      <c r="BH442" s="401">
        <f t="shared" si="606"/>
        <v>0</v>
      </c>
      <c r="BI442" s="401">
        <f t="shared" si="606"/>
        <v>0</v>
      </c>
      <c r="BJ442" s="401">
        <f t="shared" si="606"/>
        <v>0</v>
      </c>
      <c r="BK442" s="401">
        <f t="shared" si="606"/>
        <v>0</v>
      </c>
      <c r="BL442" s="401">
        <f t="shared" si="606"/>
        <v>0</v>
      </c>
      <c r="BM442" s="401">
        <f t="shared" si="606"/>
        <v>0</v>
      </c>
      <c r="BN442" s="401">
        <f t="shared" si="606"/>
        <v>0</v>
      </c>
      <c r="BO442" s="401">
        <f t="shared" si="606"/>
        <v>0</v>
      </c>
      <c r="BP442" s="401">
        <f t="shared" si="606"/>
        <v>0</v>
      </c>
    </row>
    <row r="443" spans="2:68" outlineLevel="1" x14ac:dyDescent="0.2">
      <c r="B443" s="20"/>
      <c r="C443" s="80"/>
      <c r="D443" s="81" t="str">
        <f>$D$287</f>
        <v>Employee engagement</v>
      </c>
      <c r="E443" s="80"/>
      <c r="F443" s="80"/>
      <c r="G443" s="83"/>
      <c r="H443" s="83"/>
      <c r="I443" s="83"/>
      <c r="J443" s="85"/>
      <c r="K443" s="401"/>
      <c r="L443" s="436"/>
      <c r="M443" s="457"/>
      <c r="N443" s="455"/>
      <c r="O443" s="455"/>
      <c r="P443" s="455"/>
      <c r="Q443" s="455"/>
      <c r="R443" s="455"/>
      <c r="S443" s="455"/>
      <c r="T443" s="455"/>
      <c r="U443" s="455"/>
      <c r="V443" s="455"/>
      <c r="W443" s="455"/>
      <c r="X443" s="455"/>
      <c r="Y443" s="455"/>
      <c r="Z443" s="455"/>
      <c r="AA443" s="455"/>
      <c r="AB443" s="455"/>
      <c r="AC443" s="455"/>
      <c r="AD443" s="455"/>
      <c r="AE443" s="455"/>
      <c r="AF443" s="455"/>
      <c r="AG443" s="455"/>
      <c r="AH443" s="455"/>
      <c r="AI443" s="455"/>
      <c r="AJ443" s="455"/>
      <c r="AK443" s="455"/>
      <c r="AL443" s="455"/>
      <c r="AM443" s="455"/>
      <c r="AN443" s="455"/>
      <c r="AO443" s="455"/>
      <c r="AP443" s="455"/>
      <c r="AQ443" s="455"/>
      <c r="AR443" s="455"/>
      <c r="AS443" s="455"/>
      <c r="AT443" s="455"/>
      <c r="AU443" s="455"/>
      <c r="AV443" s="455"/>
      <c r="AW443" s="455"/>
      <c r="AX443" s="455"/>
      <c r="AY443" s="455"/>
      <c r="AZ443" s="455"/>
      <c r="BA443" s="455"/>
      <c r="BB443" s="455"/>
      <c r="BC443" s="455"/>
      <c r="BD443" s="455"/>
      <c r="BE443" s="455"/>
      <c r="BF443" s="455"/>
      <c r="BG443" s="455"/>
      <c r="BH443" s="455"/>
      <c r="BI443" s="455"/>
      <c r="BJ443" s="455"/>
      <c r="BK443" s="455"/>
      <c r="BL443" s="455"/>
      <c r="BM443" s="455"/>
      <c r="BN443" s="455"/>
      <c r="BO443" s="455"/>
      <c r="BP443" s="455"/>
    </row>
    <row r="444" spans="2:68" outlineLevel="1" x14ac:dyDescent="0.2">
      <c r="B444" s="20"/>
      <c r="C444" s="80"/>
      <c r="D444" s="403" t="str">
        <f>$D$288</f>
        <v>Additional capex completed without additional labour cost</v>
      </c>
      <c r="E444" s="80"/>
      <c r="F444" s="80"/>
      <c r="G444" s="477">
        <f>Assumptions!$H$221</f>
        <v>1</v>
      </c>
      <c r="H444" s="477">
        <f>Assumptions!$I$221</f>
        <v>0</v>
      </c>
      <c r="I444" s="83"/>
      <c r="J444" s="85" t="str">
        <f>Assumptions!$K$221</f>
        <v>Employee engagement</v>
      </c>
      <c r="K444" s="401">
        <f t="shared" si="589"/>
        <v>0</v>
      </c>
      <c r="L444" s="436">
        <f t="shared" si="590"/>
        <v>0</v>
      </c>
      <c r="M444" s="457"/>
      <c r="N444" s="455"/>
      <c r="O444" s="455"/>
      <c r="P444" s="455"/>
      <c r="Q444" s="455"/>
      <c r="R444" s="401">
        <f t="shared" ref="R444:AW444" si="607">$H444*R288</f>
        <v>0</v>
      </c>
      <c r="S444" s="401">
        <f t="shared" si="607"/>
        <v>0</v>
      </c>
      <c r="T444" s="401">
        <f t="shared" si="607"/>
        <v>0</v>
      </c>
      <c r="U444" s="401">
        <f t="shared" si="607"/>
        <v>0</v>
      </c>
      <c r="V444" s="401">
        <f t="shared" si="607"/>
        <v>0</v>
      </c>
      <c r="W444" s="401">
        <f t="shared" si="607"/>
        <v>0</v>
      </c>
      <c r="X444" s="401">
        <f t="shared" si="607"/>
        <v>0</v>
      </c>
      <c r="Y444" s="401">
        <f t="shared" si="607"/>
        <v>0</v>
      </c>
      <c r="Z444" s="401">
        <f t="shared" si="607"/>
        <v>0</v>
      </c>
      <c r="AA444" s="401">
        <f t="shared" si="607"/>
        <v>0</v>
      </c>
      <c r="AB444" s="401">
        <f t="shared" si="607"/>
        <v>0</v>
      </c>
      <c r="AC444" s="401">
        <f t="shared" si="607"/>
        <v>0</v>
      </c>
      <c r="AD444" s="401">
        <f t="shared" si="607"/>
        <v>0</v>
      </c>
      <c r="AE444" s="401">
        <f t="shared" si="607"/>
        <v>0</v>
      </c>
      <c r="AF444" s="401">
        <f t="shared" si="607"/>
        <v>0</v>
      </c>
      <c r="AG444" s="401">
        <f t="shared" si="607"/>
        <v>0</v>
      </c>
      <c r="AH444" s="401">
        <f t="shared" si="607"/>
        <v>0</v>
      </c>
      <c r="AI444" s="401">
        <f t="shared" si="607"/>
        <v>0</v>
      </c>
      <c r="AJ444" s="401">
        <f t="shared" si="607"/>
        <v>0</v>
      </c>
      <c r="AK444" s="401">
        <f t="shared" si="607"/>
        <v>0</v>
      </c>
      <c r="AL444" s="401">
        <f t="shared" si="607"/>
        <v>0</v>
      </c>
      <c r="AM444" s="401">
        <f t="shared" si="607"/>
        <v>0</v>
      </c>
      <c r="AN444" s="401">
        <f t="shared" si="607"/>
        <v>0</v>
      </c>
      <c r="AO444" s="401">
        <f t="shared" si="607"/>
        <v>0</v>
      </c>
      <c r="AP444" s="401">
        <f t="shared" si="607"/>
        <v>0</v>
      </c>
      <c r="AQ444" s="401">
        <f t="shared" si="607"/>
        <v>0</v>
      </c>
      <c r="AR444" s="401">
        <f t="shared" si="607"/>
        <v>0</v>
      </c>
      <c r="AS444" s="401">
        <f t="shared" si="607"/>
        <v>0</v>
      </c>
      <c r="AT444" s="401">
        <f t="shared" si="607"/>
        <v>0</v>
      </c>
      <c r="AU444" s="401">
        <f t="shared" si="607"/>
        <v>0</v>
      </c>
      <c r="AV444" s="401">
        <f t="shared" si="607"/>
        <v>0</v>
      </c>
      <c r="AW444" s="401">
        <f t="shared" si="607"/>
        <v>0</v>
      </c>
      <c r="AX444" s="401">
        <f t="shared" ref="AX444:BP444" si="608">$H444*AX288</f>
        <v>0</v>
      </c>
      <c r="AY444" s="401">
        <f t="shared" si="608"/>
        <v>0</v>
      </c>
      <c r="AZ444" s="401">
        <f t="shared" si="608"/>
        <v>0</v>
      </c>
      <c r="BA444" s="401">
        <f t="shared" si="608"/>
        <v>0</v>
      </c>
      <c r="BB444" s="401">
        <f t="shared" si="608"/>
        <v>0</v>
      </c>
      <c r="BC444" s="401">
        <f t="shared" si="608"/>
        <v>0</v>
      </c>
      <c r="BD444" s="401">
        <f t="shared" si="608"/>
        <v>0</v>
      </c>
      <c r="BE444" s="401">
        <f t="shared" si="608"/>
        <v>0</v>
      </c>
      <c r="BF444" s="401">
        <f t="shared" si="608"/>
        <v>0</v>
      </c>
      <c r="BG444" s="401">
        <f t="shared" si="608"/>
        <v>0</v>
      </c>
      <c r="BH444" s="401">
        <f t="shared" si="608"/>
        <v>0</v>
      </c>
      <c r="BI444" s="401">
        <f t="shared" si="608"/>
        <v>0</v>
      </c>
      <c r="BJ444" s="401">
        <f t="shared" si="608"/>
        <v>0</v>
      </c>
      <c r="BK444" s="401">
        <f t="shared" si="608"/>
        <v>0</v>
      </c>
      <c r="BL444" s="401">
        <f t="shared" si="608"/>
        <v>0</v>
      </c>
      <c r="BM444" s="401">
        <f t="shared" si="608"/>
        <v>0</v>
      </c>
      <c r="BN444" s="401">
        <f t="shared" si="608"/>
        <v>0</v>
      </c>
      <c r="BO444" s="401">
        <f t="shared" si="608"/>
        <v>0</v>
      </c>
      <c r="BP444" s="401">
        <f t="shared" si="608"/>
        <v>0</v>
      </c>
    </row>
    <row r="445" spans="2:68" outlineLevel="1" x14ac:dyDescent="0.2">
      <c r="B445" s="20"/>
      <c r="C445" s="80"/>
      <c r="D445" s="403" t="str">
        <f>$D$289</f>
        <v>Decrease in opex costs</v>
      </c>
      <c r="E445" s="80"/>
      <c r="F445" s="80"/>
      <c r="G445" s="477">
        <f>Assumptions!$H$222</f>
        <v>1</v>
      </c>
      <c r="H445" s="477">
        <f>Assumptions!$I$222</f>
        <v>1</v>
      </c>
      <c r="I445" s="83"/>
      <c r="J445" s="85" t="str">
        <f>Assumptions!$K$222</f>
        <v>Employee engagement</v>
      </c>
      <c r="K445" s="401">
        <f t="shared" si="589"/>
        <v>0</v>
      </c>
      <c r="L445" s="436">
        <f t="shared" si="590"/>
        <v>0</v>
      </c>
      <c r="M445" s="457"/>
      <c r="N445" s="455"/>
      <c r="O445" s="455"/>
      <c r="P445" s="455"/>
      <c r="Q445" s="455"/>
      <c r="R445" s="401">
        <f>IF(R$15&lt;Assumptions!$O222+$L$211,0,$H445*R289)</f>
        <v>0</v>
      </c>
      <c r="S445" s="401">
        <f>IF(S$15&lt;Assumptions!$O222+$L$211,0,$H445*S289)</f>
        <v>0</v>
      </c>
      <c r="T445" s="401">
        <f>IF(T$15&lt;Assumptions!$O222+$L$211,0,$H445*T289)</f>
        <v>0</v>
      </c>
      <c r="U445" s="401">
        <f>IF(U$15&lt;Assumptions!$O222+$L$211,0,$H445*U289)</f>
        <v>0</v>
      </c>
      <c r="V445" s="401">
        <f>IF(V$15&lt;Assumptions!$O222+$L$211,0,$H445*V289)</f>
        <v>0</v>
      </c>
      <c r="W445" s="401">
        <f>IF(W$15&lt;Assumptions!$O222+$L$211,0,$H445*W289)</f>
        <v>0</v>
      </c>
      <c r="X445" s="401">
        <f>IF(X$15&lt;Assumptions!$O222+$L$211,0,$H445*X289)</f>
        <v>0</v>
      </c>
      <c r="Y445" s="401">
        <f>IF(Y$15&lt;Assumptions!$O222+$L$211,0,$H445*Y289)</f>
        <v>0</v>
      </c>
      <c r="Z445" s="401">
        <f>IF(Z$15&lt;Assumptions!$O222+$L$211,0,$H445*Z289)</f>
        <v>0</v>
      </c>
      <c r="AA445" s="401">
        <f>IF(AA$15&lt;Assumptions!$O222+$L$211,0,$H445*AA289)</f>
        <v>0</v>
      </c>
      <c r="AB445" s="401">
        <f>IF(AB$15&lt;Assumptions!$O222+$L$211,0,$H445*AB289)</f>
        <v>0</v>
      </c>
      <c r="AC445" s="401">
        <f>IF(AC$15&lt;Assumptions!$O222+$L$211,0,$H445*AC289)</f>
        <v>0</v>
      </c>
      <c r="AD445" s="401">
        <f>IF(AD$15&lt;Assumptions!$O222+$L$211,0,$H445*AD289)</f>
        <v>0</v>
      </c>
      <c r="AE445" s="401">
        <f>IF(AE$15&lt;Assumptions!$O222+$L$211,0,$H445*AE289)</f>
        <v>0</v>
      </c>
      <c r="AF445" s="401">
        <f>IF(AF$15&lt;Assumptions!$O222+$L$211,0,$H445*AF289)</f>
        <v>0</v>
      </c>
      <c r="AG445" s="401">
        <f>IF(AG$15&lt;Assumptions!$O222+$L$211,0,$H445*AG289)</f>
        <v>0</v>
      </c>
      <c r="AH445" s="401">
        <f>IF(AH$15&lt;Assumptions!$O222+$L$211,0,$H445*AH289)</f>
        <v>0</v>
      </c>
      <c r="AI445" s="401">
        <f>IF(AI$15&lt;Assumptions!$O222+$L$211,0,$H445*AI289)</f>
        <v>0</v>
      </c>
      <c r="AJ445" s="401">
        <f>IF(AJ$15&lt;Assumptions!$O222+$L$211,0,$H445*AJ289)</f>
        <v>0</v>
      </c>
      <c r="AK445" s="401">
        <f>IF(AK$15&lt;Assumptions!$O222+$L$211,0,$H445*AK289)</f>
        <v>0</v>
      </c>
      <c r="AL445" s="401">
        <f>IF(AL$15&lt;Assumptions!$O222+$L$211,0,$H445*AL289)</f>
        <v>0</v>
      </c>
      <c r="AM445" s="401">
        <f>IF(AM$15&lt;Assumptions!$O222+$L$211,0,$H445*AM289)</f>
        <v>0</v>
      </c>
      <c r="AN445" s="401">
        <f>IF(AN$15&lt;Assumptions!$O222+$L$211,0,$H445*AN289)</f>
        <v>0</v>
      </c>
      <c r="AO445" s="401">
        <f>IF(AO$15&lt;Assumptions!$O222+$L$211,0,$H445*AO289)</f>
        <v>0</v>
      </c>
      <c r="AP445" s="401">
        <f>IF(AP$15&lt;Assumptions!$O222+$L$211,0,$H445*AP289)</f>
        <v>0</v>
      </c>
      <c r="AQ445" s="401">
        <f>IF(AQ$15&lt;Assumptions!$O222+$L$211,0,$H445*AQ289)</f>
        <v>0</v>
      </c>
      <c r="AR445" s="401">
        <f>IF(AR$15&lt;Assumptions!$O222+$L$211,0,$H445*AR289)</f>
        <v>0</v>
      </c>
      <c r="AS445" s="401">
        <f>IF(AS$15&lt;Assumptions!$O222+$L$211,0,$H445*AS289)</f>
        <v>0</v>
      </c>
      <c r="AT445" s="401">
        <f>IF(AT$15&lt;Assumptions!$O222+$L$211,0,$H445*AT289)</f>
        <v>0</v>
      </c>
      <c r="AU445" s="401">
        <f>IF(AU$15&lt;Assumptions!$O222+$L$211,0,$H445*AU289)</f>
        <v>0</v>
      </c>
      <c r="AV445" s="401">
        <f>IF(AV$15&lt;Assumptions!$O222+$L$211,0,$H445*AV289)</f>
        <v>0</v>
      </c>
      <c r="AW445" s="401">
        <f>IF(AW$15&lt;Assumptions!$O222+$L$211,0,$H445*AW289)</f>
        <v>0</v>
      </c>
      <c r="AX445" s="401">
        <f>IF(AX$15&lt;Assumptions!$O222+$L$211,0,$H445*AX289)</f>
        <v>0</v>
      </c>
      <c r="AY445" s="401">
        <f>IF(AY$15&lt;Assumptions!$O222+$L$211,0,$H445*AY289)</f>
        <v>0</v>
      </c>
      <c r="AZ445" s="401">
        <f>IF(AZ$15&lt;Assumptions!$O222+$L$211,0,$H445*AZ289)</f>
        <v>0</v>
      </c>
      <c r="BA445" s="401">
        <f>IF(BA$15&lt;Assumptions!$O222+$L$211,0,$H445*BA289)</f>
        <v>0</v>
      </c>
      <c r="BB445" s="401">
        <f>IF(BB$15&lt;Assumptions!$O222+$L$211,0,$H445*BB289)</f>
        <v>0</v>
      </c>
      <c r="BC445" s="401">
        <f>IF(BC$15&lt;Assumptions!$O222+$L$211,0,$H445*BC289)</f>
        <v>0</v>
      </c>
      <c r="BD445" s="401">
        <f>IF(BD$15&lt;Assumptions!$O222+$L$211,0,$H445*BD289)</f>
        <v>0</v>
      </c>
      <c r="BE445" s="401">
        <f>IF(BE$15&lt;Assumptions!$O222+$L$211,0,$H445*BE289)</f>
        <v>0</v>
      </c>
      <c r="BF445" s="401">
        <f>IF(BF$15&lt;Assumptions!$O222+$L$211,0,$H445*BF289)</f>
        <v>0</v>
      </c>
      <c r="BG445" s="401">
        <f>IF(BG$15&lt;Assumptions!$O222+$L$211,0,$H445*BG289)</f>
        <v>0</v>
      </c>
      <c r="BH445" s="401">
        <f>IF(BH$15&lt;Assumptions!$O222+$L$211,0,$H445*BH289)</f>
        <v>0</v>
      </c>
      <c r="BI445" s="401">
        <f>IF(BI$15&lt;Assumptions!$O222+$L$211,0,$H445*BI289)</f>
        <v>0</v>
      </c>
      <c r="BJ445" s="401">
        <f>IF(BJ$15&lt;Assumptions!$O222+$L$211,0,$H445*BJ289)</f>
        <v>0</v>
      </c>
      <c r="BK445" s="401">
        <f>IF(BK$15&lt;Assumptions!$O222+$L$211,0,$H445*BK289)</f>
        <v>0</v>
      </c>
      <c r="BL445" s="401">
        <f>IF(BL$15&lt;Assumptions!$O222+$L$211,0,$H445*BL289)</f>
        <v>0</v>
      </c>
      <c r="BM445" s="401">
        <f>IF(BM$15&lt;Assumptions!$O222+$L$211,0,$H445*BM289)</f>
        <v>0</v>
      </c>
      <c r="BN445" s="401">
        <f>IF(BN$15&lt;Assumptions!$O222+$L$211,0,$H445*BN289)</f>
        <v>0</v>
      </c>
      <c r="BO445" s="401">
        <f>IF(BO$15&lt;Assumptions!$O222+$L$211,0,$H445*BO289)</f>
        <v>0</v>
      </c>
      <c r="BP445" s="401">
        <f>IF(BP$15&lt;Assumptions!$O222+$L$211,0,$H445*BP289)</f>
        <v>0</v>
      </c>
    </row>
    <row r="446" spans="2:68" outlineLevel="1" x14ac:dyDescent="0.2">
      <c r="B446" s="20"/>
      <c r="C446" s="80"/>
      <c r="D446" s="81" t="str">
        <f>$D$290</f>
        <v>Customer value</v>
      </c>
      <c r="E446" s="80"/>
      <c r="F446" s="80"/>
      <c r="G446" s="477">
        <f>Assumptions!$H$223</f>
        <v>0</v>
      </c>
      <c r="H446" s="477">
        <f>Assumptions!$I$223</f>
        <v>1</v>
      </c>
      <c r="I446" s="83"/>
      <c r="J446" s="85" t="str">
        <f>Assumptions!$K$223</f>
        <v>Customer value</v>
      </c>
      <c r="K446" s="401">
        <f t="shared" si="589"/>
        <v>3969253.7729400867</v>
      </c>
      <c r="L446" s="436">
        <f t="shared" si="590"/>
        <v>4792464.8588140327</v>
      </c>
      <c r="M446" s="457"/>
      <c r="N446" s="455"/>
      <c r="O446" s="455"/>
      <c r="P446" s="455"/>
      <c r="Q446" s="455"/>
      <c r="R446" s="401">
        <f t="shared" ref="R446:AW446" si="609">$H446*R290</f>
        <v>0</v>
      </c>
      <c r="S446" s="401">
        <f t="shared" si="609"/>
        <v>0</v>
      </c>
      <c r="T446" s="401">
        <f t="shared" si="609"/>
        <v>0</v>
      </c>
      <c r="U446" s="401">
        <f t="shared" si="609"/>
        <v>760493.3714148876</v>
      </c>
      <c r="V446" s="401">
        <f t="shared" si="609"/>
        <v>771622.35841197695</v>
      </c>
      <c r="W446" s="401">
        <f t="shared" si="609"/>
        <v>776831.45331736619</v>
      </c>
      <c r="X446" s="401">
        <f t="shared" si="609"/>
        <v>777369.37650212168</v>
      </c>
      <c r="Y446" s="401">
        <f t="shared" si="609"/>
        <v>789093.58836505224</v>
      </c>
      <c r="Z446" s="401">
        <f t="shared" si="609"/>
        <v>789093.58836505224</v>
      </c>
      <c r="AA446" s="401">
        <f t="shared" si="609"/>
        <v>63980.561218788018</v>
      </c>
      <c r="AB446" s="401">
        <f t="shared" si="609"/>
        <v>63980.561218788018</v>
      </c>
      <c r="AC446" s="401">
        <f t="shared" si="609"/>
        <v>0</v>
      </c>
      <c r="AD446" s="401">
        <f t="shared" si="609"/>
        <v>0</v>
      </c>
      <c r="AE446" s="401">
        <f t="shared" si="609"/>
        <v>0</v>
      </c>
      <c r="AF446" s="401">
        <f t="shared" si="609"/>
        <v>0</v>
      </c>
      <c r="AG446" s="401">
        <f t="shared" si="609"/>
        <v>0</v>
      </c>
      <c r="AH446" s="401">
        <f t="shared" si="609"/>
        <v>0</v>
      </c>
      <c r="AI446" s="401">
        <f t="shared" si="609"/>
        <v>0</v>
      </c>
      <c r="AJ446" s="401">
        <f t="shared" si="609"/>
        <v>0</v>
      </c>
      <c r="AK446" s="401">
        <f t="shared" si="609"/>
        <v>0</v>
      </c>
      <c r="AL446" s="401">
        <f t="shared" si="609"/>
        <v>0</v>
      </c>
      <c r="AM446" s="401">
        <f t="shared" si="609"/>
        <v>0</v>
      </c>
      <c r="AN446" s="401">
        <f t="shared" si="609"/>
        <v>0</v>
      </c>
      <c r="AO446" s="401">
        <f t="shared" si="609"/>
        <v>0</v>
      </c>
      <c r="AP446" s="401">
        <f t="shared" si="609"/>
        <v>0</v>
      </c>
      <c r="AQ446" s="401">
        <f t="shared" si="609"/>
        <v>0</v>
      </c>
      <c r="AR446" s="401">
        <f t="shared" si="609"/>
        <v>0</v>
      </c>
      <c r="AS446" s="401">
        <f t="shared" si="609"/>
        <v>0</v>
      </c>
      <c r="AT446" s="401">
        <f t="shared" si="609"/>
        <v>0</v>
      </c>
      <c r="AU446" s="401">
        <f t="shared" si="609"/>
        <v>0</v>
      </c>
      <c r="AV446" s="401">
        <f t="shared" si="609"/>
        <v>0</v>
      </c>
      <c r="AW446" s="401">
        <f t="shared" si="609"/>
        <v>0</v>
      </c>
      <c r="AX446" s="401">
        <f t="shared" ref="AX446:BP446" si="610">$H446*AX290</f>
        <v>0</v>
      </c>
      <c r="AY446" s="401">
        <f t="shared" si="610"/>
        <v>0</v>
      </c>
      <c r="AZ446" s="401">
        <f t="shared" si="610"/>
        <v>0</v>
      </c>
      <c r="BA446" s="401">
        <f t="shared" si="610"/>
        <v>0</v>
      </c>
      <c r="BB446" s="401">
        <f t="shared" si="610"/>
        <v>0</v>
      </c>
      <c r="BC446" s="401">
        <f t="shared" si="610"/>
        <v>0</v>
      </c>
      <c r="BD446" s="401">
        <f t="shared" si="610"/>
        <v>0</v>
      </c>
      <c r="BE446" s="401">
        <f t="shared" si="610"/>
        <v>0</v>
      </c>
      <c r="BF446" s="401">
        <f t="shared" si="610"/>
        <v>0</v>
      </c>
      <c r="BG446" s="401">
        <f t="shared" si="610"/>
        <v>0</v>
      </c>
      <c r="BH446" s="401">
        <f t="shared" si="610"/>
        <v>0</v>
      </c>
      <c r="BI446" s="401">
        <f t="shared" si="610"/>
        <v>0</v>
      </c>
      <c r="BJ446" s="401">
        <f t="shared" si="610"/>
        <v>0</v>
      </c>
      <c r="BK446" s="401">
        <f t="shared" si="610"/>
        <v>0</v>
      </c>
      <c r="BL446" s="401">
        <f t="shared" si="610"/>
        <v>0</v>
      </c>
      <c r="BM446" s="401">
        <f t="shared" si="610"/>
        <v>0</v>
      </c>
      <c r="BN446" s="401">
        <f t="shared" si="610"/>
        <v>0</v>
      </c>
      <c r="BO446" s="401">
        <f t="shared" si="610"/>
        <v>0</v>
      </c>
      <c r="BP446" s="401">
        <f t="shared" si="610"/>
        <v>0</v>
      </c>
    </row>
    <row r="447" spans="2:68" ht="10.8" outlineLevel="1" thickBot="1" x14ac:dyDescent="0.25">
      <c r="B447" s="20"/>
      <c r="C447" s="80"/>
      <c r="D447" s="85"/>
      <c r="E447" s="80"/>
      <c r="F447" s="80"/>
      <c r="G447" s="80"/>
      <c r="H447" s="80"/>
      <c r="I447" s="80"/>
      <c r="J447" s="80"/>
      <c r="K447" s="79"/>
      <c r="L447" s="424"/>
      <c r="M447" s="425"/>
      <c r="N447" s="83"/>
      <c r="O447" s="83"/>
      <c r="P447" s="83"/>
      <c r="Q447" s="83"/>
      <c r="R447" s="35"/>
      <c r="S447" s="35"/>
      <c r="T447" s="35"/>
      <c r="U447" s="35"/>
      <c r="V447" s="35"/>
      <c r="W447" s="35"/>
      <c r="X447" s="35"/>
      <c r="Y447" s="35"/>
      <c r="Z447" s="35"/>
      <c r="AA447" s="35"/>
      <c r="AB447" s="35"/>
      <c r="AC447" s="35"/>
      <c r="AD447" s="35"/>
      <c r="AE447" s="35"/>
      <c r="AF447" s="35"/>
      <c r="AG447" s="35"/>
      <c r="AH447" s="35"/>
      <c r="AI447" s="35"/>
      <c r="AJ447" s="35"/>
      <c r="AK447" s="35"/>
      <c r="AL447" s="35"/>
      <c r="AM447" s="35"/>
      <c r="AN447" s="35"/>
      <c r="AO447" s="35"/>
      <c r="AP447" s="35"/>
      <c r="AQ447" s="35"/>
      <c r="AR447" s="35"/>
      <c r="AS447" s="35"/>
      <c r="AT447" s="35"/>
      <c r="AU447" s="35"/>
      <c r="AV447" s="35"/>
      <c r="AW447" s="35"/>
      <c r="AX447" s="35"/>
      <c r="AY447" s="35"/>
      <c r="AZ447" s="35"/>
      <c r="BA447" s="35"/>
      <c r="BB447" s="35"/>
      <c r="BC447" s="35"/>
      <c r="BD447" s="35"/>
      <c r="BE447" s="35"/>
      <c r="BF447" s="35"/>
      <c r="BG447" s="35"/>
      <c r="BH447" s="35"/>
      <c r="BI447" s="35"/>
      <c r="BJ447" s="35"/>
      <c r="BK447" s="35"/>
      <c r="BL447" s="35"/>
      <c r="BM447" s="35"/>
      <c r="BN447" s="35"/>
      <c r="BO447" s="35"/>
      <c r="BP447" s="35"/>
    </row>
    <row r="448" spans="2:68" ht="10.35" customHeight="1" outlineLevel="1" thickTop="1" x14ac:dyDescent="0.2">
      <c r="B448" s="80"/>
      <c r="C448" s="80"/>
      <c r="D448" s="40" t="s">
        <v>404</v>
      </c>
      <c r="E448" s="487"/>
      <c r="F448" s="487"/>
      <c r="G448" s="487"/>
      <c r="H448" s="487"/>
      <c r="I448" s="487"/>
      <c r="J448" s="487"/>
      <c r="K448" s="41">
        <f>SUMPRODUCT($R$375:$BP$375,R448:BP448)</f>
        <v>24642513.573929027</v>
      </c>
      <c r="L448" s="128">
        <f>SUM(M448:BP448)</f>
        <v>4597811.0136955343</v>
      </c>
      <c r="M448" s="129"/>
      <c r="N448" s="97"/>
      <c r="O448" s="97"/>
      <c r="P448" s="97"/>
      <c r="Q448" s="97"/>
      <c r="R448" s="41">
        <f>SUM(R382,R387,R393,R396,R399,R402,R390,R405:R406,R409,R412:R418,R421:R428,R430,R432:R436,R438,R440:R442,R444:R446)</f>
        <v>0</v>
      </c>
      <c r="S448" s="41">
        <f>SUM(S382,S387,S393,S396,S399,S402,S390,S405:S406,S409,S412:S418,S421:S428,S430,S432:S436,S438,S440:S442,S444:S446)</f>
        <v>0</v>
      </c>
      <c r="T448" s="41">
        <f t="shared" ref="T448:BP448" si="611">SUM(T382,T387,T393,T396,T399,T402,T390,T405:T406,T409,T412:T418,T421:T428,T430,T432:T436,T438,T440:T442,T444:T446)</f>
        <v>0</v>
      </c>
      <c r="U448" s="41">
        <f t="shared" si="611"/>
        <v>7461288.9088971773</v>
      </c>
      <c r="V448" s="41">
        <f t="shared" si="611"/>
        <v>6935457.851129462</v>
      </c>
      <c r="W448" s="41">
        <f t="shared" si="611"/>
        <v>6895796.3905528057</v>
      </c>
      <c r="X448" s="41">
        <f t="shared" si="611"/>
        <v>6193419.2955583856</v>
      </c>
      <c r="Y448" s="41">
        <f t="shared" si="611"/>
        <v>5697762.6151810521</v>
      </c>
      <c r="Z448" s="41">
        <f t="shared" si="611"/>
        <v>2749954.9791053748</v>
      </c>
      <c r="AA448" s="41">
        <f t="shared" si="611"/>
        <v>-1155716.8932043808</v>
      </c>
      <c r="AB448" s="41">
        <f t="shared" si="611"/>
        <v>-461638.96136438102</v>
      </c>
      <c r="AC448" s="41">
        <f t="shared" si="611"/>
        <v>-741922.5635200002</v>
      </c>
      <c r="AD448" s="41">
        <f t="shared" si="611"/>
        <v>-195256.35904000021</v>
      </c>
      <c r="AE448" s="41">
        <f t="shared" si="611"/>
        <v>452139.6460799998</v>
      </c>
      <c r="AF448" s="41">
        <f t="shared" si="611"/>
        <v>429611.25119999982</v>
      </c>
      <c r="AG448" s="41">
        <f t="shared" si="611"/>
        <v>407082.85631999979</v>
      </c>
      <c r="AH448" s="41">
        <f t="shared" si="611"/>
        <v>384554.46143999981</v>
      </c>
      <c r="AI448" s="41">
        <f t="shared" si="611"/>
        <v>362026.06655999977</v>
      </c>
      <c r="AJ448" s="41">
        <f t="shared" si="611"/>
        <v>339497.6716799998</v>
      </c>
      <c r="AK448" s="41">
        <f t="shared" si="611"/>
        <v>316969.27679999982</v>
      </c>
      <c r="AL448" s="41">
        <f t="shared" si="611"/>
        <v>294440.88191999984</v>
      </c>
      <c r="AM448" s="41">
        <f t="shared" si="611"/>
        <v>271912.48703999986</v>
      </c>
      <c r="AN448" s="41">
        <f t="shared" si="611"/>
        <v>249384.09215999994</v>
      </c>
      <c r="AO448" s="41">
        <f t="shared" si="611"/>
        <v>226855.69727999996</v>
      </c>
      <c r="AP448" s="41">
        <f t="shared" si="611"/>
        <v>204327.30239999999</v>
      </c>
      <c r="AQ448" s="41">
        <f t="shared" si="611"/>
        <v>181798.90752000001</v>
      </c>
      <c r="AR448" s="41">
        <f t="shared" si="611"/>
        <v>159270.51264000003</v>
      </c>
      <c r="AS448" s="41">
        <f t="shared" si="611"/>
        <v>136742.11776000005</v>
      </c>
      <c r="AT448" s="41">
        <f t="shared" si="611"/>
        <v>114213.72288000002</v>
      </c>
      <c r="AU448" s="41">
        <f t="shared" si="611"/>
        <v>91685.328000000096</v>
      </c>
      <c r="AV448" s="41">
        <f t="shared" si="611"/>
        <v>69156.933120000176</v>
      </c>
      <c r="AW448" s="41">
        <f t="shared" si="611"/>
        <v>46628.53824000014</v>
      </c>
      <c r="AX448" s="41">
        <f t="shared" si="611"/>
        <v>24100.14336000022</v>
      </c>
      <c r="AY448" s="41">
        <f t="shared" si="611"/>
        <v>1571.7484800001839</v>
      </c>
      <c r="AZ448" s="41">
        <f t="shared" si="611"/>
        <v>-20956.646399999736</v>
      </c>
      <c r="BA448" s="41">
        <f t="shared" si="611"/>
        <v>-43485.041279999772</v>
      </c>
      <c r="BB448" s="41">
        <f t="shared" si="611"/>
        <v>-66013.436159999692</v>
      </c>
      <c r="BC448" s="41">
        <f t="shared" si="611"/>
        <v>-88541.831039999728</v>
      </c>
      <c r="BD448" s="41">
        <f t="shared" si="611"/>
        <v>-111070.22591999965</v>
      </c>
      <c r="BE448" s="41">
        <f t="shared" si="611"/>
        <v>-133598.62079999968</v>
      </c>
      <c r="BF448" s="41">
        <f t="shared" si="611"/>
        <v>-156127.0156799996</v>
      </c>
      <c r="BG448" s="41">
        <f t="shared" si="611"/>
        <v>-178655.41055999964</v>
      </c>
      <c r="BH448" s="41">
        <f t="shared" si="611"/>
        <v>-201183.80543999956</v>
      </c>
      <c r="BI448" s="41">
        <f t="shared" si="611"/>
        <v>-223712.2003199996</v>
      </c>
      <c r="BJ448" s="41">
        <f t="shared" si="611"/>
        <v>-246240.59519999952</v>
      </c>
      <c r="BK448" s="41">
        <f t="shared" si="611"/>
        <v>-268768.99007999955</v>
      </c>
      <c r="BL448" s="41">
        <f t="shared" si="611"/>
        <v>-291297.38495999947</v>
      </c>
      <c r="BM448" s="41">
        <f t="shared" si="611"/>
        <v>-313825.77983999939</v>
      </c>
      <c r="BN448" s="41">
        <f t="shared" si="611"/>
        <v>-336354.17471999943</v>
      </c>
      <c r="BO448" s="41">
        <f t="shared" si="611"/>
        <v>-358882.56959999935</v>
      </c>
      <c r="BP448" s="41">
        <f t="shared" si="611"/>
        <v>-30506590.164479975</v>
      </c>
    </row>
    <row r="449" spans="3:68" outlineLevel="1" x14ac:dyDescent="0.2">
      <c r="C449" s="80"/>
      <c r="D449" s="96" t="s">
        <v>403</v>
      </c>
      <c r="E449" s="80"/>
      <c r="F449" s="80"/>
      <c r="G449" s="80"/>
      <c r="H449" s="80"/>
      <c r="I449" s="80"/>
      <c r="J449" s="80"/>
      <c r="K449" s="95">
        <f>SUM(K393:K446,K387,K382,K390)</f>
        <v>24642513.573929038</v>
      </c>
      <c r="L449" s="95">
        <f>SUM(L393:L446,L387,L382,L390)</f>
        <v>4597811.0136955231</v>
      </c>
      <c r="M449" s="413"/>
      <c r="N449" s="80"/>
      <c r="O449" s="80"/>
      <c r="P449" s="80"/>
      <c r="Q449" s="80"/>
      <c r="R449" s="80"/>
      <c r="S449" s="80"/>
      <c r="T449" s="83"/>
      <c r="U449" s="80"/>
      <c r="V449" s="80"/>
      <c r="W449" s="80"/>
      <c r="X449" s="80"/>
      <c r="Y449" s="80"/>
      <c r="Z449" s="80"/>
      <c r="AA449" s="80"/>
      <c r="AB449" s="80"/>
      <c r="AC449" s="80"/>
      <c r="AD449" s="80"/>
      <c r="AE449" s="80"/>
      <c r="AF449" s="80"/>
      <c r="AG449" s="80"/>
      <c r="AH449" s="80"/>
      <c r="AI449" s="80"/>
      <c r="AJ449" s="80"/>
      <c r="AK449" s="80"/>
      <c r="AL449" s="80"/>
      <c r="AM449" s="80"/>
      <c r="AN449" s="80"/>
      <c r="AO449" s="80"/>
      <c r="AP449" s="80"/>
      <c r="AQ449" s="80"/>
      <c r="AR449" s="80"/>
      <c r="AS449" s="80"/>
      <c r="AT449" s="80"/>
      <c r="AU449" s="80"/>
      <c r="AV449" s="80"/>
      <c r="AW449" s="80"/>
      <c r="AX449" s="80"/>
      <c r="AY449" s="80"/>
      <c r="AZ449" s="80"/>
      <c r="BA449" s="80"/>
      <c r="BB449" s="80"/>
      <c r="BC449" s="80"/>
      <c r="BD449" s="80"/>
      <c r="BE449" s="80"/>
      <c r="BF449" s="80"/>
      <c r="BG449" s="80"/>
      <c r="BH449" s="80"/>
      <c r="BI449" s="80"/>
      <c r="BJ449" s="80"/>
      <c r="BK449" s="80"/>
      <c r="BL449" s="80"/>
      <c r="BM449" s="80"/>
      <c r="BN449" s="80"/>
      <c r="BO449" s="80"/>
      <c r="BP449" s="80"/>
    </row>
    <row r="450" spans="3:68" outlineLevel="1" x14ac:dyDescent="0.2">
      <c r="C450" s="80"/>
      <c r="D450" s="80"/>
      <c r="E450" s="80"/>
      <c r="F450" s="80"/>
      <c r="G450" s="80"/>
      <c r="H450" s="80"/>
      <c r="I450" s="80"/>
      <c r="J450" s="80"/>
      <c r="K450" s="80"/>
      <c r="L450" s="412"/>
      <c r="M450" s="413"/>
      <c r="N450" s="80"/>
      <c r="O450" s="80"/>
      <c r="P450" s="80"/>
      <c r="Q450" s="80"/>
      <c r="R450" s="80"/>
      <c r="S450" s="80"/>
      <c r="T450" s="83"/>
      <c r="U450" s="80"/>
      <c r="V450" s="80"/>
      <c r="W450" s="80"/>
      <c r="X450" s="80"/>
      <c r="Y450" s="80"/>
      <c r="Z450" s="80"/>
      <c r="AA450" s="80"/>
      <c r="AB450" s="80"/>
      <c r="AC450" s="80"/>
      <c r="AD450" s="80"/>
      <c r="AE450" s="80"/>
      <c r="AF450" s="80"/>
      <c r="AG450" s="80"/>
      <c r="AH450" s="80"/>
      <c r="AI450" s="80"/>
      <c r="AJ450" s="80"/>
      <c r="AK450" s="80"/>
      <c r="AL450" s="80"/>
      <c r="AM450" s="80"/>
      <c r="AN450" s="80"/>
      <c r="AO450" s="80"/>
      <c r="AP450" s="80"/>
      <c r="AQ450" s="80"/>
      <c r="AR450" s="80"/>
      <c r="AS450" s="80"/>
      <c r="AT450" s="80"/>
      <c r="AU450" s="80"/>
      <c r="AV450" s="80"/>
      <c r="AW450" s="80"/>
      <c r="AX450" s="80"/>
      <c r="AY450" s="80"/>
      <c r="AZ450" s="80"/>
      <c r="BA450" s="80"/>
      <c r="BB450" s="80"/>
      <c r="BC450" s="80"/>
      <c r="BD450" s="80"/>
      <c r="BE450" s="80"/>
      <c r="BF450" s="80"/>
      <c r="BG450" s="80"/>
      <c r="BH450" s="80"/>
      <c r="BI450" s="80"/>
      <c r="BJ450" s="80"/>
      <c r="BK450" s="80"/>
      <c r="BL450" s="80"/>
      <c r="BM450" s="80"/>
      <c r="BN450" s="80"/>
      <c r="BO450" s="80"/>
      <c r="BP450" s="80"/>
    </row>
    <row r="451" spans="3:68" s="18" customFormat="1" x14ac:dyDescent="0.2">
      <c r="C451" s="19" t="s">
        <v>62</v>
      </c>
      <c r="D451" s="491"/>
      <c r="E451" s="426"/>
      <c r="F451" s="426"/>
      <c r="G451" s="426"/>
      <c r="H451" s="426"/>
      <c r="I451" s="426"/>
      <c r="J451" s="426"/>
      <c r="K451" s="426"/>
      <c r="L451" s="492"/>
      <c r="M451" s="493"/>
      <c r="N451" s="494"/>
      <c r="O451" s="494"/>
      <c r="P451" s="494"/>
      <c r="Q451" s="494"/>
      <c r="R451" s="495"/>
      <c r="S451" s="495"/>
      <c r="T451" s="495"/>
      <c r="U451" s="495"/>
      <c r="V451" s="495"/>
      <c r="W451" s="495"/>
      <c r="X451" s="495"/>
      <c r="Y451" s="495"/>
      <c r="Z451" s="495"/>
      <c r="AA451" s="495"/>
      <c r="AB451" s="495"/>
      <c r="AC451" s="495"/>
      <c r="AD451" s="495"/>
      <c r="AE451" s="495"/>
      <c r="AF451" s="495"/>
      <c r="AG451" s="495"/>
      <c r="AH451" s="495"/>
      <c r="AI451" s="495"/>
      <c r="AJ451" s="495"/>
      <c r="AK451" s="495"/>
      <c r="AL451" s="495"/>
      <c r="AM451" s="495"/>
      <c r="AN451" s="495"/>
      <c r="AO451" s="495"/>
      <c r="AP451" s="495"/>
      <c r="AQ451" s="495"/>
      <c r="AR451" s="495"/>
      <c r="AS451" s="495"/>
      <c r="AT451" s="495"/>
      <c r="AU451" s="495"/>
      <c r="AV451" s="495"/>
      <c r="AW451" s="495"/>
      <c r="AX451" s="495"/>
      <c r="AY451" s="495"/>
      <c r="AZ451" s="495"/>
      <c r="BA451" s="495"/>
      <c r="BB451" s="495"/>
      <c r="BC451" s="495"/>
      <c r="BD451" s="495"/>
      <c r="BE451" s="495"/>
      <c r="BF451" s="495"/>
      <c r="BG451" s="495"/>
      <c r="BH451" s="495"/>
      <c r="BI451" s="495"/>
      <c r="BJ451" s="495"/>
      <c r="BK451" s="495"/>
      <c r="BL451" s="495"/>
      <c r="BM451" s="495"/>
      <c r="BN451" s="495"/>
      <c r="BO451" s="495"/>
      <c r="BP451" s="495"/>
    </row>
    <row r="452" spans="3:68" outlineLevel="1" x14ac:dyDescent="0.2">
      <c r="C452" s="80"/>
      <c r="D452" s="10"/>
      <c r="E452" s="80"/>
      <c r="F452" s="80"/>
      <c r="G452" s="80"/>
      <c r="H452" s="80"/>
      <c r="I452" s="80"/>
      <c r="J452" s="80"/>
      <c r="K452" s="80"/>
      <c r="L452" s="412"/>
      <c r="M452" s="413"/>
      <c r="N452" s="80"/>
      <c r="O452" s="80"/>
      <c r="P452" s="80"/>
      <c r="Q452" s="80"/>
      <c r="R452" s="80"/>
      <c r="S452" s="80"/>
      <c r="T452" s="83"/>
      <c r="U452" s="80"/>
      <c r="V452" s="80"/>
      <c r="W452" s="80"/>
      <c r="X452" s="80"/>
      <c r="Y452" s="80"/>
      <c r="Z452" s="80"/>
      <c r="AA452" s="80"/>
      <c r="AB452" s="80"/>
      <c r="AC452" s="80"/>
      <c r="AD452" s="80"/>
      <c r="AE452" s="80"/>
      <c r="AF452" s="80"/>
      <c r="AG452" s="80"/>
      <c r="AH452" s="80"/>
      <c r="AI452" s="80"/>
      <c r="AJ452" s="80"/>
      <c r="AK452" s="80"/>
      <c r="AL452" s="80"/>
      <c r="AM452" s="80"/>
      <c r="AN452" s="80"/>
      <c r="AO452" s="80"/>
      <c r="AP452" s="80"/>
      <c r="AQ452" s="80"/>
      <c r="AR452" s="80"/>
      <c r="AS452" s="80"/>
      <c r="AT452" s="80"/>
      <c r="AU452" s="80"/>
      <c r="AV452" s="80"/>
      <c r="AW452" s="80"/>
      <c r="AX452" s="80"/>
      <c r="AY452" s="80"/>
      <c r="AZ452" s="80"/>
      <c r="BA452" s="80"/>
      <c r="BB452" s="80"/>
      <c r="BC452" s="80"/>
      <c r="BD452" s="80"/>
      <c r="BE452" s="80"/>
      <c r="BF452" s="80"/>
      <c r="BG452" s="80"/>
      <c r="BH452" s="80"/>
      <c r="BI452" s="80"/>
      <c r="BJ452" s="80"/>
      <c r="BK452" s="80"/>
      <c r="BL452" s="80"/>
      <c r="BM452" s="80"/>
      <c r="BN452" s="80"/>
      <c r="BO452" s="80"/>
      <c r="BP452" s="80"/>
    </row>
    <row r="453" spans="3:68" outlineLevel="1" x14ac:dyDescent="0.2">
      <c r="C453" s="80"/>
      <c r="D453" s="10"/>
      <c r="E453" s="80"/>
      <c r="F453" s="80"/>
      <c r="G453" s="80"/>
      <c r="H453" s="80"/>
      <c r="I453" s="80"/>
      <c r="J453" s="80"/>
      <c r="K453" s="17" t="s">
        <v>329</v>
      </c>
      <c r="L453" s="104" t="s">
        <v>330</v>
      </c>
      <c r="M453" s="24" t="str">
        <f t="shared" ref="M453:AR453" si="612">"FY"&amp;RIGHT(M14,2)</f>
        <v>FY17</v>
      </c>
      <c r="N453" s="24" t="str">
        <f t="shared" si="612"/>
        <v>FY18</v>
      </c>
      <c r="O453" s="24" t="str">
        <f t="shared" si="612"/>
        <v>FY19</v>
      </c>
      <c r="P453" s="24" t="str">
        <f t="shared" si="612"/>
        <v>FY20</v>
      </c>
      <c r="Q453" s="24" t="str">
        <f t="shared" si="612"/>
        <v>FY21</v>
      </c>
      <c r="R453" s="24" t="str">
        <f t="shared" si="612"/>
        <v>FY22</v>
      </c>
      <c r="S453" s="24" t="str">
        <f t="shared" si="612"/>
        <v>FY23</v>
      </c>
      <c r="T453" s="24" t="str">
        <f t="shared" si="612"/>
        <v>FY24</v>
      </c>
      <c r="U453" s="24" t="str">
        <f t="shared" si="612"/>
        <v>FY25</v>
      </c>
      <c r="V453" s="24" t="str">
        <f t="shared" si="612"/>
        <v>FY26</v>
      </c>
      <c r="W453" s="24" t="str">
        <f t="shared" si="612"/>
        <v>FY27</v>
      </c>
      <c r="X453" s="24" t="str">
        <f t="shared" si="612"/>
        <v>FY28</v>
      </c>
      <c r="Y453" s="24" t="str">
        <f t="shared" si="612"/>
        <v>FY29</v>
      </c>
      <c r="Z453" s="24" t="str">
        <f t="shared" si="612"/>
        <v>FY30</v>
      </c>
      <c r="AA453" s="24" t="str">
        <f t="shared" si="612"/>
        <v>FY31</v>
      </c>
      <c r="AB453" s="24" t="str">
        <f t="shared" si="612"/>
        <v>FY32</v>
      </c>
      <c r="AC453" s="24" t="str">
        <f t="shared" si="612"/>
        <v>FY33</v>
      </c>
      <c r="AD453" s="24" t="str">
        <f t="shared" si="612"/>
        <v>FY34</v>
      </c>
      <c r="AE453" s="24" t="str">
        <f t="shared" si="612"/>
        <v>FY35</v>
      </c>
      <c r="AF453" s="24" t="str">
        <f t="shared" si="612"/>
        <v>FY36</v>
      </c>
      <c r="AG453" s="24" t="str">
        <f t="shared" si="612"/>
        <v>FY37</v>
      </c>
      <c r="AH453" s="24" t="str">
        <f t="shared" si="612"/>
        <v>FY38</v>
      </c>
      <c r="AI453" s="24" t="str">
        <f t="shared" si="612"/>
        <v>FY39</v>
      </c>
      <c r="AJ453" s="24" t="str">
        <f t="shared" si="612"/>
        <v>FY40</v>
      </c>
      <c r="AK453" s="24" t="str">
        <f t="shared" si="612"/>
        <v>FY41</v>
      </c>
      <c r="AL453" s="24" t="str">
        <f t="shared" si="612"/>
        <v>FY42</v>
      </c>
      <c r="AM453" s="24" t="str">
        <f t="shared" si="612"/>
        <v>FY43</v>
      </c>
      <c r="AN453" s="24" t="str">
        <f t="shared" si="612"/>
        <v>FY44</v>
      </c>
      <c r="AO453" s="24" t="str">
        <f t="shared" si="612"/>
        <v>FY45</v>
      </c>
      <c r="AP453" s="24" t="str">
        <f t="shared" si="612"/>
        <v>FY46</v>
      </c>
      <c r="AQ453" s="24" t="str">
        <f t="shared" si="612"/>
        <v>FY47</v>
      </c>
      <c r="AR453" s="24" t="str">
        <f t="shared" si="612"/>
        <v>FY48</v>
      </c>
      <c r="AS453" s="24" t="str">
        <f t="shared" ref="AS453:BP453" si="613">"FY"&amp;RIGHT(AS14,2)</f>
        <v>FY49</v>
      </c>
      <c r="AT453" s="24" t="str">
        <f t="shared" si="613"/>
        <v>FY50</v>
      </c>
      <c r="AU453" s="24" t="str">
        <f t="shared" si="613"/>
        <v>FY51</v>
      </c>
      <c r="AV453" s="24" t="str">
        <f t="shared" si="613"/>
        <v>FY52</v>
      </c>
      <c r="AW453" s="24" t="str">
        <f t="shared" si="613"/>
        <v>FY53</v>
      </c>
      <c r="AX453" s="24" t="str">
        <f t="shared" si="613"/>
        <v>FY54</v>
      </c>
      <c r="AY453" s="24" t="str">
        <f t="shared" si="613"/>
        <v>FY55</v>
      </c>
      <c r="AZ453" s="24" t="str">
        <f t="shared" si="613"/>
        <v>FY56</v>
      </c>
      <c r="BA453" s="24" t="str">
        <f t="shared" si="613"/>
        <v>FY57</v>
      </c>
      <c r="BB453" s="24" t="str">
        <f t="shared" si="613"/>
        <v>FY58</v>
      </c>
      <c r="BC453" s="24" t="str">
        <f t="shared" si="613"/>
        <v>FY59</v>
      </c>
      <c r="BD453" s="24" t="str">
        <f t="shared" si="613"/>
        <v>FY60</v>
      </c>
      <c r="BE453" s="24" t="str">
        <f t="shared" si="613"/>
        <v>FY61</v>
      </c>
      <c r="BF453" s="24" t="str">
        <f t="shared" si="613"/>
        <v>FY62</v>
      </c>
      <c r="BG453" s="24" t="str">
        <f t="shared" si="613"/>
        <v>FY63</v>
      </c>
      <c r="BH453" s="24" t="str">
        <f t="shared" si="613"/>
        <v>FY64</v>
      </c>
      <c r="BI453" s="24" t="str">
        <f t="shared" si="613"/>
        <v>FY65</v>
      </c>
      <c r="BJ453" s="24" t="str">
        <f t="shared" si="613"/>
        <v>FY66</v>
      </c>
      <c r="BK453" s="24" t="str">
        <f t="shared" si="613"/>
        <v>FY67</v>
      </c>
      <c r="BL453" s="24" t="str">
        <f t="shared" si="613"/>
        <v>FY68</v>
      </c>
      <c r="BM453" s="24" t="str">
        <f t="shared" si="613"/>
        <v>FY69</v>
      </c>
      <c r="BN453" s="24" t="str">
        <f t="shared" si="613"/>
        <v>FY70</v>
      </c>
      <c r="BO453" s="24" t="str">
        <f t="shared" si="613"/>
        <v>FY71</v>
      </c>
      <c r="BP453" s="24" t="str">
        <f t="shared" si="613"/>
        <v>FY72</v>
      </c>
    </row>
    <row r="454" spans="3:68" outlineLevel="1" x14ac:dyDescent="0.2">
      <c r="C454" s="80"/>
      <c r="D454" s="10"/>
      <c r="E454" s="80"/>
      <c r="F454" s="80"/>
      <c r="G454" s="80"/>
      <c r="H454" s="80"/>
      <c r="I454" s="80"/>
      <c r="J454" s="80"/>
      <c r="K454" s="23" t="s">
        <v>192</v>
      </c>
      <c r="L454" s="106" t="s">
        <v>192</v>
      </c>
      <c r="M454" s="107"/>
      <c r="N454" s="23"/>
      <c r="O454" s="23"/>
      <c r="P454" s="23"/>
      <c r="Q454" s="23"/>
      <c r="R454" s="23"/>
      <c r="S454" s="23"/>
      <c r="T454" s="23"/>
      <c r="U454" s="23"/>
      <c r="V454" s="23"/>
      <c r="W454" s="23"/>
      <c r="X454" s="23"/>
      <c r="Y454" s="23"/>
      <c r="Z454" s="23"/>
      <c r="AA454" s="23"/>
      <c r="AB454" s="23"/>
      <c r="AC454" s="23"/>
      <c r="AD454" s="23"/>
      <c r="AE454" s="23"/>
      <c r="AF454" s="23"/>
      <c r="AG454" s="23"/>
      <c r="AH454" s="23"/>
      <c r="AI454" s="23"/>
      <c r="AJ454" s="23"/>
      <c r="AK454" s="23"/>
      <c r="AL454" s="23"/>
      <c r="AM454" s="23"/>
      <c r="AN454" s="23"/>
      <c r="AO454" s="23"/>
      <c r="AP454" s="23"/>
      <c r="AQ454" s="23"/>
      <c r="AR454" s="23"/>
      <c r="AS454" s="23"/>
      <c r="AT454" s="23"/>
      <c r="AU454" s="23"/>
      <c r="AV454" s="23"/>
      <c r="AW454" s="23"/>
      <c r="AX454" s="23"/>
      <c r="AY454" s="23"/>
      <c r="AZ454" s="23"/>
      <c r="BA454" s="23"/>
      <c r="BB454" s="23"/>
      <c r="BC454" s="23"/>
      <c r="BD454" s="23"/>
      <c r="BE454" s="23"/>
      <c r="BF454" s="23"/>
      <c r="BG454" s="23"/>
      <c r="BH454" s="23"/>
      <c r="BI454" s="23"/>
      <c r="BJ454" s="23"/>
      <c r="BK454" s="23"/>
      <c r="BL454" s="23"/>
      <c r="BM454" s="23"/>
      <c r="BN454" s="23"/>
      <c r="BO454" s="23"/>
      <c r="BP454" s="23"/>
    </row>
    <row r="455" spans="3:68" outlineLevel="1" x14ac:dyDescent="0.2">
      <c r="C455" s="80"/>
      <c r="D455" s="10" t="str">
        <f>$D$219</f>
        <v>NPV perspective mapping</v>
      </c>
      <c r="E455" s="80"/>
      <c r="F455" s="80"/>
      <c r="G455" s="17" t="str">
        <f>$G$219</f>
        <v>Shareholder</v>
      </c>
      <c r="H455" s="17" t="str">
        <f>$H$219</f>
        <v>Customer</v>
      </c>
      <c r="I455" s="17"/>
      <c r="J455" s="17" t="str">
        <f>J219</f>
        <v>Output category</v>
      </c>
      <c r="K455" s="80"/>
      <c r="L455" s="412"/>
      <c r="M455" s="107"/>
      <c r="N455" s="23"/>
      <c r="O455" s="23"/>
      <c r="P455" s="23"/>
      <c r="Q455" s="23"/>
      <c r="R455" s="23"/>
      <c r="S455" s="23"/>
      <c r="T455" s="23"/>
      <c r="U455" s="23"/>
      <c r="V455" s="23"/>
      <c r="W455" s="23"/>
      <c r="X455" s="23"/>
      <c r="Y455" s="23"/>
      <c r="Z455" s="23"/>
      <c r="AA455" s="23"/>
      <c r="AB455" s="23"/>
      <c r="AC455" s="23"/>
      <c r="AD455" s="23"/>
      <c r="AE455" s="23"/>
      <c r="AF455" s="23"/>
      <c r="AG455" s="23"/>
      <c r="AH455" s="23"/>
      <c r="AI455" s="23"/>
      <c r="AJ455" s="23"/>
      <c r="AK455" s="23"/>
      <c r="AL455" s="23"/>
      <c r="AM455" s="23"/>
      <c r="AN455" s="23"/>
      <c r="AO455" s="23"/>
      <c r="AP455" s="23"/>
      <c r="AQ455" s="23"/>
      <c r="AR455" s="23"/>
      <c r="AS455" s="23"/>
      <c r="AT455" s="23"/>
      <c r="AU455" s="23"/>
      <c r="AV455" s="23"/>
      <c r="AW455" s="23"/>
      <c r="AX455" s="23"/>
      <c r="AY455" s="23"/>
      <c r="AZ455" s="23"/>
      <c r="BA455" s="23"/>
      <c r="BB455" s="23"/>
      <c r="BC455" s="23"/>
      <c r="BD455" s="23"/>
      <c r="BE455" s="23"/>
      <c r="BF455" s="23"/>
      <c r="BG455" s="23"/>
      <c r="BH455" s="23"/>
      <c r="BI455" s="23"/>
      <c r="BJ455" s="23"/>
      <c r="BK455" s="23"/>
      <c r="BL455" s="23"/>
      <c r="BM455" s="23"/>
      <c r="BN455" s="23"/>
      <c r="BO455" s="23"/>
      <c r="BP455" s="23"/>
    </row>
    <row r="456" spans="3:68" outlineLevel="1" x14ac:dyDescent="0.2">
      <c r="C456" s="80"/>
      <c r="D456" s="80"/>
      <c r="E456" s="80"/>
      <c r="F456" s="80"/>
      <c r="G456" s="52"/>
      <c r="H456" s="52"/>
      <c r="I456" s="52"/>
      <c r="J456" s="80"/>
      <c r="K456" s="80"/>
      <c r="L456" s="412"/>
      <c r="M456" s="107"/>
      <c r="N456" s="23"/>
      <c r="O456" s="23"/>
      <c r="P456" s="23"/>
      <c r="Q456" s="23"/>
      <c r="R456" s="23"/>
      <c r="S456" s="23"/>
      <c r="T456" s="23"/>
      <c r="U456" s="23"/>
      <c r="V456" s="23"/>
      <c r="W456" s="23"/>
      <c r="X456" s="23"/>
      <c r="Y456" s="23"/>
      <c r="Z456" s="23"/>
      <c r="AA456" s="23"/>
      <c r="AB456" s="23"/>
      <c r="AC456" s="23"/>
      <c r="AD456" s="23"/>
      <c r="AE456" s="23"/>
      <c r="AF456" s="23"/>
      <c r="AG456" s="23"/>
      <c r="AH456" s="23"/>
      <c r="AI456" s="23"/>
      <c r="AJ456" s="23"/>
      <c r="AK456" s="23"/>
      <c r="AL456" s="23"/>
      <c r="AM456" s="23"/>
      <c r="AN456" s="23"/>
      <c r="AO456" s="23"/>
      <c r="AP456" s="23"/>
      <c r="AQ456" s="23"/>
      <c r="AR456" s="23"/>
      <c r="AS456" s="23"/>
      <c r="AT456" s="23"/>
      <c r="AU456" s="23"/>
      <c r="AV456" s="23"/>
      <c r="AW456" s="23"/>
      <c r="AX456" s="23"/>
      <c r="AY456" s="23"/>
      <c r="AZ456" s="23"/>
      <c r="BA456" s="23"/>
      <c r="BB456" s="23"/>
      <c r="BC456" s="23"/>
      <c r="BD456" s="23"/>
      <c r="BE456" s="23"/>
      <c r="BF456" s="23"/>
      <c r="BG456" s="23"/>
      <c r="BH456" s="23"/>
      <c r="BI456" s="23"/>
      <c r="BJ456" s="23"/>
      <c r="BK456" s="23"/>
      <c r="BL456" s="23"/>
      <c r="BM456" s="23"/>
      <c r="BN456" s="23"/>
      <c r="BO456" s="23"/>
      <c r="BP456" s="23"/>
    </row>
    <row r="457" spans="3:68" outlineLevel="1" x14ac:dyDescent="0.2">
      <c r="C457" s="80"/>
      <c r="D457" s="10" t="str">
        <f>$D$221</f>
        <v>Capex cost</v>
      </c>
      <c r="E457" s="80"/>
      <c r="F457" s="80"/>
      <c r="G457" s="83"/>
      <c r="H457" s="83"/>
      <c r="I457" s="83"/>
      <c r="J457" s="80"/>
      <c r="K457" s="34"/>
      <c r="L457" s="126"/>
      <c r="M457" s="107"/>
      <c r="N457" s="23"/>
      <c r="O457" s="23"/>
      <c r="P457" s="23"/>
      <c r="Q457" s="23"/>
      <c r="R457" s="23"/>
      <c r="S457" s="23"/>
      <c r="T457" s="23"/>
      <c r="U457" s="23"/>
      <c r="V457" s="23"/>
      <c r="W457" s="23"/>
      <c r="X457" s="23"/>
      <c r="Y457" s="23"/>
      <c r="Z457" s="23"/>
      <c r="AA457" s="23"/>
      <c r="AB457" s="23"/>
      <c r="AC457" s="23"/>
      <c r="AD457" s="23"/>
      <c r="AE457" s="23"/>
      <c r="AF457" s="23"/>
      <c r="AG457" s="23"/>
      <c r="AH457" s="23"/>
      <c r="AI457" s="23"/>
      <c r="AJ457" s="23"/>
      <c r="AK457" s="23"/>
      <c r="AL457" s="23"/>
      <c r="AM457" s="23"/>
      <c r="AN457" s="23"/>
      <c r="AO457" s="23"/>
      <c r="AP457" s="23"/>
      <c r="AQ457" s="23"/>
      <c r="AR457" s="23"/>
      <c r="AS457" s="23"/>
      <c r="AT457" s="23"/>
      <c r="AU457" s="23"/>
      <c r="AV457" s="23"/>
      <c r="AW457" s="23"/>
      <c r="AX457" s="23"/>
      <c r="AY457" s="23"/>
      <c r="AZ457" s="23"/>
      <c r="BA457" s="23"/>
      <c r="BB457" s="23"/>
      <c r="BC457" s="23"/>
      <c r="BD457" s="23"/>
      <c r="BE457" s="23"/>
      <c r="BF457" s="23"/>
      <c r="BG457" s="23"/>
      <c r="BH457" s="23"/>
      <c r="BI457" s="23"/>
      <c r="BJ457" s="23"/>
      <c r="BK457" s="23"/>
      <c r="BL457" s="23"/>
      <c r="BM457" s="23"/>
      <c r="BN457" s="23"/>
      <c r="BO457" s="23"/>
      <c r="BP457" s="23"/>
    </row>
    <row r="458" spans="3:68" outlineLevel="1" x14ac:dyDescent="0.2">
      <c r="C458" s="80"/>
      <c r="D458" s="402" t="str">
        <f>$D$222</f>
        <v>Total excl Land</v>
      </c>
      <c r="E458" s="80"/>
      <c r="F458" s="80"/>
      <c r="G458" s="477">
        <f>$G$460</f>
        <v>1</v>
      </c>
      <c r="H458" s="477">
        <f>$H$460</f>
        <v>0</v>
      </c>
      <c r="I458" s="83"/>
      <c r="J458" s="80" t="s">
        <v>399</v>
      </c>
      <c r="K458" s="401">
        <f t="shared" ref="K458:L460" si="614">SUM(K302,K380)</f>
        <v>-12938751.245002702</v>
      </c>
      <c r="L458" s="436">
        <f t="shared" si="614"/>
        <v>-15330439</v>
      </c>
      <c r="M458" s="457"/>
      <c r="N458" s="455"/>
      <c r="O458" s="455"/>
      <c r="P458" s="455"/>
      <c r="Q458" s="455"/>
      <c r="R458" s="401">
        <f t="shared" ref="R458:AW458" si="615">SUM(R302,R380)</f>
        <v>0</v>
      </c>
      <c r="S458" s="401">
        <f t="shared" si="615"/>
        <v>0</v>
      </c>
      <c r="T458" s="401">
        <f t="shared" si="615"/>
        <v>0</v>
      </c>
      <c r="U458" s="401">
        <f t="shared" si="615"/>
        <v>-2714370</v>
      </c>
      <c r="V458" s="401">
        <f t="shared" si="615"/>
        <v>-3261225</v>
      </c>
      <c r="W458" s="401">
        <f t="shared" si="615"/>
        <v>-3274476</v>
      </c>
      <c r="X458" s="401">
        <f t="shared" si="615"/>
        <v>-2730746</v>
      </c>
      <c r="Y458" s="401">
        <f t="shared" si="615"/>
        <v>-3349622</v>
      </c>
      <c r="Z458" s="401">
        <f t="shared" si="615"/>
        <v>0</v>
      </c>
      <c r="AA458" s="401">
        <f t="shared" si="615"/>
        <v>0</v>
      </c>
      <c r="AB458" s="401">
        <f t="shared" si="615"/>
        <v>0</v>
      </c>
      <c r="AC458" s="401">
        <f t="shared" si="615"/>
        <v>0</v>
      </c>
      <c r="AD458" s="401">
        <f t="shared" si="615"/>
        <v>0</v>
      </c>
      <c r="AE458" s="401">
        <f t="shared" si="615"/>
        <v>0</v>
      </c>
      <c r="AF458" s="401">
        <f t="shared" si="615"/>
        <v>0</v>
      </c>
      <c r="AG458" s="401">
        <f t="shared" si="615"/>
        <v>0</v>
      </c>
      <c r="AH458" s="401">
        <f t="shared" si="615"/>
        <v>0</v>
      </c>
      <c r="AI458" s="401">
        <f t="shared" si="615"/>
        <v>0</v>
      </c>
      <c r="AJ458" s="401">
        <f t="shared" si="615"/>
        <v>0</v>
      </c>
      <c r="AK458" s="401">
        <f t="shared" si="615"/>
        <v>0</v>
      </c>
      <c r="AL458" s="401">
        <f t="shared" si="615"/>
        <v>0</v>
      </c>
      <c r="AM458" s="401">
        <f t="shared" si="615"/>
        <v>0</v>
      </c>
      <c r="AN458" s="401">
        <f t="shared" si="615"/>
        <v>0</v>
      </c>
      <c r="AO458" s="401">
        <f t="shared" si="615"/>
        <v>0</v>
      </c>
      <c r="AP458" s="401">
        <f t="shared" si="615"/>
        <v>0</v>
      </c>
      <c r="AQ458" s="401">
        <f t="shared" si="615"/>
        <v>0</v>
      </c>
      <c r="AR458" s="401">
        <f t="shared" si="615"/>
        <v>0</v>
      </c>
      <c r="AS458" s="401">
        <f t="shared" si="615"/>
        <v>0</v>
      </c>
      <c r="AT458" s="401">
        <f t="shared" si="615"/>
        <v>0</v>
      </c>
      <c r="AU458" s="401">
        <f t="shared" si="615"/>
        <v>0</v>
      </c>
      <c r="AV458" s="401">
        <f t="shared" si="615"/>
        <v>0</v>
      </c>
      <c r="AW458" s="401">
        <f t="shared" si="615"/>
        <v>0</v>
      </c>
      <c r="AX458" s="401">
        <f t="shared" ref="AX458:BP458" si="616">SUM(AX302,AX380)</f>
        <v>0</v>
      </c>
      <c r="AY458" s="401">
        <f t="shared" si="616"/>
        <v>0</v>
      </c>
      <c r="AZ458" s="401">
        <f t="shared" si="616"/>
        <v>0</v>
      </c>
      <c r="BA458" s="401">
        <f t="shared" si="616"/>
        <v>0</v>
      </c>
      <c r="BB458" s="401">
        <f t="shared" si="616"/>
        <v>0</v>
      </c>
      <c r="BC458" s="401">
        <f t="shared" si="616"/>
        <v>0</v>
      </c>
      <c r="BD458" s="401">
        <f t="shared" si="616"/>
        <v>0</v>
      </c>
      <c r="BE458" s="401">
        <f t="shared" si="616"/>
        <v>0</v>
      </c>
      <c r="BF458" s="401">
        <f t="shared" si="616"/>
        <v>0</v>
      </c>
      <c r="BG458" s="401">
        <f t="shared" si="616"/>
        <v>0</v>
      </c>
      <c r="BH458" s="401">
        <f t="shared" si="616"/>
        <v>0</v>
      </c>
      <c r="BI458" s="401">
        <f t="shared" si="616"/>
        <v>0</v>
      </c>
      <c r="BJ458" s="401">
        <f t="shared" si="616"/>
        <v>0</v>
      </c>
      <c r="BK458" s="401">
        <f t="shared" si="616"/>
        <v>0</v>
      </c>
      <c r="BL458" s="401">
        <f t="shared" si="616"/>
        <v>0</v>
      </c>
      <c r="BM458" s="401">
        <f t="shared" si="616"/>
        <v>0</v>
      </c>
      <c r="BN458" s="401">
        <f t="shared" si="616"/>
        <v>0</v>
      </c>
      <c r="BO458" s="401">
        <f t="shared" si="616"/>
        <v>0</v>
      </c>
      <c r="BP458" s="401">
        <f t="shared" si="616"/>
        <v>0</v>
      </c>
    </row>
    <row r="459" spans="3:68" outlineLevel="1" x14ac:dyDescent="0.2">
      <c r="C459" s="80"/>
      <c r="D459" s="402" t="str">
        <f>$D$223</f>
        <v>Land</v>
      </c>
      <c r="E459" s="80"/>
      <c r="F459" s="80"/>
      <c r="G459" s="477">
        <f>$G$460</f>
        <v>1</v>
      </c>
      <c r="H459" s="477">
        <f>$H$460</f>
        <v>0</v>
      </c>
      <c r="I459" s="83"/>
      <c r="J459" s="80" t="s">
        <v>399</v>
      </c>
      <c r="K459" s="401">
        <f t="shared" si="614"/>
        <v>0</v>
      </c>
      <c r="L459" s="436">
        <f t="shared" si="614"/>
        <v>0</v>
      </c>
      <c r="M459" s="457"/>
      <c r="N459" s="455"/>
      <c r="O459" s="455"/>
      <c r="P459" s="455"/>
      <c r="Q459" s="455"/>
      <c r="R459" s="401">
        <f t="shared" ref="R459:AW459" si="617">SUM(R303,R381)</f>
        <v>0</v>
      </c>
      <c r="S459" s="401">
        <f t="shared" si="617"/>
        <v>0</v>
      </c>
      <c r="T459" s="401">
        <f t="shared" si="617"/>
        <v>0</v>
      </c>
      <c r="U459" s="401">
        <f t="shared" si="617"/>
        <v>0</v>
      </c>
      <c r="V459" s="401">
        <f t="shared" si="617"/>
        <v>0</v>
      </c>
      <c r="W459" s="401">
        <f t="shared" si="617"/>
        <v>0</v>
      </c>
      <c r="X459" s="401">
        <f t="shared" si="617"/>
        <v>0</v>
      </c>
      <c r="Y459" s="401">
        <f t="shared" si="617"/>
        <v>0</v>
      </c>
      <c r="Z459" s="401">
        <f t="shared" si="617"/>
        <v>0</v>
      </c>
      <c r="AA459" s="401">
        <f t="shared" si="617"/>
        <v>0</v>
      </c>
      <c r="AB459" s="401">
        <f t="shared" si="617"/>
        <v>0</v>
      </c>
      <c r="AC459" s="401">
        <f t="shared" si="617"/>
        <v>0</v>
      </c>
      <c r="AD459" s="401">
        <f t="shared" si="617"/>
        <v>0</v>
      </c>
      <c r="AE459" s="401">
        <f t="shared" si="617"/>
        <v>0</v>
      </c>
      <c r="AF459" s="401">
        <f t="shared" si="617"/>
        <v>0</v>
      </c>
      <c r="AG459" s="401">
        <f t="shared" si="617"/>
        <v>0</v>
      </c>
      <c r="AH459" s="401">
        <f t="shared" si="617"/>
        <v>0</v>
      </c>
      <c r="AI459" s="401">
        <f t="shared" si="617"/>
        <v>0</v>
      </c>
      <c r="AJ459" s="401">
        <f t="shared" si="617"/>
        <v>0</v>
      </c>
      <c r="AK459" s="401">
        <f t="shared" si="617"/>
        <v>0</v>
      </c>
      <c r="AL459" s="401">
        <f t="shared" si="617"/>
        <v>0</v>
      </c>
      <c r="AM459" s="401">
        <f t="shared" si="617"/>
        <v>0</v>
      </c>
      <c r="AN459" s="401">
        <f t="shared" si="617"/>
        <v>0</v>
      </c>
      <c r="AO459" s="401">
        <f t="shared" si="617"/>
        <v>0</v>
      </c>
      <c r="AP459" s="401">
        <f t="shared" si="617"/>
        <v>0</v>
      </c>
      <c r="AQ459" s="401">
        <f t="shared" si="617"/>
        <v>0</v>
      </c>
      <c r="AR459" s="401">
        <f t="shared" si="617"/>
        <v>0</v>
      </c>
      <c r="AS459" s="401">
        <f t="shared" si="617"/>
        <v>0</v>
      </c>
      <c r="AT459" s="401">
        <f t="shared" si="617"/>
        <v>0</v>
      </c>
      <c r="AU459" s="401">
        <f t="shared" si="617"/>
        <v>0</v>
      </c>
      <c r="AV459" s="401">
        <f t="shared" si="617"/>
        <v>0</v>
      </c>
      <c r="AW459" s="401">
        <f t="shared" si="617"/>
        <v>0</v>
      </c>
      <c r="AX459" s="401">
        <f t="shared" ref="AX459:BP459" si="618">SUM(AX303,AX381)</f>
        <v>0</v>
      </c>
      <c r="AY459" s="401">
        <f t="shared" si="618"/>
        <v>0</v>
      </c>
      <c r="AZ459" s="401">
        <f t="shared" si="618"/>
        <v>0</v>
      </c>
      <c r="BA459" s="401">
        <f t="shared" si="618"/>
        <v>0</v>
      </c>
      <c r="BB459" s="401">
        <f t="shared" si="618"/>
        <v>0</v>
      </c>
      <c r="BC459" s="401">
        <f t="shared" si="618"/>
        <v>0</v>
      </c>
      <c r="BD459" s="401">
        <f t="shared" si="618"/>
        <v>0</v>
      </c>
      <c r="BE459" s="401">
        <f t="shared" si="618"/>
        <v>0</v>
      </c>
      <c r="BF459" s="401">
        <f t="shared" si="618"/>
        <v>0</v>
      </c>
      <c r="BG459" s="401">
        <f t="shared" si="618"/>
        <v>0</v>
      </c>
      <c r="BH459" s="401">
        <f t="shared" si="618"/>
        <v>0</v>
      </c>
      <c r="BI459" s="401">
        <f t="shared" si="618"/>
        <v>0</v>
      </c>
      <c r="BJ459" s="401">
        <f t="shared" si="618"/>
        <v>0</v>
      </c>
      <c r="BK459" s="401">
        <f t="shared" si="618"/>
        <v>0</v>
      </c>
      <c r="BL459" s="401">
        <f t="shared" si="618"/>
        <v>0</v>
      </c>
      <c r="BM459" s="401">
        <f t="shared" si="618"/>
        <v>0</v>
      </c>
      <c r="BN459" s="401">
        <f t="shared" si="618"/>
        <v>0</v>
      </c>
      <c r="BO459" s="401">
        <f t="shared" si="618"/>
        <v>0</v>
      </c>
      <c r="BP459" s="401">
        <f t="shared" si="618"/>
        <v>0</v>
      </c>
    </row>
    <row r="460" spans="3:68" outlineLevel="1" x14ac:dyDescent="0.2">
      <c r="C460" s="80"/>
      <c r="D460" s="81" t="str">
        <f>$D$224</f>
        <v>Total capex cost</v>
      </c>
      <c r="E460" s="80"/>
      <c r="F460" s="80"/>
      <c r="G460" s="477">
        <f>Assumptions!$H$163</f>
        <v>1</v>
      </c>
      <c r="H460" s="477">
        <f>Assumptions!$I$163</f>
        <v>0</v>
      </c>
      <c r="I460" s="83"/>
      <c r="J460" s="85" t="str">
        <f>Assumptions!$K$163</f>
        <v>Capex</v>
      </c>
      <c r="K460" s="401">
        <f t="shared" si="614"/>
        <v>-12938751.245002702</v>
      </c>
      <c r="L460" s="436">
        <f t="shared" si="614"/>
        <v>-15330439</v>
      </c>
      <c r="M460" s="457"/>
      <c r="N460" s="455"/>
      <c r="O460" s="455"/>
      <c r="P460" s="455"/>
      <c r="Q460" s="455"/>
      <c r="R460" s="401">
        <f t="shared" ref="R460:AW460" si="619">SUM(R304,R382)</f>
        <v>0</v>
      </c>
      <c r="S460" s="401">
        <f t="shared" si="619"/>
        <v>0</v>
      </c>
      <c r="T460" s="401">
        <f t="shared" si="619"/>
        <v>0</v>
      </c>
      <c r="U460" s="401">
        <f t="shared" si="619"/>
        <v>-2714370</v>
      </c>
      <c r="V460" s="401">
        <f t="shared" si="619"/>
        <v>-3261225</v>
      </c>
      <c r="W460" s="401">
        <f t="shared" si="619"/>
        <v>-3274476</v>
      </c>
      <c r="X460" s="401">
        <f t="shared" si="619"/>
        <v>-2730746</v>
      </c>
      <c r="Y460" s="401">
        <f t="shared" si="619"/>
        <v>-3349622</v>
      </c>
      <c r="Z460" s="401">
        <f t="shared" si="619"/>
        <v>0</v>
      </c>
      <c r="AA460" s="401">
        <f t="shared" si="619"/>
        <v>0</v>
      </c>
      <c r="AB460" s="401">
        <f t="shared" si="619"/>
        <v>0</v>
      </c>
      <c r="AC460" s="401">
        <f t="shared" si="619"/>
        <v>0</v>
      </c>
      <c r="AD460" s="401">
        <f t="shared" si="619"/>
        <v>0</v>
      </c>
      <c r="AE460" s="401">
        <f t="shared" si="619"/>
        <v>0</v>
      </c>
      <c r="AF460" s="401">
        <f t="shared" si="619"/>
        <v>0</v>
      </c>
      <c r="AG460" s="401">
        <f t="shared" si="619"/>
        <v>0</v>
      </c>
      <c r="AH460" s="401">
        <f t="shared" si="619"/>
        <v>0</v>
      </c>
      <c r="AI460" s="401">
        <f t="shared" si="619"/>
        <v>0</v>
      </c>
      <c r="AJ460" s="401">
        <f t="shared" si="619"/>
        <v>0</v>
      </c>
      <c r="AK460" s="401">
        <f t="shared" si="619"/>
        <v>0</v>
      </c>
      <c r="AL460" s="401">
        <f t="shared" si="619"/>
        <v>0</v>
      </c>
      <c r="AM460" s="401">
        <f t="shared" si="619"/>
        <v>0</v>
      </c>
      <c r="AN460" s="401">
        <f t="shared" si="619"/>
        <v>0</v>
      </c>
      <c r="AO460" s="401">
        <f t="shared" si="619"/>
        <v>0</v>
      </c>
      <c r="AP460" s="401">
        <f t="shared" si="619"/>
        <v>0</v>
      </c>
      <c r="AQ460" s="401">
        <f t="shared" si="619"/>
        <v>0</v>
      </c>
      <c r="AR460" s="401">
        <f t="shared" si="619"/>
        <v>0</v>
      </c>
      <c r="AS460" s="401">
        <f t="shared" si="619"/>
        <v>0</v>
      </c>
      <c r="AT460" s="401">
        <f t="shared" si="619"/>
        <v>0</v>
      </c>
      <c r="AU460" s="401">
        <f t="shared" si="619"/>
        <v>0</v>
      </c>
      <c r="AV460" s="401">
        <f t="shared" si="619"/>
        <v>0</v>
      </c>
      <c r="AW460" s="401">
        <f t="shared" si="619"/>
        <v>0</v>
      </c>
      <c r="AX460" s="401">
        <f t="shared" ref="AX460:BP460" si="620">SUM(AX304,AX382)</f>
        <v>0</v>
      </c>
      <c r="AY460" s="401">
        <f t="shared" si="620"/>
        <v>0</v>
      </c>
      <c r="AZ460" s="401">
        <f t="shared" si="620"/>
        <v>0</v>
      </c>
      <c r="BA460" s="401">
        <f t="shared" si="620"/>
        <v>0</v>
      </c>
      <c r="BB460" s="401">
        <f t="shared" si="620"/>
        <v>0</v>
      </c>
      <c r="BC460" s="401">
        <f t="shared" si="620"/>
        <v>0</v>
      </c>
      <c r="BD460" s="401">
        <f t="shared" si="620"/>
        <v>0</v>
      </c>
      <c r="BE460" s="401">
        <f t="shared" si="620"/>
        <v>0</v>
      </c>
      <c r="BF460" s="401">
        <f t="shared" si="620"/>
        <v>0</v>
      </c>
      <c r="BG460" s="401">
        <f t="shared" si="620"/>
        <v>0</v>
      </c>
      <c r="BH460" s="401">
        <f t="shared" si="620"/>
        <v>0</v>
      </c>
      <c r="BI460" s="401">
        <f t="shared" si="620"/>
        <v>0</v>
      </c>
      <c r="BJ460" s="401">
        <f t="shared" si="620"/>
        <v>0</v>
      </c>
      <c r="BK460" s="401">
        <f t="shared" si="620"/>
        <v>0</v>
      </c>
      <c r="BL460" s="401">
        <f t="shared" si="620"/>
        <v>0</v>
      </c>
      <c r="BM460" s="401">
        <f t="shared" si="620"/>
        <v>0</v>
      </c>
      <c r="BN460" s="401">
        <f t="shared" si="620"/>
        <v>0</v>
      </c>
      <c r="BO460" s="401">
        <f t="shared" si="620"/>
        <v>0</v>
      </c>
      <c r="BP460" s="401">
        <f t="shared" si="620"/>
        <v>0</v>
      </c>
    </row>
    <row r="461" spans="3:68" outlineLevel="1" x14ac:dyDescent="0.2">
      <c r="C461" s="80"/>
      <c r="D461" s="80"/>
      <c r="E461" s="80"/>
      <c r="F461" s="80"/>
      <c r="G461" s="52"/>
      <c r="H461" s="52"/>
      <c r="I461" s="52"/>
      <c r="J461" s="85"/>
      <c r="K461" s="80"/>
      <c r="L461" s="412"/>
      <c r="M461" s="113"/>
      <c r="N461"/>
      <c r="O461"/>
      <c r="P461"/>
      <c r="Q461"/>
      <c r="R461" s="23"/>
      <c r="S461" s="23"/>
      <c r="T461" s="23"/>
      <c r="U461" s="23"/>
      <c r="V461" s="23"/>
      <c r="W461" s="23"/>
      <c r="X461" s="23"/>
      <c r="Y461" s="23"/>
      <c r="Z461" s="23"/>
      <c r="AA461" s="23"/>
      <c r="AB461" s="23"/>
      <c r="AC461" s="23"/>
      <c r="AD461" s="23"/>
      <c r="AE461" s="23"/>
      <c r="AF461" s="23"/>
      <c r="AG461" s="23"/>
      <c r="AH461" s="23"/>
      <c r="AI461" s="23"/>
      <c r="AJ461" s="23"/>
      <c r="AK461" s="23"/>
      <c r="AL461" s="23"/>
      <c r="AM461" s="23"/>
      <c r="AN461" s="23"/>
      <c r="AO461" s="23"/>
      <c r="AP461" s="23"/>
      <c r="AQ461" s="23"/>
      <c r="AR461" s="23"/>
      <c r="AS461" s="23"/>
      <c r="AT461" s="23"/>
      <c r="AU461" s="23"/>
      <c r="AV461" s="23"/>
      <c r="AW461" s="23"/>
      <c r="AX461" s="23"/>
      <c r="AY461" s="23"/>
      <c r="AZ461" s="23"/>
      <c r="BA461" s="23"/>
      <c r="BB461" s="23"/>
      <c r="BC461" s="23"/>
      <c r="BD461" s="23"/>
      <c r="BE461" s="23"/>
      <c r="BF461" s="23"/>
      <c r="BG461" s="23"/>
      <c r="BH461" s="23"/>
      <c r="BI461" s="23"/>
      <c r="BJ461" s="23"/>
      <c r="BK461" s="23"/>
      <c r="BL461" s="23"/>
      <c r="BM461" s="23"/>
      <c r="BN461" s="23"/>
      <c r="BO461" s="23"/>
      <c r="BP461" s="23"/>
    </row>
    <row r="462" spans="3:68" outlineLevel="1" x14ac:dyDescent="0.2">
      <c r="C462" s="80"/>
      <c r="D462" s="10" t="str">
        <f>$D$226</f>
        <v>Future capex cost</v>
      </c>
      <c r="E462" s="80"/>
      <c r="F462" s="80"/>
      <c r="G462" s="83"/>
      <c r="H462" s="83"/>
      <c r="I462" s="83"/>
      <c r="J462" s="85"/>
      <c r="K462" s="34"/>
      <c r="L462" s="126"/>
      <c r="M462" s="127"/>
      <c r="N462" s="34"/>
      <c r="O462" s="34"/>
      <c r="P462" s="34"/>
      <c r="Q462" s="34"/>
      <c r="R462" s="23"/>
      <c r="S462" s="23"/>
      <c r="T462" s="23"/>
      <c r="U462" s="23"/>
      <c r="V462" s="23"/>
      <c r="W462" s="23"/>
      <c r="X462" s="23"/>
      <c r="Y462" s="23"/>
      <c r="Z462" s="23"/>
      <c r="AA462" s="23"/>
      <c r="AB462" s="23"/>
      <c r="AC462" s="23"/>
      <c r="AD462" s="23"/>
      <c r="AE462" s="23"/>
      <c r="AF462" s="23"/>
      <c r="AG462" s="23"/>
      <c r="AH462" s="23"/>
      <c r="AI462" s="23"/>
      <c r="AJ462" s="23"/>
      <c r="AK462" s="23"/>
      <c r="AL462" s="23"/>
      <c r="AM462" s="23"/>
      <c r="AN462" s="23"/>
      <c r="AO462" s="23"/>
      <c r="AP462" s="23"/>
      <c r="AQ462" s="23"/>
      <c r="AR462" s="23"/>
      <c r="AS462" s="23"/>
      <c r="AT462" s="23"/>
      <c r="AU462" s="23"/>
      <c r="AV462" s="23"/>
      <c r="AW462" s="23"/>
      <c r="AX462" s="23"/>
      <c r="AY462" s="23"/>
      <c r="AZ462" s="23"/>
      <c r="BA462" s="23"/>
      <c r="BB462" s="23"/>
      <c r="BC462" s="23"/>
      <c r="BD462" s="23"/>
      <c r="BE462" s="23"/>
      <c r="BF462" s="23"/>
      <c r="BG462" s="23"/>
      <c r="BH462" s="23"/>
      <c r="BI462" s="23"/>
      <c r="BJ462" s="23"/>
      <c r="BK462" s="23"/>
      <c r="BL462" s="23"/>
      <c r="BM462" s="23"/>
      <c r="BN462" s="23"/>
      <c r="BO462" s="23"/>
      <c r="BP462" s="23"/>
    </row>
    <row r="463" spans="3:68" outlineLevel="1" x14ac:dyDescent="0.2">
      <c r="C463" s="80"/>
      <c r="D463" s="402" t="str">
        <f>$D$227</f>
        <v>Total excl Land</v>
      </c>
      <c r="E463" s="80"/>
      <c r="F463" s="80"/>
      <c r="G463" s="477">
        <f>$G$465</f>
        <v>1</v>
      </c>
      <c r="H463" s="477">
        <f>$H$465</f>
        <v>0</v>
      </c>
      <c r="I463" s="83"/>
      <c r="J463" s="85" t="s">
        <v>399</v>
      </c>
      <c r="K463" s="401">
        <f t="shared" ref="K463:L465" si="621">SUM(K307,K385)</f>
        <v>0</v>
      </c>
      <c r="L463" s="436">
        <f t="shared" si="621"/>
        <v>0</v>
      </c>
      <c r="M463" s="457"/>
      <c r="N463" s="455"/>
      <c r="O463" s="455"/>
      <c r="P463" s="455"/>
      <c r="Q463" s="455"/>
      <c r="R463" s="401">
        <f t="shared" ref="R463:AW463" si="622">SUM(R307,R385)</f>
        <v>0</v>
      </c>
      <c r="S463" s="401">
        <f t="shared" si="622"/>
        <v>0</v>
      </c>
      <c r="T463" s="401">
        <f t="shared" si="622"/>
        <v>0</v>
      </c>
      <c r="U463" s="401">
        <f t="shared" si="622"/>
        <v>0</v>
      </c>
      <c r="V463" s="401">
        <f t="shared" si="622"/>
        <v>0</v>
      </c>
      <c r="W463" s="401">
        <f t="shared" si="622"/>
        <v>0</v>
      </c>
      <c r="X463" s="401">
        <f t="shared" si="622"/>
        <v>0</v>
      </c>
      <c r="Y463" s="401">
        <f t="shared" si="622"/>
        <v>0</v>
      </c>
      <c r="Z463" s="401">
        <f t="shared" si="622"/>
        <v>0</v>
      </c>
      <c r="AA463" s="401">
        <f t="shared" si="622"/>
        <v>0</v>
      </c>
      <c r="AB463" s="401">
        <f t="shared" si="622"/>
        <v>0</v>
      </c>
      <c r="AC463" s="401">
        <f t="shared" si="622"/>
        <v>0</v>
      </c>
      <c r="AD463" s="401">
        <f t="shared" si="622"/>
        <v>0</v>
      </c>
      <c r="AE463" s="401">
        <f t="shared" si="622"/>
        <v>0</v>
      </c>
      <c r="AF463" s="401">
        <f t="shared" si="622"/>
        <v>0</v>
      </c>
      <c r="AG463" s="401">
        <f t="shared" si="622"/>
        <v>0</v>
      </c>
      <c r="AH463" s="401">
        <f t="shared" si="622"/>
        <v>0</v>
      </c>
      <c r="AI463" s="401">
        <f t="shared" si="622"/>
        <v>0</v>
      </c>
      <c r="AJ463" s="401">
        <f t="shared" si="622"/>
        <v>0</v>
      </c>
      <c r="AK463" s="401">
        <f t="shared" si="622"/>
        <v>0</v>
      </c>
      <c r="AL463" s="401">
        <f t="shared" si="622"/>
        <v>0</v>
      </c>
      <c r="AM463" s="401">
        <f t="shared" si="622"/>
        <v>0</v>
      </c>
      <c r="AN463" s="401">
        <f t="shared" si="622"/>
        <v>0</v>
      </c>
      <c r="AO463" s="401">
        <f t="shared" si="622"/>
        <v>0</v>
      </c>
      <c r="AP463" s="401">
        <f t="shared" si="622"/>
        <v>0</v>
      </c>
      <c r="AQ463" s="401">
        <f t="shared" si="622"/>
        <v>0</v>
      </c>
      <c r="AR463" s="401">
        <f t="shared" si="622"/>
        <v>0</v>
      </c>
      <c r="AS463" s="401">
        <f t="shared" si="622"/>
        <v>0</v>
      </c>
      <c r="AT463" s="401">
        <f t="shared" si="622"/>
        <v>0</v>
      </c>
      <c r="AU463" s="401">
        <f t="shared" si="622"/>
        <v>0</v>
      </c>
      <c r="AV463" s="401">
        <f t="shared" si="622"/>
        <v>0</v>
      </c>
      <c r="AW463" s="401">
        <f t="shared" si="622"/>
        <v>0</v>
      </c>
      <c r="AX463" s="401">
        <f t="shared" ref="AX463:BP463" si="623">SUM(AX307,AX385)</f>
        <v>0</v>
      </c>
      <c r="AY463" s="401">
        <f t="shared" si="623"/>
        <v>0</v>
      </c>
      <c r="AZ463" s="401">
        <f t="shared" si="623"/>
        <v>0</v>
      </c>
      <c r="BA463" s="401">
        <f t="shared" si="623"/>
        <v>0</v>
      </c>
      <c r="BB463" s="401">
        <f t="shared" si="623"/>
        <v>0</v>
      </c>
      <c r="BC463" s="401">
        <f t="shared" si="623"/>
        <v>0</v>
      </c>
      <c r="BD463" s="401">
        <f t="shared" si="623"/>
        <v>0</v>
      </c>
      <c r="BE463" s="401">
        <f t="shared" si="623"/>
        <v>0</v>
      </c>
      <c r="BF463" s="401">
        <f t="shared" si="623"/>
        <v>0</v>
      </c>
      <c r="BG463" s="401">
        <f t="shared" si="623"/>
        <v>0</v>
      </c>
      <c r="BH463" s="401">
        <f t="shared" si="623"/>
        <v>0</v>
      </c>
      <c r="BI463" s="401">
        <f t="shared" si="623"/>
        <v>0</v>
      </c>
      <c r="BJ463" s="401">
        <f t="shared" si="623"/>
        <v>0</v>
      </c>
      <c r="BK463" s="401">
        <f t="shared" si="623"/>
        <v>0</v>
      </c>
      <c r="BL463" s="401">
        <f t="shared" si="623"/>
        <v>0</v>
      </c>
      <c r="BM463" s="401">
        <f t="shared" si="623"/>
        <v>0</v>
      </c>
      <c r="BN463" s="401">
        <f t="shared" si="623"/>
        <v>0</v>
      </c>
      <c r="BO463" s="401">
        <f t="shared" si="623"/>
        <v>0</v>
      </c>
      <c r="BP463" s="401">
        <f t="shared" si="623"/>
        <v>0</v>
      </c>
    </row>
    <row r="464" spans="3:68" outlineLevel="1" x14ac:dyDescent="0.2">
      <c r="C464" s="80"/>
      <c r="D464" s="402" t="str">
        <f>$D$228</f>
        <v>Land</v>
      </c>
      <c r="E464" s="80"/>
      <c r="F464" s="80"/>
      <c r="G464" s="477">
        <f>$G$465</f>
        <v>1</v>
      </c>
      <c r="H464" s="477">
        <f>$H$465</f>
        <v>0</v>
      </c>
      <c r="I464" s="83"/>
      <c r="J464" s="85" t="s">
        <v>399</v>
      </c>
      <c r="K464" s="401">
        <f t="shared" si="621"/>
        <v>0</v>
      </c>
      <c r="L464" s="436">
        <f t="shared" si="621"/>
        <v>0</v>
      </c>
      <c r="M464" s="457"/>
      <c r="N464" s="455"/>
      <c r="O464" s="455"/>
      <c r="P464" s="455"/>
      <c r="Q464" s="455"/>
      <c r="R464" s="401">
        <f t="shared" ref="R464:AW464" si="624">SUM(R308,R386)</f>
        <v>0</v>
      </c>
      <c r="S464" s="401">
        <f t="shared" si="624"/>
        <v>0</v>
      </c>
      <c r="T464" s="401">
        <f t="shared" si="624"/>
        <v>0</v>
      </c>
      <c r="U464" s="401">
        <f t="shared" si="624"/>
        <v>0</v>
      </c>
      <c r="V464" s="401">
        <f t="shared" si="624"/>
        <v>0</v>
      </c>
      <c r="W464" s="401">
        <f t="shared" si="624"/>
        <v>0</v>
      </c>
      <c r="X464" s="401">
        <f t="shared" si="624"/>
        <v>0</v>
      </c>
      <c r="Y464" s="401">
        <f t="shared" si="624"/>
        <v>0</v>
      </c>
      <c r="Z464" s="401">
        <f t="shared" si="624"/>
        <v>0</v>
      </c>
      <c r="AA464" s="401">
        <f t="shared" si="624"/>
        <v>0</v>
      </c>
      <c r="AB464" s="401">
        <f t="shared" si="624"/>
        <v>0</v>
      </c>
      <c r="AC464" s="401">
        <f t="shared" si="624"/>
        <v>0</v>
      </c>
      <c r="AD464" s="401">
        <f t="shared" si="624"/>
        <v>0</v>
      </c>
      <c r="AE464" s="401">
        <f t="shared" si="624"/>
        <v>0</v>
      </c>
      <c r="AF464" s="401">
        <f t="shared" si="624"/>
        <v>0</v>
      </c>
      <c r="AG464" s="401">
        <f t="shared" si="624"/>
        <v>0</v>
      </c>
      <c r="AH464" s="401">
        <f t="shared" si="624"/>
        <v>0</v>
      </c>
      <c r="AI464" s="401">
        <f t="shared" si="624"/>
        <v>0</v>
      </c>
      <c r="AJ464" s="401">
        <f t="shared" si="624"/>
        <v>0</v>
      </c>
      <c r="AK464" s="401">
        <f t="shared" si="624"/>
        <v>0</v>
      </c>
      <c r="AL464" s="401">
        <f t="shared" si="624"/>
        <v>0</v>
      </c>
      <c r="AM464" s="401">
        <f t="shared" si="624"/>
        <v>0</v>
      </c>
      <c r="AN464" s="401">
        <f t="shared" si="624"/>
        <v>0</v>
      </c>
      <c r="AO464" s="401">
        <f t="shared" si="624"/>
        <v>0</v>
      </c>
      <c r="AP464" s="401">
        <f t="shared" si="624"/>
        <v>0</v>
      </c>
      <c r="AQ464" s="401">
        <f t="shared" si="624"/>
        <v>0</v>
      </c>
      <c r="AR464" s="401">
        <f t="shared" si="624"/>
        <v>0</v>
      </c>
      <c r="AS464" s="401">
        <f t="shared" si="624"/>
        <v>0</v>
      </c>
      <c r="AT464" s="401">
        <f t="shared" si="624"/>
        <v>0</v>
      </c>
      <c r="AU464" s="401">
        <f t="shared" si="624"/>
        <v>0</v>
      </c>
      <c r="AV464" s="401">
        <f t="shared" si="624"/>
        <v>0</v>
      </c>
      <c r="AW464" s="401">
        <f t="shared" si="624"/>
        <v>0</v>
      </c>
      <c r="AX464" s="401">
        <f t="shared" ref="AX464:BP464" si="625">SUM(AX308,AX386)</f>
        <v>0</v>
      </c>
      <c r="AY464" s="401">
        <f t="shared" si="625"/>
        <v>0</v>
      </c>
      <c r="AZ464" s="401">
        <f t="shared" si="625"/>
        <v>0</v>
      </c>
      <c r="BA464" s="401">
        <f t="shared" si="625"/>
        <v>0</v>
      </c>
      <c r="BB464" s="401">
        <f t="shared" si="625"/>
        <v>0</v>
      </c>
      <c r="BC464" s="401">
        <f t="shared" si="625"/>
        <v>0</v>
      </c>
      <c r="BD464" s="401">
        <f t="shared" si="625"/>
        <v>0</v>
      </c>
      <c r="BE464" s="401">
        <f t="shared" si="625"/>
        <v>0</v>
      </c>
      <c r="BF464" s="401">
        <f t="shared" si="625"/>
        <v>0</v>
      </c>
      <c r="BG464" s="401">
        <f t="shared" si="625"/>
        <v>0</v>
      </c>
      <c r="BH464" s="401">
        <f t="shared" si="625"/>
        <v>0</v>
      </c>
      <c r="BI464" s="401">
        <f t="shared" si="625"/>
        <v>0</v>
      </c>
      <c r="BJ464" s="401">
        <f t="shared" si="625"/>
        <v>0</v>
      </c>
      <c r="BK464" s="401">
        <f t="shared" si="625"/>
        <v>0</v>
      </c>
      <c r="BL464" s="401">
        <f t="shared" si="625"/>
        <v>0</v>
      </c>
      <c r="BM464" s="401">
        <f t="shared" si="625"/>
        <v>0</v>
      </c>
      <c r="BN464" s="401">
        <f t="shared" si="625"/>
        <v>0</v>
      </c>
      <c r="BO464" s="401">
        <f t="shared" si="625"/>
        <v>0</v>
      </c>
      <c r="BP464" s="401">
        <f t="shared" si="625"/>
        <v>0</v>
      </c>
    </row>
    <row r="465" spans="4:68" outlineLevel="1" x14ac:dyDescent="0.2">
      <c r="D465" s="81" t="str">
        <f>$D$229</f>
        <v>Total future capex cost</v>
      </c>
      <c r="E465" s="80"/>
      <c r="F465" s="80"/>
      <c r="G465" s="477">
        <f>Assumptions!$H$166</f>
        <v>1</v>
      </c>
      <c r="H465" s="477">
        <f>Assumptions!$I$166</f>
        <v>0</v>
      </c>
      <c r="I465" s="83"/>
      <c r="J465" s="85" t="str">
        <f>Assumptions!$K$166</f>
        <v>Future capex</v>
      </c>
      <c r="K465" s="401">
        <f t="shared" si="621"/>
        <v>0</v>
      </c>
      <c r="L465" s="436">
        <f t="shared" si="621"/>
        <v>0</v>
      </c>
      <c r="M465" s="457"/>
      <c r="N465" s="455"/>
      <c r="O465" s="455"/>
      <c r="P465" s="455"/>
      <c r="Q465" s="455"/>
      <c r="R465" s="401">
        <f t="shared" ref="R465:AW465" si="626">SUM(R309,R387)</f>
        <v>0</v>
      </c>
      <c r="S465" s="401">
        <f t="shared" si="626"/>
        <v>0</v>
      </c>
      <c r="T465" s="401">
        <f t="shared" si="626"/>
        <v>0</v>
      </c>
      <c r="U465" s="401">
        <f t="shared" si="626"/>
        <v>0</v>
      </c>
      <c r="V465" s="401">
        <f t="shared" si="626"/>
        <v>0</v>
      </c>
      <c r="W465" s="401">
        <f t="shared" si="626"/>
        <v>0</v>
      </c>
      <c r="X465" s="401">
        <f t="shared" si="626"/>
        <v>0</v>
      </c>
      <c r="Y465" s="401">
        <f t="shared" si="626"/>
        <v>0</v>
      </c>
      <c r="Z465" s="401">
        <f t="shared" si="626"/>
        <v>0</v>
      </c>
      <c r="AA465" s="401">
        <f t="shared" si="626"/>
        <v>0</v>
      </c>
      <c r="AB465" s="401">
        <f t="shared" si="626"/>
        <v>0</v>
      </c>
      <c r="AC465" s="401">
        <f t="shared" si="626"/>
        <v>0</v>
      </c>
      <c r="AD465" s="401">
        <f t="shared" si="626"/>
        <v>0</v>
      </c>
      <c r="AE465" s="401">
        <f t="shared" si="626"/>
        <v>0</v>
      </c>
      <c r="AF465" s="401">
        <f t="shared" si="626"/>
        <v>0</v>
      </c>
      <c r="AG465" s="401">
        <f t="shared" si="626"/>
        <v>0</v>
      </c>
      <c r="AH465" s="401">
        <f t="shared" si="626"/>
        <v>0</v>
      </c>
      <c r="AI465" s="401">
        <f t="shared" si="626"/>
        <v>0</v>
      </c>
      <c r="AJ465" s="401">
        <f t="shared" si="626"/>
        <v>0</v>
      </c>
      <c r="AK465" s="401">
        <f t="shared" si="626"/>
        <v>0</v>
      </c>
      <c r="AL465" s="401">
        <f t="shared" si="626"/>
        <v>0</v>
      </c>
      <c r="AM465" s="401">
        <f t="shared" si="626"/>
        <v>0</v>
      </c>
      <c r="AN465" s="401">
        <f t="shared" si="626"/>
        <v>0</v>
      </c>
      <c r="AO465" s="401">
        <f t="shared" si="626"/>
        <v>0</v>
      </c>
      <c r="AP465" s="401">
        <f t="shared" si="626"/>
        <v>0</v>
      </c>
      <c r="AQ465" s="401">
        <f t="shared" si="626"/>
        <v>0</v>
      </c>
      <c r="AR465" s="401">
        <f t="shared" si="626"/>
        <v>0</v>
      </c>
      <c r="AS465" s="401">
        <f t="shared" si="626"/>
        <v>0</v>
      </c>
      <c r="AT465" s="401">
        <f t="shared" si="626"/>
        <v>0</v>
      </c>
      <c r="AU465" s="401">
        <f t="shared" si="626"/>
        <v>0</v>
      </c>
      <c r="AV465" s="401">
        <f t="shared" si="626"/>
        <v>0</v>
      </c>
      <c r="AW465" s="401">
        <f t="shared" si="626"/>
        <v>0</v>
      </c>
      <c r="AX465" s="401">
        <f t="shared" ref="AX465:BP465" si="627">SUM(AX309,AX387)</f>
        <v>0</v>
      </c>
      <c r="AY465" s="401">
        <f t="shared" si="627"/>
        <v>0</v>
      </c>
      <c r="AZ465" s="401">
        <f t="shared" si="627"/>
        <v>0</v>
      </c>
      <c r="BA465" s="401">
        <f t="shared" si="627"/>
        <v>0</v>
      </c>
      <c r="BB465" s="401">
        <f t="shared" si="627"/>
        <v>0</v>
      </c>
      <c r="BC465" s="401">
        <f t="shared" si="627"/>
        <v>0</v>
      </c>
      <c r="BD465" s="401">
        <f t="shared" si="627"/>
        <v>0</v>
      </c>
      <c r="BE465" s="401">
        <f t="shared" si="627"/>
        <v>0</v>
      </c>
      <c r="BF465" s="401">
        <f t="shared" si="627"/>
        <v>0</v>
      </c>
      <c r="BG465" s="401">
        <f t="shared" si="627"/>
        <v>0</v>
      </c>
      <c r="BH465" s="401">
        <f t="shared" si="627"/>
        <v>0</v>
      </c>
      <c r="BI465" s="401">
        <f t="shared" si="627"/>
        <v>0</v>
      </c>
      <c r="BJ465" s="401">
        <f t="shared" si="627"/>
        <v>0</v>
      </c>
      <c r="BK465" s="401">
        <f t="shared" si="627"/>
        <v>0</v>
      </c>
      <c r="BL465" s="401">
        <f t="shared" si="627"/>
        <v>0</v>
      </c>
      <c r="BM465" s="401">
        <f t="shared" si="627"/>
        <v>0</v>
      </c>
      <c r="BN465" s="401">
        <f t="shared" si="627"/>
        <v>0</v>
      </c>
      <c r="BO465" s="401">
        <f t="shared" si="627"/>
        <v>0</v>
      </c>
      <c r="BP465" s="401">
        <f t="shared" si="627"/>
        <v>0</v>
      </c>
    </row>
    <row r="466" spans="4:68" outlineLevel="1" x14ac:dyDescent="0.2">
      <c r="D466" s="80"/>
      <c r="E466" s="80"/>
      <c r="F466" s="80"/>
      <c r="G466" s="52"/>
      <c r="H466" s="52"/>
      <c r="I466" s="52"/>
      <c r="J466" s="85"/>
      <c r="K466" s="80"/>
      <c r="L466" s="412"/>
      <c r="M466" s="437"/>
      <c r="N466" s="401"/>
      <c r="O466" s="401"/>
      <c r="P466" s="401"/>
      <c r="Q466" s="401"/>
      <c r="R466" s="23"/>
      <c r="S466" s="23"/>
      <c r="T466" s="23"/>
      <c r="U466" s="23"/>
      <c r="V466" s="23"/>
      <c r="W466" s="23"/>
      <c r="X466" s="23"/>
      <c r="Y466" s="23"/>
      <c r="Z466" s="23"/>
      <c r="AA466" s="23"/>
      <c r="AB466" s="23"/>
      <c r="AC466" s="23"/>
      <c r="AD466" s="23"/>
      <c r="AE466" s="23"/>
      <c r="AF466" s="23"/>
      <c r="AG466" s="23"/>
      <c r="AH466" s="23"/>
      <c r="AI466" s="23"/>
      <c r="AJ466" s="23"/>
      <c r="AK466" s="23"/>
      <c r="AL466" s="23"/>
      <c r="AM466" s="23"/>
      <c r="AN466" s="23"/>
      <c r="AO466" s="23"/>
      <c r="AP466" s="23"/>
      <c r="AQ466" s="23"/>
      <c r="AR466" s="23"/>
      <c r="AS466" s="23"/>
      <c r="AT466" s="23"/>
      <c r="AU466" s="23"/>
      <c r="AV466" s="23"/>
      <c r="AW466" s="23"/>
      <c r="AX466" s="23"/>
      <c r="AY466" s="23"/>
      <c r="AZ466" s="23"/>
      <c r="BA466" s="23"/>
      <c r="BB466" s="23"/>
      <c r="BC466" s="23"/>
      <c r="BD466" s="23"/>
      <c r="BE466" s="23"/>
      <c r="BF466" s="23"/>
      <c r="BG466" s="23"/>
      <c r="BH466" s="23"/>
      <c r="BI466" s="23"/>
      <c r="BJ466" s="23"/>
      <c r="BK466" s="23"/>
      <c r="BL466" s="23"/>
      <c r="BM466" s="23"/>
      <c r="BN466" s="23"/>
      <c r="BO466" s="23"/>
      <c r="BP466" s="23"/>
    </row>
    <row r="467" spans="4:68" outlineLevel="1" x14ac:dyDescent="0.2">
      <c r="D467" s="10" t="str">
        <f>$D$231</f>
        <v>Capex benefits</v>
      </c>
      <c r="E467" s="80"/>
      <c r="F467" s="80"/>
      <c r="G467" s="83"/>
      <c r="H467" s="83"/>
      <c r="I467" s="83"/>
      <c r="J467" s="85"/>
      <c r="K467" s="34"/>
      <c r="L467" s="126"/>
      <c r="M467" s="413"/>
      <c r="N467" s="80"/>
      <c r="O467" s="80"/>
      <c r="P467" s="80"/>
      <c r="Q467" s="80"/>
      <c r="R467" s="23"/>
      <c r="S467" s="23"/>
      <c r="T467" s="23"/>
      <c r="U467" s="23"/>
      <c r="V467" s="23"/>
      <c r="W467" s="23"/>
      <c r="X467" s="23"/>
      <c r="Y467" s="23"/>
      <c r="Z467" s="23"/>
      <c r="AA467" s="23"/>
      <c r="AB467" s="23"/>
      <c r="AC467" s="23"/>
      <c r="AD467" s="23"/>
      <c r="AE467" s="23"/>
      <c r="AF467" s="23"/>
      <c r="AG467" s="23"/>
      <c r="AH467" s="23"/>
      <c r="AI467" s="23"/>
      <c r="AJ467" s="23"/>
      <c r="AK467" s="23"/>
      <c r="AL467" s="23"/>
      <c r="AM467" s="23"/>
      <c r="AN467" s="23"/>
      <c r="AO467" s="23"/>
      <c r="AP467" s="23"/>
      <c r="AQ467" s="23"/>
      <c r="AR467" s="23"/>
      <c r="AS467" s="23"/>
      <c r="AT467" s="23"/>
      <c r="AU467" s="23"/>
      <c r="AV467" s="23"/>
      <c r="AW467" s="23"/>
      <c r="AX467" s="23"/>
      <c r="AY467" s="23"/>
      <c r="AZ467" s="23"/>
      <c r="BA467" s="23"/>
      <c r="BB467" s="23"/>
      <c r="BC467" s="23"/>
      <c r="BD467" s="23"/>
      <c r="BE467" s="23"/>
      <c r="BF467" s="23"/>
      <c r="BG467" s="23"/>
      <c r="BH467" s="23"/>
      <c r="BI467" s="23"/>
      <c r="BJ467" s="23"/>
      <c r="BK467" s="23"/>
      <c r="BL467" s="23"/>
      <c r="BM467" s="23"/>
      <c r="BN467" s="23"/>
      <c r="BO467" s="23"/>
      <c r="BP467" s="23"/>
    </row>
    <row r="468" spans="4:68" outlineLevel="1" x14ac:dyDescent="0.2">
      <c r="D468" s="66" t="str">
        <f>$D$232</f>
        <v>Total capex benefits</v>
      </c>
      <c r="E468" s="80"/>
      <c r="F468" s="80"/>
      <c r="G468" s="477">
        <f>Assumptions!$H$169</f>
        <v>0.3</v>
      </c>
      <c r="H468" s="477">
        <f>Assumptions!$I$169</f>
        <v>0.7</v>
      </c>
      <c r="I468" s="83"/>
      <c r="J468" s="85" t="str">
        <f>Assumptions!$K$169</f>
        <v>Capex benefits</v>
      </c>
      <c r="K468" s="401">
        <f>SUM(K312,K390)</f>
        <v>542822.84767942852</v>
      </c>
      <c r="L468" s="436">
        <f>SUM(L312,L390)</f>
        <v>674885.50411962834</v>
      </c>
      <c r="M468" s="457"/>
      <c r="N468" s="455"/>
      <c r="O468" s="455"/>
      <c r="P468" s="455"/>
      <c r="Q468" s="455"/>
      <c r="R468" s="401">
        <f t="shared" ref="R468:AW468" si="628">SUM(R312,R390)</f>
        <v>0</v>
      </c>
      <c r="S468" s="401">
        <f>SUM(S312,S390)</f>
        <v>0</v>
      </c>
      <c r="T468" s="401">
        <f t="shared" si="628"/>
        <v>0</v>
      </c>
      <c r="U468" s="401">
        <f t="shared" si="628"/>
        <v>82215.499612420273</v>
      </c>
      <c r="V468" s="401">
        <f t="shared" si="628"/>
        <v>83418.633341835346</v>
      </c>
      <c r="W468" s="401">
        <f t="shared" si="628"/>
        <v>83981.778737012559</v>
      </c>
      <c r="X468" s="401">
        <f t="shared" si="628"/>
        <v>84039.932594823957</v>
      </c>
      <c r="Y468" s="401">
        <f t="shared" si="628"/>
        <v>85307.414958384019</v>
      </c>
      <c r="Z468" s="401">
        <f t="shared" si="628"/>
        <v>85307.414958384019</v>
      </c>
      <c r="AA468" s="401">
        <f t="shared" si="628"/>
        <v>85307.414958384019</v>
      </c>
      <c r="AB468" s="401">
        <f t="shared" si="628"/>
        <v>85307.414958384019</v>
      </c>
      <c r="AC468" s="401">
        <f t="shared" si="628"/>
        <v>0</v>
      </c>
      <c r="AD468" s="401">
        <f t="shared" si="628"/>
        <v>0</v>
      </c>
      <c r="AE468" s="401">
        <f t="shared" si="628"/>
        <v>0</v>
      </c>
      <c r="AF468" s="401">
        <f t="shared" si="628"/>
        <v>0</v>
      </c>
      <c r="AG468" s="401">
        <f t="shared" si="628"/>
        <v>0</v>
      </c>
      <c r="AH468" s="401">
        <f t="shared" si="628"/>
        <v>0</v>
      </c>
      <c r="AI468" s="401">
        <f t="shared" si="628"/>
        <v>0</v>
      </c>
      <c r="AJ468" s="401">
        <f t="shared" si="628"/>
        <v>0</v>
      </c>
      <c r="AK468" s="401">
        <f t="shared" si="628"/>
        <v>0</v>
      </c>
      <c r="AL468" s="401">
        <f t="shared" si="628"/>
        <v>0</v>
      </c>
      <c r="AM468" s="401">
        <f t="shared" si="628"/>
        <v>0</v>
      </c>
      <c r="AN468" s="401">
        <f t="shared" si="628"/>
        <v>0</v>
      </c>
      <c r="AO468" s="401">
        <f t="shared" si="628"/>
        <v>0</v>
      </c>
      <c r="AP468" s="401">
        <f t="shared" si="628"/>
        <v>0</v>
      </c>
      <c r="AQ468" s="401">
        <f t="shared" si="628"/>
        <v>0</v>
      </c>
      <c r="AR468" s="401">
        <f t="shared" si="628"/>
        <v>0</v>
      </c>
      <c r="AS468" s="401">
        <f t="shared" si="628"/>
        <v>0</v>
      </c>
      <c r="AT468" s="401">
        <f t="shared" si="628"/>
        <v>0</v>
      </c>
      <c r="AU468" s="401">
        <f t="shared" si="628"/>
        <v>0</v>
      </c>
      <c r="AV468" s="401">
        <f t="shared" si="628"/>
        <v>0</v>
      </c>
      <c r="AW468" s="401">
        <f t="shared" si="628"/>
        <v>0</v>
      </c>
      <c r="AX468" s="401">
        <f t="shared" ref="AX468:BP468" si="629">SUM(AX312,AX390)</f>
        <v>0</v>
      </c>
      <c r="AY468" s="401">
        <f t="shared" si="629"/>
        <v>0</v>
      </c>
      <c r="AZ468" s="401">
        <f t="shared" si="629"/>
        <v>0</v>
      </c>
      <c r="BA468" s="401">
        <f t="shared" si="629"/>
        <v>0</v>
      </c>
      <c r="BB468" s="401">
        <f t="shared" si="629"/>
        <v>0</v>
      </c>
      <c r="BC468" s="401">
        <f t="shared" si="629"/>
        <v>0</v>
      </c>
      <c r="BD468" s="401">
        <f t="shared" si="629"/>
        <v>0</v>
      </c>
      <c r="BE468" s="401">
        <f t="shared" si="629"/>
        <v>0</v>
      </c>
      <c r="BF468" s="401">
        <f t="shared" si="629"/>
        <v>0</v>
      </c>
      <c r="BG468" s="401">
        <f t="shared" si="629"/>
        <v>0</v>
      </c>
      <c r="BH468" s="401">
        <f t="shared" si="629"/>
        <v>0</v>
      </c>
      <c r="BI468" s="401">
        <f t="shared" si="629"/>
        <v>0</v>
      </c>
      <c r="BJ468" s="401">
        <f t="shared" si="629"/>
        <v>0</v>
      </c>
      <c r="BK468" s="401">
        <f t="shared" si="629"/>
        <v>0</v>
      </c>
      <c r="BL468" s="401">
        <f t="shared" si="629"/>
        <v>0</v>
      </c>
      <c r="BM468" s="401">
        <f t="shared" si="629"/>
        <v>0</v>
      </c>
      <c r="BN468" s="401">
        <f t="shared" si="629"/>
        <v>0</v>
      </c>
      <c r="BO468" s="401">
        <f t="shared" si="629"/>
        <v>0</v>
      </c>
      <c r="BP468" s="401">
        <f t="shared" si="629"/>
        <v>0</v>
      </c>
    </row>
    <row r="469" spans="4:68" outlineLevel="1" x14ac:dyDescent="0.2">
      <c r="D469" s="80"/>
      <c r="E469" s="80"/>
      <c r="F469" s="80"/>
      <c r="G469" s="52"/>
      <c r="H469" s="52"/>
      <c r="I469" s="52"/>
      <c r="J469" s="85"/>
      <c r="K469" s="80"/>
      <c r="L469" s="412"/>
      <c r="M469" s="113"/>
      <c r="N469"/>
      <c r="O469"/>
      <c r="P469"/>
      <c r="Q469"/>
      <c r="R469" s="23"/>
      <c r="S469" s="23"/>
      <c r="T469" s="23"/>
      <c r="U469" s="23"/>
      <c r="V469" s="23"/>
      <c r="W469" s="23"/>
      <c r="X469" s="23"/>
      <c r="Y469" s="23"/>
      <c r="Z469" s="23"/>
      <c r="AA469" s="23"/>
      <c r="AB469" s="23"/>
      <c r="AC469" s="23"/>
      <c r="AD469" s="23"/>
      <c r="AE469" s="23"/>
      <c r="AF469" s="23"/>
      <c r="AG469" s="23"/>
      <c r="AH469" s="23"/>
      <c r="AI469" s="23"/>
      <c r="AJ469" s="23"/>
      <c r="AK469" s="23"/>
      <c r="AL469" s="23"/>
      <c r="AM469" s="23"/>
      <c r="AN469" s="23"/>
      <c r="AO469" s="23"/>
      <c r="AP469" s="23"/>
      <c r="AQ469" s="23"/>
      <c r="AR469" s="23"/>
      <c r="AS469" s="23"/>
      <c r="AT469" s="23"/>
      <c r="AU469" s="23"/>
      <c r="AV469" s="23"/>
      <c r="AW469" s="23"/>
      <c r="AX469" s="23"/>
      <c r="AY469" s="23"/>
      <c r="AZ469" s="23"/>
      <c r="BA469" s="23"/>
      <c r="BB469" s="23"/>
      <c r="BC469" s="23"/>
      <c r="BD469" s="23"/>
      <c r="BE469" s="23"/>
      <c r="BF469" s="23"/>
      <c r="BG469" s="23"/>
      <c r="BH469" s="23"/>
      <c r="BI469" s="23"/>
      <c r="BJ469" s="23"/>
      <c r="BK469" s="23"/>
      <c r="BL469" s="23"/>
      <c r="BM469" s="23"/>
      <c r="BN469" s="23"/>
      <c r="BO469" s="23"/>
      <c r="BP469" s="23"/>
    </row>
    <row r="470" spans="4:68" outlineLevel="1" x14ac:dyDescent="0.2">
      <c r="D470" s="10" t="str">
        <f>$D$234</f>
        <v>Regulatory revenue - Return on capital</v>
      </c>
      <c r="E470" s="80"/>
      <c r="F470" s="80"/>
      <c r="G470" s="83"/>
      <c r="H470" s="83"/>
      <c r="I470" s="83"/>
      <c r="J470" s="85"/>
      <c r="K470" s="34"/>
      <c r="L470" s="126"/>
      <c r="M470" s="413"/>
      <c r="N470" s="80"/>
      <c r="O470" s="80"/>
      <c r="P470" s="80"/>
      <c r="Q470" s="80"/>
      <c r="R470" s="23"/>
      <c r="S470" s="23"/>
      <c r="T470" s="23"/>
      <c r="U470" s="23"/>
      <c r="V470" s="23"/>
      <c r="W470" s="23"/>
      <c r="X470" s="23"/>
      <c r="Y470" s="23"/>
      <c r="Z470" s="23"/>
      <c r="AA470" s="23"/>
      <c r="AB470" s="23"/>
      <c r="AC470" s="23"/>
      <c r="AD470" s="23"/>
      <c r="AE470" s="23"/>
      <c r="AF470" s="23"/>
      <c r="AG470" s="23"/>
      <c r="AH470" s="23"/>
      <c r="AI470" s="23"/>
      <c r="AJ470" s="23"/>
      <c r="AK470" s="23"/>
      <c r="AL470" s="23"/>
      <c r="AM470" s="23"/>
      <c r="AN470" s="23"/>
      <c r="AO470" s="23"/>
      <c r="AP470" s="23"/>
      <c r="AQ470" s="23"/>
      <c r="AR470" s="23"/>
      <c r="AS470" s="23"/>
      <c r="AT470" s="23"/>
      <c r="AU470" s="23"/>
      <c r="AV470" s="23"/>
      <c r="AW470" s="23"/>
      <c r="AX470" s="23"/>
      <c r="AY470" s="23"/>
      <c r="AZ470" s="23"/>
      <c r="BA470" s="23"/>
      <c r="BB470" s="23"/>
      <c r="BC470" s="23"/>
      <c r="BD470" s="23"/>
      <c r="BE470" s="23"/>
      <c r="BF470" s="23"/>
      <c r="BG470" s="23"/>
      <c r="BH470" s="23"/>
      <c r="BI470" s="23"/>
      <c r="BJ470" s="23"/>
      <c r="BK470" s="23"/>
      <c r="BL470" s="23"/>
      <c r="BM470" s="23"/>
      <c r="BN470" s="23"/>
      <c r="BO470" s="23"/>
      <c r="BP470" s="23"/>
    </row>
    <row r="471" spans="4:68" outlineLevel="1" x14ac:dyDescent="0.2">
      <c r="D471" s="66" t="str">
        <f>$D$235</f>
        <v>Total return on capital</v>
      </c>
      <c r="E471" s="80"/>
      <c r="F471" s="80"/>
      <c r="G471" s="477">
        <f>Assumptions!$H$172</f>
        <v>1</v>
      </c>
      <c r="H471" s="477">
        <f>Assumptions!$I$172</f>
        <v>-1</v>
      </c>
      <c r="I471" s="83"/>
      <c r="J471" s="85" t="str">
        <f>Assumptions!$K$172</f>
        <v>Regulatory revenue</v>
      </c>
      <c r="K471" s="401">
        <f>SUM(K315,K393)</f>
        <v>0</v>
      </c>
      <c r="L471" s="436">
        <f>SUM(L315,L393)</f>
        <v>0</v>
      </c>
      <c r="M471" s="457"/>
      <c r="N471" s="455"/>
      <c r="O471" s="455"/>
      <c r="P471" s="455"/>
      <c r="Q471" s="455"/>
      <c r="R471" s="401">
        <f t="shared" ref="R471:AW471" si="630">SUM(R315,R393)</f>
        <v>0</v>
      </c>
      <c r="S471" s="401">
        <f t="shared" si="630"/>
        <v>0</v>
      </c>
      <c r="T471" s="401">
        <f t="shared" si="630"/>
        <v>0</v>
      </c>
      <c r="U471" s="401">
        <f t="shared" si="630"/>
        <v>0</v>
      </c>
      <c r="V471" s="401">
        <f t="shared" si="630"/>
        <v>0</v>
      </c>
      <c r="W471" s="401">
        <f t="shared" si="630"/>
        <v>0</v>
      </c>
      <c r="X471" s="401">
        <f t="shared" si="630"/>
        <v>0</v>
      </c>
      <c r="Y471" s="401">
        <f t="shared" si="630"/>
        <v>0</v>
      </c>
      <c r="Z471" s="401">
        <f t="shared" si="630"/>
        <v>0</v>
      </c>
      <c r="AA471" s="401">
        <f t="shared" si="630"/>
        <v>0</v>
      </c>
      <c r="AB471" s="401">
        <f t="shared" si="630"/>
        <v>0</v>
      </c>
      <c r="AC471" s="401">
        <f t="shared" si="630"/>
        <v>0</v>
      </c>
      <c r="AD471" s="401">
        <f t="shared" si="630"/>
        <v>0</v>
      </c>
      <c r="AE471" s="401">
        <f t="shared" si="630"/>
        <v>0</v>
      </c>
      <c r="AF471" s="401">
        <f t="shared" si="630"/>
        <v>0</v>
      </c>
      <c r="AG471" s="401">
        <f t="shared" si="630"/>
        <v>0</v>
      </c>
      <c r="AH471" s="401">
        <f t="shared" si="630"/>
        <v>0</v>
      </c>
      <c r="AI471" s="401">
        <f t="shared" si="630"/>
        <v>0</v>
      </c>
      <c r="AJ471" s="401">
        <f t="shared" si="630"/>
        <v>0</v>
      </c>
      <c r="AK471" s="401">
        <f t="shared" si="630"/>
        <v>0</v>
      </c>
      <c r="AL471" s="401">
        <f t="shared" si="630"/>
        <v>0</v>
      </c>
      <c r="AM471" s="401">
        <f t="shared" si="630"/>
        <v>0</v>
      </c>
      <c r="AN471" s="401">
        <f t="shared" si="630"/>
        <v>0</v>
      </c>
      <c r="AO471" s="401">
        <f t="shared" si="630"/>
        <v>0</v>
      </c>
      <c r="AP471" s="401">
        <f t="shared" si="630"/>
        <v>0</v>
      </c>
      <c r="AQ471" s="401">
        <f t="shared" si="630"/>
        <v>0</v>
      </c>
      <c r="AR471" s="401">
        <f t="shared" si="630"/>
        <v>0</v>
      </c>
      <c r="AS471" s="401">
        <f t="shared" si="630"/>
        <v>0</v>
      </c>
      <c r="AT471" s="401">
        <f t="shared" si="630"/>
        <v>0</v>
      </c>
      <c r="AU471" s="401">
        <f t="shared" si="630"/>
        <v>0</v>
      </c>
      <c r="AV471" s="401">
        <f t="shared" si="630"/>
        <v>0</v>
      </c>
      <c r="AW471" s="401">
        <f t="shared" si="630"/>
        <v>0</v>
      </c>
      <c r="AX471" s="401">
        <f t="shared" ref="AX471:BP471" si="631">SUM(AX315,AX393)</f>
        <v>0</v>
      </c>
      <c r="AY471" s="401">
        <f t="shared" si="631"/>
        <v>0</v>
      </c>
      <c r="AZ471" s="401">
        <f t="shared" si="631"/>
        <v>0</v>
      </c>
      <c r="BA471" s="401">
        <f t="shared" si="631"/>
        <v>0</v>
      </c>
      <c r="BB471" s="401">
        <f t="shared" si="631"/>
        <v>0</v>
      </c>
      <c r="BC471" s="401">
        <f t="shared" si="631"/>
        <v>0</v>
      </c>
      <c r="BD471" s="401">
        <f t="shared" si="631"/>
        <v>0</v>
      </c>
      <c r="BE471" s="401">
        <f t="shared" si="631"/>
        <v>0</v>
      </c>
      <c r="BF471" s="401">
        <f t="shared" si="631"/>
        <v>0</v>
      </c>
      <c r="BG471" s="401">
        <f t="shared" si="631"/>
        <v>0</v>
      </c>
      <c r="BH471" s="401">
        <f t="shared" si="631"/>
        <v>0</v>
      </c>
      <c r="BI471" s="401">
        <f t="shared" si="631"/>
        <v>0</v>
      </c>
      <c r="BJ471" s="401">
        <f t="shared" si="631"/>
        <v>0</v>
      </c>
      <c r="BK471" s="401">
        <f t="shared" si="631"/>
        <v>0</v>
      </c>
      <c r="BL471" s="401">
        <f t="shared" si="631"/>
        <v>0</v>
      </c>
      <c r="BM471" s="401">
        <f t="shared" si="631"/>
        <v>0</v>
      </c>
      <c r="BN471" s="401">
        <f t="shared" si="631"/>
        <v>0</v>
      </c>
      <c r="BO471" s="401">
        <f t="shared" si="631"/>
        <v>0</v>
      </c>
      <c r="BP471" s="401">
        <f t="shared" si="631"/>
        <v>0</v>
      </c>
    </row>
    <row r="472" spans="4:68" outlineLevel="1" x14ac:dyDescent="0.2">
      <c r="D472" s="80"/>
      <c r="E472" s="80"/>
      <c r="F472" s="80"/>
      <c r="G472" s="52"/>
      <c r="H472" s="52"/>
      <c r="I472" s="52"/>
      <c r="J472" s="85"/>
      <c r="K472" s="80"/>
      <c r="L472" s="412"/>
      <c r="M472" s="113"/>
      <c r="N472"/>
      <c r="O472"/>
      <c r="P472"/>
      <c r="Q472"/>
      <c r="R472" s="23"/>
      <c r="S472" s="23"/>
      <c r="T472" s="23"/>
      <c r="U472" s="23"/>
      <c r="V472" s="23"/>
      <c r="W472" s="23"/>
      <c r="X472" s="23"/>
      <c r="Y472" s="23"/>
      <c r="Z472" s="23"/>
      <c r="AA472" s="23"/>
      <c r="AB472" s="23"/>
      <c r="AC472" s="23"/>
      <c r="AD472" s="23"/>
      <c r="AE472" s="23"/>
      <c r="AF472" s="23"/>
      <c r="AG472" s="23"/>
      <c r="AH472" s="23"/>
      <c r="AI472" s="23"/>
      <c r="AJ472" s="23"/>
      <c r="AK472" s="23"/>
      <c r="AL472" s="23"/>
      <c r="AM472" s="23"/>
      <c r="AN472" s="23"/>
      <c r="AO472" s="23"/>
      <c r="AP472" s="23"/>
      <c r="AQ472" s="23"/>
      <c r="AR472" s="23"/>
      <c r="AS472" s="23"/>
      <c r="AT472" s="23"/>
      <c r="AU472" s="23"/>
      <c r="AV472" s="23"/>
      <c r="AW472" s="23"/>
      <c r="AX472" s="23"/>
      <c r="AY472" s="23"/>
      <c r="AZ472" s="23"/>
      <c r="BA472" s="23"/>
      <c r="BB472" s="23"/>
      <c r="BC472" s="23"/>
      <c r="BD472" s="23"/>
      <c r="BE472" s="23"/>
      <c r="BF472" s="23"/>
      <c r="BG472" s="23"/>
      <c r="BH472" s="23"/>
      <c r="BI472" s="23"/>
      <c r="BJ472" s="23"/>
      <c r="BK472" s="23"/>
      <c r="BL472" s="23"/>
      <c r="BM472" s="23"/>
      <c r="BN472" s="23"/>
      <c r="BO472" s="23"/>
      <c r="BP472" s="23"/>
    </row>
    <row r="473" spans="4:68" outlineLevel="1" x14ac:dyDescent="0.2">
      <c r="D473" s="10" t="str">
        <f>$D$237</f>
        <v>Regulatory revenue - Return of capital</v>
      </c>
      <c r="E473" s="80"/>
      <c r="F473" s="80"/>
      <c r="G473" s="83"/>
      <c r="H473" s="83"/>
      <c r="I473" s="83"/>
      <c r="J473" s="85"/>
      <c r="K473" s="34"/>
      <c r="L473" s="126"/>
      <c r="M473" s="413"/>
      <c r="N473" s="80"/>
      <c r="O473" s="80"/>
      <c r="P473" s="80"/>
      <c r="Q473" s="80"/>
      <c r="R473" s="23"/>
      <c r="S473" s="23"/>
      <c r="T473" s="23"/>
      <c r="U473" s="23"/>
      <c r="V473" s="23"/>
      <c r="W473" s="23"/>
      <c r="X473" s="23"/>
      <c r="Y473" s="23"/>
      <c r="Z473" s="23"/>
      <c r="AA473" s="23"/>
      <c r="AB473" s="23"/>
      <c r="AC473" s="23"/>
      <c r="AD473" s="23"/>
      <c r="AE473" s="23"/>
      <c r="AF473" s="23"/>
      <c r="AG473" s="23"/>
      <c r="AH473" s="23"/>
      <c r="AI473" s="23"/>
      <c r="AJ473" s="23"/>
      <c r="AK473" s="23"/>
      <c r="AL473" s="23"/>
      <c r="AM473" s="23"/>
      <c r="AN473" s="23"/>
      <c r="AO473" s="23"/>
      <c r="AP473" s="23"/>
      <c r="AQ473" s="23"/>
      <c r="AR473" s="23"/>
      <c r="AS473" s="23"/>
      <c r="AT473" s="23"/>
      <c r="AU473" s="23"/>
      <c r="AV473" s="23"/>
      <c r="AW473" s="23"/>
      <c r="AX473" s="23"/>
      <c r="AY473" s="23"/>
      <c r="AZ473" s="23"/>
      <c r="BA473" s="23"/>
      <c r="BB473" s="23"/>
      <c r="BC473" s="23"/>
      <c r="BD473" s="23"/>
      <c r="BE473" s="23"/>
      <c r="BF473" s="23"/>
      <c r="BG473" s="23"/>
      <c r="BH473" s="23"/>
      <c r="BI473" s="23"/>
      <c r="BJ473" s="23"/>
      <c r="BK473" s="23"/>
      <c r="BL473" s="23"/>
      <c r="BM473" s="23"/>
      <c r="BN473" s="23"/>
      <c r="BO473" s="23"/>
      <c r="BP473" s="23"/>
    </row>
    <row r="474" spans="4:68" outlineLevel="1" x14ac:dyDescent="0.2">
      <c r="D474" s="66" t="str">
        <f>$D$238</f>
        <v>Total return of capital</v>
      </c>
      <c r="E474" s="80"/>
      <c r="F474" s="80"/>
      <c r="G474" s="477">
        <f>Assumptions!$H$175</f>
        <v>1</v>
      </c>
      <c r="H474" s="477">
        <f>Assumptions!$I$175</f>
        <v>-1</v>
      </c>
      <c r="I474" s="83"/>
      <c r="J474" s="85" t="str">
        <f>Assumptions!$K$175</f>
        <v>Regulatory revenue</v>
      </c>
      <c r="K474" s="401">
        <f>SUM(K318,K396)</f>
        <v>0</v>
      </c>
      <c r="L474" s="436">
        <f>SUM(L318,L396)</f>
        <v>0</v>
      </c>
      <c r="M474" s="457"/>
      <c r="N474" s="455"/>
      <c r="O474" s="455"/>
      <c r="P474" s="455"/>
      <c r="Q474" s="455"/>
      <c r="R474" s="401">
        <f t="shared" ref="R474:AW474" si="632">SUM(R318,R396)</f>
        <v>0</v>
      </c>
      <c r="S474" s="401">
        <f t="shared" si="632"/>
        <v>0</v>
      </c>
      <c r="T474" s="401">
        <f t="shared" si="632"/>
        <v>0</v>
      </c>
      <c r="U474" s="401">
        <f t="shared" si="632"/>
        <v>0</v>
      </c>
      <c r="V474" s="401">
        <f t="shared" si="632"/>
        <v>0</v>
      </c>
      <c r="W474" s="401">
        <f t="shared" si="632"/>
        <v>0</v>
      </c>
      <c r="X474" s="401">
        <f t="shared" si="632"/>
        <v>0</v>
      </c>
      <c r="Y474" s="401">
        <f t="shared" si="632"/>
        <v>0</v>
      </c>
      <c r="Z474" s="401">
        <f t="shared" si="632"/>
        <v>0</v>
      </c>
      <c r="AA474" s="401">
        <f t="shared" si="632"/>
        <v>0</v>
      </c>
      <c r="AB474" s="401">
        <f t="shared" si="632"/>
        <v>0</v>
      </c>
      <c r="AC474" s="401">
        <f t="shared" si="632"/>
        <v>0</v>
      </c>
      <c r="AD474" s="401">
        <f t="shared" si="632"/>
        <v>0</v>
      </c>
      <c r="AE474" s="401">
        <f t="shared" si="632"/>
        <v>0</v>
      </c>
      <c r="AF474" s="401">
        <f t="shared" si="632"/>
        <v>0</v>
      </c>
      <c r="AG474" s="401">
        <f t="shared" si="632"/>
        <v>0</v>
      </c>
      <c r="AH474" s="401">
        <f t="shared" si="632"/>
        <v>0</v>
      </c>
      <c r="AI474" s="401">
        <f t="shared" si="632"/>
        <v>0</v>
      </c>
      <c r="AJ474" s="401">
        <f t="shared" si="632"/>
        <v>0</v>
      </c>
      <c r="AK474" s="401">
        <f t="shared" si="632"/>
        <v>0</v>
      </c>
      <c r="AL474" s="401">
        <f t="shared" si="632"/>
        <v>0</v>
      </c>
      <c r="AM474" s="401">
        <f t="shared" si="632"/>
        <v>0</v>
      </c>
      <c r="AN474" s="401">
        <f t="shared" si="632"/>
        <v>0</v>
      </c>
      <c r="AO474" s="401">
        <f t="shared" si="632"/>
        <v>0</v>
      </c>
      <c r="AP474" s="401">
        <f t="shared" si="632"/>
        <v>0</v>
      </c>
      <c r="AQ474" s="401">
        <f t="shared" si="632"/>
        <v>0</v>
      </c>
      <c r="AR474" s="401">
        <f t="shared" si="632"/>
        <v>0</v>
      </c>
      <c r="AS474" s="401">
        <f t="shared" si="632"/>
        <v>0</v>
      </c>
      <c r="AT474" s="401">
        <f t="shared" si="632"/>
        <v>0</v>
      </c>
      <c r="AU474" s="401">
        <f t="shared" si="632"/>
        <v>0</v>
      </c>
      <c r="AV474" s="401">
        <f t="shared" si="632"/>
        <v>0</v>
      </c>
      <c r="AW474" s="401">
        <f t="shared" si="632"/>
        <v>0</v>
      </c>
      <c r="AX474" s="401">
        <f t="shared" ref="AX474:BP474" si="633">SUM(AX318,AX396)</f>
        <v>0</v>
      </c>
      <c r="AY474" s="401">
        <f t="shared" si="633"/>
        <v>0</v>
      </c>
      <c r="AZ474" s="401">
        <f t="shared" si="633"/>
        <v>0</v>
      </c>
      <c r="BA474" s="401">
        <f t="shared" si="633"/>
        <v>0</v>
      </c>
      <c r="BB474" s="401">
        <f t="shared" si="633"/>
        <v>0</v>
      </c>
      <c r="BC474" s="401">
        <f t="shared" si="633"/>
        <v>0</v>
      </c>
      <c r="BD474" s="401">
        <f t="shared" si="633"/>
        <v>0</v>
      </c>
      <c r="BE474" s="401">
        <f t="shared" si="633"/>
        <v>0</v>
      </c>
      <c r="BF474" s="401">
        <f t="shared" si="633"/>
        <v>0</v>
      </c>
      <c r="BG474" s="401">
        <f t="shared" si="633"/>
        <v>0</v>
      </c>
      <c r="BH474" s="401">
        <f t="shared" si="633"/>
        <v>0</v>
      </c>
      <c r="BI474" s="401">
        <f t="shared" si="633"/>
        <v>0</v>
      </c>
      <c r="BJ474" s="401">
        <f t="shared" si="633"/>
        <v>0</v>
      </c>
      <c r="BK474" s="401">
        <f t="shared" si="633"/>
        <v>0</v>
      </c>
      <c r="BL474" s="401">
        <f t="shared" si="633"/>
        <v>0</v>
      </c>
      <c r="BM474" s="401">
        <f t="shared" si="633"/>
        <v>0</v>
      </c>
      <c r="BN474" s="401">
        <f t="shared" si="633"/>
        <v>0</v>
      </c>
      <c r="BO474" s="401">
        <f t="shared" si="633"/>
        <v>0</v>
      </c>
      <c r="BP474" s="401">
        <f t="shared" si="633"/>
        <v>0</v>
      </c>
    </row>
    <row r="475" spans="4:68" outlineLevel="1" x14ac:dyDescent="0.2">
      <c r="D475" s="80"/>
      <c r="E475" s="80"/>
      <c r="F475" s="80"/>
      <c r="G475" s="52"/>
      <c r="H475" s="52"/>
      <c r="I475" s="52"/>
      <c r="J475" s="85"/>
      <c r="K475" s="80"/>
      <c r="L475" s="412"/>
      <c r="M475" s="113"/>
      <c r="N475"/>
      <c r="O475"/>
      <c r="P475"/>
      <c r="Q475"/>
      <c r="R475" s="23"/>
      <c r="S475" s="23"/>
      <c r="T475" s="23"/>
      <c r="U475" s="23"/>
      <c r="V475" s="23"/>
      <c r="W475" s="23"/>
      <c r="X475" s="23"/>
      <c r="Y475" s="23"/>
      <c r="Z475" s="23"/>
      <c r="AA475" s="23"/>
      <c r="AB475" s="23"/>
      <c r="AC475" s="23"/>
      <c r="AD475" s="23"/>
      <c r="AE475" s="23"/>
      <c r="AF475" s="23"/>
      <c r="AG475" s="23"/>
      <c r="AH475" s="23"/>
      <c r="AI475" s="23"/>
      <c r="AJ475" s="23"/>
      <c r="AK475" s="23"/>
      <c r="AL475" s="23"/>
      <c r="AM475" s="23"/>
      <c r="AN475" s="23"/>
      <c r="AO475" s="23"/>
      <c r="AP475" s="23"/>
      <c r="AQ475" s="23"/>
      <c r="AR475" s="23"/>
      <c r="AS475" s="23"/>
      <c r="AT475" s="23"/>
      <c r="AU475" s="23"/>
      <c r="AV475" s="23"/>
      <c r="AW475" s="23"/>
      <c r="AX475" s="23"/>
      <c r="AY475" s="23"/>
      <c r="AZ475" s="23"/>
      <c r="BA475" s="23"/>
      <c r="BB475" s="23"/>
      <c r="BC475" s="23"/>
      <c r="BD475" s="23"/>
      <c r="BE475" s="23"/>
      <c r="BF475" s="23"/>
      <c r="BG475" s="23"/>
      <c r="BH475" s="23"/>
      <c r="BI475" s="23"/>
      <c r="BJ475" s="23"/>
      <c r="BK475" s="23"/>
      <c r="BL475" s="23"/>
      <c r="BM475" s="23"/>
      <c r="BN475" s="23"/>
      <c r="BO475" s="23"/>
      <c r="BP475" s="23"/>
    </row>
    <row r="476" spans="4:68" outlineLevel="1" x14ac:dyDescent="0.2">
      <c r="D476" s="10" t="str">
        <f>$D$240</f>
        <v>Regulatory revenue - Terminal value of total capex</v>
      </c>
      <c r="E476"/>
      <c r="F476"/>
      <c r="G476" s="83"/>
      <c r="H476" s="83"/>
      <c r="I476" s="83"/>
      <c r="J476" s="85"/>
      <c r="K476" s="34"/>
      <c r="L476" s="126"/>
      <c r="M476" s="113"/>
      <c r="N476"/>
      <c r="O476"/>
      <c r="P476"/>
      <c r="Q476"/>
      <c r="R476" s="23"/>
      <c r="S476" s="23"/>
      <c r="T476" s="23"/>
      <c r="U476" s="23"/>
      <c r="V476" s="23"/>
      <c r="W476" s="23"/>
      <c r="X476" s="23"/>
      <c r="Y476" s="23"/>
      <c r="Z476" s="23"/>
      <c r="AA476" s="23"/>
      <c r="AB476" s="23"/>
      <c r="AC476" s="23"/>
      <c r="AD476" s="23"/>
      <c r="AE476" s="23"/>
      <c r="AF476" s="23"/>
      <c r="AG476" s="23"/>
      <c r="AH476" s="23"/>
      <c r="AI476" s="23"/>
      <c r="AJ476" s="23"/>
      <c r="AK476" s="23"/>
      <c r="AL476" s="23"/>
      <c r="AM476" s="23"/>
      <c r="AN476" s="23"/>
      <c r="AO476" s="23"/>
      <c r="AP476" s="23"/>
      <c r="AQ476" s="23"/>
      <c r="AR476" s="23"/>
      <c r="AS476" s="23"/>
      <c r="AT476" s="23"/>
      <c r="AU476" s="23"/>
      <c r="AV476" s="23"/>
      <c r="AW476" s="23"/>
      <c r="AX476" s="23"/>
      <c r="AY476" s="23"/>
      <c r="AZ476" s="23"/>
      <c r="BA476" s="23"/>
      <c r="BB476" s="23"/>
      <c r="BC476" s="23"/>
      <c r="BD476" s="23"/>
      <c r="BE476" s="23"/>
      <c r="BF476" s="23"/>
      <c r="BG476" s="23"/>
      <c r="BH476" s="23"/>
      <c r="BI476" s="23"/>
      <c r="BJ476" s="23"/>
      <c r="BK476" s="23"/>
      <c r="BL476" s="23"/>
      <c r="BM476" s="23"/>
      <c r="BN476" s="23"/>
      <c r="BO476" s="23"/>
      <c r="BP476" s="23"/>
    </row>
    <row r="477" spans="4:68" outlineLevel="1" x14ac:dyDescent="0.2">
      <c r="D477" s="81" t="str">
        <f>$D$241</f>
        <v>Total capex terminal value</v>
      </c>
      <c r="E477" s="473"/>
      <c r="F477" s="473"/>
      <c r="G477" s="477">
        <f>Assumptions!$H$178</f>
        <v>1</v>
      </c>
      <c r="H477" s="477">
        <f>Assumptions!$I$178</f>
        <v>-1</v>
      </c>
      <c r="I477" s="83"/>
      <c r="J477" s="85" t="str">
        <f>Assumptions!$K$178</f>
        <v>Regulatory revenue</v>
      </c>
      <c r="K477" s="401">
        <f>SUM(K321,K399)</f>
        <v>0</v>
      </c>
      <c r="L477" s="436">
        <f>SUM(L321,L399)</f>
        <v>0</v>
      </c>
      <c r="M477" s="457"/>
      <c r="N477" s="455"/>
      <c r="O477" s="455"/>
      <c r="P477" s="455"/>
      <c r="Q477" s="455"/>
      <c r="R477" s="401">
        <f t="shared" ref="R477:AW477" si="634">SUM(R321,R399)</f>
        <v>0</v>
      </c>
      <c r="S477" s="401">
        <f t="shared" si="634"/>
        <v>0</v>
      </c>
      <c r="T477" s="401">
        <f t="shared" si="634"/>
        <v>0</v>
      </c>
      <c r="U477" s="401">
        <f t="shared" si="634"/>
        <v>0</v>
      </c>
      <c r="V477" s="401">
        <f t="shared" si="634"/>
        <v>0</v>
      </c>
      <c r="W477" s="401">
        <f t="shared" si="634"/>
        <v>0</v>
      </c>
      <c r="X477" s="401">
        <f t="shared" si="634"/>
        <v>0</v>
      </c>
      <c r="Y477" s="401">
        <f t="shared" si="634"/>
        <v>0</v>
      </c>
      <c r="Z477" s="401">
        <f t="shared" si="634"/>
        <v>0</v>
      </c>
      <c r="AA477" s="401">
        <f t="shared" si="634"/>
        <v>0</v>
      </c>
      <c r="AB477" s="401">
        <f t="shared" si="634"/>
        <v>0</v>
      </c>
      <c r="AC477" s="401">
        <f t="shared" si="634"/>
        <v>0</v>
      </c>
      <c r="AD477" s="401">
        <f t="shared" si="634"/>
        <v>0</v>
      </c>
      <c r="AE477" s="401">
        <f t="shared" si="634"/>
        <v>0</v>
      </c>
      <c r="AF477" s="401">
        <f t="shared" si="634"/>
        <v>0</v>
      </c>
      <c r="AG477" s="401">
        <f t="shared" si="634"/>
        <v>0</v>
      </c>
      <c r="AH477" s="401">
        <f t="shared" si="634"/>
        <v>0</v>
      </c>
      <c r="AI477" s="401">
        <f t="shared" si="634"/>
        <v>0</v>
      </c>
      <c r="AJ477" s="401">
        <f t="shared" si="634"/>
        <v>0</v>
      </c>
      <c r="AK477" s="401">
        <f t="shared" si="634"/>
        <v>0</v>
      </c>
      <c r="AL477" s="401">
        <f t="shared" si="634"/>
        <v>0</v>
      </c>
      <c r="AM477" s="401">
        <f t="shared" si="634"/>
        <v>0</v>
      </c>
      <c r="AN477" s="401">
        <f t="shared" si="634"/>
        <v>0</v>
      </c>
      <c r="AO477" s="401">
        <f t="shared" si="634"/>
        <v>0</v>
      </c>
      <c r="AP477" s="401">
        <f t="shared" si="634"/>
        <v>0</v>
      </c>
      <c r="AQ477" s="401">
        <f t="shared" si="634"/>
        <v>0</v>
      </c>
      <c r="AR477" s="401">
        <f t="shared" si="634"/>
        <v>0</v>
      </c>
      <c r="AS477" s="401">
        <f t="shared" si="634"/>
        <v>0</v>
      </c>
      <c r="AT477" s="401">
        <f t="shared" si="634"/>
        <v>0</v>
      </c>
      <c r="AU477" s="401">
        <f t="shared" si="634"/>
        <v>0</v>
      </c>
      <c r="AV477" s="401">
        <f t="shared" si="634"/>
        <v>0</v>
      </c>
      <c r="AW477" s="401">
        <f t="shared" si="634"/>
        <v>0</v>
      </c>
      <c r="AX477" s="401">
        <f t="shared" ref="AX477:BP477" si="635">SUM(AX321,AX399)</f>
        <v>0</v>
      </c>
      <c r="AY477" s="401">
        <f t="shared" si="635"/>
        <v>0</v>
      </c>
      <c r="AZ477" s="401">
        <f t="shared" si="635"/>
        <v>0</v>
      </c>
      <c r="BA477" s="401">
        <f t="shared" si="635"/>
        <v>0</v>
      </c>
      <c r="BB477" s="401">
        <f t="shared" si="635"/>
        <v>0</v>
      </c>
      <c r="BC477" s="401">
        <f t="shared" si="635"/>
        <v>0</v>
      </c>
      <c r="BD477" s="401">
        <f t="shared" si="635"/>
        <v>0</v>
      </c>
      <c r="BE477" s="401">
        <f t="shared" si="635"/>
        <v>0</v>
      </c>
      <c r="BF477" s="401">
        <f t="shared" si="635"/>
        <v>0</v>
      </c>
      <c r="BG477" s="401">
        <f t="shared" si="635"/>
        <v>0</v>
      </c>
      <c r="BH477" s="401">
        <f t="shared" si="635"/>
        <v>0</v>
      </c>
      <c r="BI477" s="401">
        <f t="shared" si="635"/>
        <v>0</v>
      </c>
      <c r="BJ477" s="401">
        <f t="shared" si="635"/>
        <v>0</v>
      </c>
      <c r="BK477" s="401">
        <f t="shared" si="635"/>
        <v>0</v>
      </c>
      <c r="BL477" s="401">
        <f t="shared" si="635"/>
        <v>0</v>
      </c>
      <c r="BM477" s="401">
        <f t="shared" si="635"/>
        <v>0</v>
      </c>
      <c r="BN477" s="401">
        <f t="shared" si="635"/>
        <v>0</v>
      </c>
      <c r="BO477" s="401">
        <f t="shared" si="635"/>
        <v>0</v>
      </c>
      <c r="BP477" s="401">
        <f t="shared" si="635"/>
        <v>0</v>
      </c>
    </row>
    <row r="478" spans="4:68" outlineLevel="1" x14ac:dyDescent="0.2">
      <c r="D478" s="80"/>
      <c r="E478" s="80"/>
      <c r="F478" s="80"/>
      <c r="G478" s="52"/>
      <c r="H478" s="52"/>
      <c r="I478" s="52"/>
      <c r="J478" s="85"/>
      <c r="K478" s="80"/>
      <c r="L478" s="412"/>
      <c r="M478" s="113"/>
      <c r="N478"/>
      <c r="O478"/>
      <c r="P478"/>
      <c r="Q478"/>
      <c r="R478" s="23"/>
      <c r="S478" s="23"/>
      <c r="T478" s="23"/>
      <c r="U478" s="23"/>
      <c r="V478" s="23"/>
      <c r="W478" s="23"/>
      <c r="X478" s="23"/>
      <c r="Y478" s="23"/>
      <c r="Z478" s="23"/>
      <c r="AA478" s="23"/>
      <c r="AB478" s="23"/>
      <c r="AC478" s="23"/>
      <c r="AD478" s="23"/>
      <c r="AE478" s="23"/>
      <c r="AF478" s="23"/>
      <c r="AG478" s="23"/>
      <c r="AH478" s="23"/>
      <c r="AI478" s="23"/>
      <c r="AJ478" s="23"/>
      <c r="AK478" s="23"/>
      <c r="AL478" s="23"/>
      <c r="AM478" s="23"/>
      <c r="AN478" s="23"/>
      <c r="AO478" s="23"/>
      <c r="AP478" s="23"/>
      <c r="AQ478" s="23"/>
      <c r="AR478" s="23"/>
      <c r="AS478" s="23"/>
      <c r="AT478" s="23"/>
      <c r="AU478" s="23"/>
      <c r="AV478" s="23"/>
      <c r="AW478" s="23"/>
      <c r="AX478" s="23"/>
      <c r="AY478" s="23"/>
      <c r="AZ478" s="23"/>
      <c r="BA478" s="23"/>
      <c r="BB478" s="23"/>
      <c r="BC478" s="23"/>
      <c r="BD478" s="23"/>
      <c r="BE478" s="23"/>
      <c r="BF478" s="23"/>
      <c r="BG478" s="23"/>
      <c r="BH478" s="23"/>
      <c r="BI478" s="23"/>
      <c r="BJ478" s="23"/>
      <c r="BK478" s="23"/>
      <c r="BL478" s="23"/>
      <c r="BM478" s="23"/>
      <c r="BN478" s="23"/>
      <c r="BO478" s="23"/>
      <c r="BP478" s="23"/>
    </row>
    <row r="479" spans="4:68" outlineLevel="1" x14ac:dyDescent="0.2">
      <c r="D479" s="10" t="str">
        <f>$D$243</f>
        <v>Regulated revenue - ACS revenue</v>
      </c>
      <c r="E479" s="80"/>
      <c r="F479" s="80"/>
      <c r="G479" s="83"/>
      <c r="H479" s="83"/>
      <c r="I479" s="83"/>
      <c r="J479" s="85"/>
      <c r="K479" s="34"/>
      <c r="L479" s="126"/>
      <c r="M479" s="413"/>
      <c r="N479" s="80"/>
      <c r="O479" s="80"/>
      <c r="P479" s="80"/>
      <c r="Q479" s="80"/>
      <c r="R479" s="23"/>
      <c r="S479" s="23"/>
      <c r="T479" s="23"/>
      <c r="U479" s="23"/>
      <c r="V479" s="23"/>
      <c r="W479" s="23"/>
      <c r="X479" s="23"/>
      <c r="Y479" s="23"/>
      <c r="Z479" s="23"/>
      <c r="AA479" s="23"/>
      <c r="AB479" s="23"/>
      <c r="AC479" s="23"/>
      <c r="AD479" s="23"/>
      <c r="AE479" s="23"/>
      <c r="AF479" s="23"/>
      <c r="AG479" s="23"/>
      <c r="AH479" s="23"/>
      <c r="AI479" s="23"/>
      <c r="AJ479" s="23"/>
      <c r="AK479" s="23"/>
      <c r="AL479" s="23"/>
      <c r="AM479" s="23"/>
      <c r="AN479" s="23"/>
      <c r="AO479" s="23"/>
      <c r="AP479" s="23"/>
      <c r="AQ479" s="23"/>
      <c r="AR479" s="23"/>
      <c r="AS479" s="23"/>
      <c r="AT479" s="23"/>
      <c r="AU479" s="23"/>
      <c r="AV479" s="23"/>
      <c r="AW479" s="23"/>
      <c r="AX479" s="23"/>
      <c r="AY479" s="23"/>
      <c r="AZ479" s="23"/>
      <c r="BA479" s="23"/>
      <c r="BB479" s="23"/>
      <c r="BC479" s="23"/>
      <c r="BD479" s="23"/>
      <c r="BE479" s="23"/>
      <c r="BF479" s="23"/>
      <c r="BG479" s="23"/>
      <c r="BH479" s="23"/>
      <c r="BI479" s="23"/>
      <c r="BJ479" s="23"/>
      <c r="BK479" s="23"/>
      <c r="BL479" s="23"/>
      <c r="BM479" s="23"/>
      <c r="BN479" s="23"/>
      <c r="BO479" s="23"/>
      <c r="BP479" s="23"/>
    </row>
    <row r="480" spans="4:68" outlineLevel="1" x14ac:dyDescent="0.2">
      <c r="D480" s="81" t="str">
        <f>$D$244</f>
        <v>ACS revenue</v>
      </c>
      <c r="E480" s="80"/>
      <c r="F480" s="80"/>
      <c r="G480" s="477">
        <f>Assumptions!$H$181</f>
        <v>1</v>
      </c>
      <c r="H480" s="477">
        <f>Assumptions!$I$181</f>
        <v>0</v>
      </c>
      <c r="I480" s="83"/>
      <c r="J480" s="85" t="str">
        <f>Assumptions!$K$181</f>
        <v>Regulatory revenue</v>
      </c>
      <c r="K480" s="401">
        <f>SUM(K324,K402)</f>
        <v>0</v>
      </c>
      <c r="L480" s="436">
        <f>SUM(L324,L402)</f>
        <v>0</v>
      </c>
      <c r="M480" s="457"/>
      <c r="N480" s="455"/>
      <c r="O480" s="455"/>
      <c r="P480" s="455"/>
      <c r="Q480" s="455"/>
      <c r="R480" s="401">
        <f t="shared" ref="R480:AW480" si="636">SUM(R324,R402)</f>
        <v>0</v>
      </c>
      <c r="S480" s="401">
        <f t="shared" si="636"/>
        <v>0</v>
      </c>
      <c r="T480" s="401">
        <f t="shared" si="636"/>
        <v>0</v>
      </c>
      <c r="U480" s="401">
        <f t="shared" si="636"/>
        <v>0</v>
      </c>
      <c r="V480" s="401">
        <f t="shared" si="636"/>
        <v>0</v>
      </c>
      <c r="W480" s="401">
        <f t="shared" si="636"/>
        <v>0</v>
      </c>
      <c r="X480" s="401">
        <f t="shared" si="636"/>
        <v>0</v>
      </c>
      <c r="Y480" s="401">
        <f t="shared" si="636"/>
        <v>0</v>
      </c>
      <c r="Z480" s="401">
        <f t="shared" si="636"/>
        <v>0</v>
      </c>
      <c r="AA480" s="401">
        <f t="shared" si="636"/>
        <v>0</v>
      </c>
      <c r="AB480" s="401">
        <f t="shared" si="636"/>
        <v>0</v>
      </c>
      <c r="AC480" s="401">
        <f t="shared" si="636"/>
        <v>0</v>
      </c>
      <c r="AD480" s="401">
        <f t="shared" si="636"/>
        <v>0</v>
      </c>
      <c r="AE480" s="401">
        <f t="shared" si="636"/>
        <v>0</v>
      </c>
      <c r="AF480" s="401">
        <f t="shared" si="636"/>
        <v>0</v>
      </c>
      <c r="AG480" s="401">
        <f t="shared" si="636"/>
        <v>0</v>
      </c>
      <c r="AH480" s="401">
        <f t="shared" si="636"/>
        <v>0</v>
      </c>
      <c r="AI480" s="401">
        <f t="shared" si="636"/>
        <v>0</v>
      </c>
      <c r="AJ480" s="401">
        <f t="shared" si="636"/>
        <v>0</v>
      </c>
      <c r="AK480" s="401">
        <f t="shared" si="636"/>
        <v>0</v>
      </c>
      <c r="AL480" s="401">
        <f t="shared" si="636"/>
        <v>0</v>
      </c>
      <c r="AM480" s="401">
        <f t="shared" si="636"/>
        <v>0</v>
      </c>
      <c r="AN480" s="401">
        <f t="shared" si="636"/>
        <v>0</v>
      </c>
      <c r="AO480" s="401">
        <f t="shared" si="636"/>
        <v>0</v>
      </c>
      <c r="AP480" s="401">
        <f t="shared" si="636"/>
        <v>0</v>
      </c>
      <c r="AQ480" s="401">
        <f t="shared" si="636"/>
        <v>0</v>
      </c>
      <c r="AR480" s="401">
        <f t="shared" si="636"/>
        <v>0</v>
      </c>
      <c r="AS480" s="401">
        <f t="shared" si="636"/>
        <v>0</v>
      </c>
      <c r="AT480" s="401">
        <f t="shared" si="636"/>
        <v>0</v>
      </c>
      <c r="AU480" s="401">
        <f t="shared" si="636"/>
        <v>0</v>
      </c>
      <c r="AV480" s="401">
        <f t="shared" si="636"/>
        <v>0</v>
      </c>
      <c r="AW480" s="401">
        <f t="shared" si="636"/>
        <v>0</v>
      </c>
      <c r="AX480" s="401">
        <f t="shared" ref="AX480:BP480" si="637">SUM(AX324,AX402)</f>
        <v>0</v>
      </c>
      <c r="AY480" s="401">
        <f t="shared" si="637"/>
        <v>0</v>
      </c>
      <c r="AZ480" s="401">
        <f t="shared" si="637"/>
        <v>0</v>
      </c>
      <c r="BA480" s="401">
        <f t="shared" si="637"/>
        <v>0</v>
      </c>
      <c r="BB480" s="401">
        <f t="shared" si="637"/>
        <v>0</v>
      </c>
      <c r="BC480" s="401">
        <f t="shared" si="637"/>
        <v>0</v>
      </c>
      <c r="BD480" s="401">
        <f t="shared" si="637"/>
        <v>0</v>
      </c>
      <c r="BE480" s="401">
        <f t="shared" si="637"/>
        <v>0</v>
      </c>
      <c r="BF480" s="401">
        <f t="shared" si="637"/>
        <v>0</v>
      </c>
      <c r="BG480" s="401">
        <f t="shared" si="637"/>
        <v>0</v>
      </c>
      <c r="BH480" s="401">
        <f t="shared" si="637"/>
        <v>0</v>
      </c>
      <c r="BI480" s="401">
        <f t="shared" si="637"/>
        <v>0</v>
      </c>
      <c r="BJ480" s="401">
        <f t="shared" si="637"/>
        <v>0</v>
      </c>
      <c r="BK480" s="401">
        <f t="shared" si="637"/>
        <v>0</v>
      </c>
      <c r="BL480" s="401">
        <f t="shared" si="637"/>
        <v>0</v>
      </c>
      <c r="BM480" s="401">
        <f t="shared" si="637"/>
        <v>0</v>
      </c>
      <c r="BN480" s="401">
        <f t="shared" si="637"/>
        <v>0</v>
      </c>
      <c r="BO480" s="401">
        <f t="shared" si="637"/>
        <v>0</v>
      </c>
      <c r="BP480" s="401">
        <f t="shared" si="637"/>
        <v>0</v>
      </c>
    </row>
    <row r="481" spans="2:68" outlineLevel="1" x14ac:dyDescent="0.2">
      <c r="B481" s="80"/>
      <c r="C481" s="80"/>
      <c r="D481" s="80"/>
      <c r="E481" s="80"/>
      <c r="F481" s="80"/>
      <c r="G481" s="52"/>
      <c r="H481" s="52"/>
      <c r="I481" s="52"/>
      <c r="J481" s="85"/>
      <c r="K481" s="80"/>
      <c r="L481" s="412"/>
      <c r="M481" s="113"/>
      <c r="N481"/>
      <c r="O481"/>
      <c r="P481"/>
      <c r="Q481"/>
      <c r="R481" s="23"/>
      <c r="S481" s="23"/>
      <c r="T481" s="23"/>
      <c r="U481" s="23"/>
      <c r="V481" s="23"/>
      <c r="W481" s="23"/>
      <c r="X481" s="23"/>
      <c r="Y481" s="23"/>
      <c r="Z481" s="23"/>
      <c r="AA481" s="23"/>
      <c r="AB481" s="23"/>
      <c r="AC481" s="23"/>
      <c r="AD481" s="23"/>
      <c r="AE481" s="23"/>
      <c r="AF481" s="23"/>
      <c r="AG481" s="23"/>
      <c r="AH481" s="23"/>
      <c r="AI481" s="23"/>
      <c r="AJ481" s="23"/>
      <c r="AK481" s="23"/>
      <c r="AL481" s="23"/>
      <c r="AM481" s="23"/>
      <c r="AN481" s="23"/>
      <c r="AO481" s="23"/>
      <c r="AP481" s="23"/>
      <c r="AQ481" s="23"/>
      <c r="AR481" s="23"/>
      <c r="AS481" s="23"/>
      <c r="AT481" s="23"/>
      <c r="AU481" s="23"/>
      <c r="AV481" s="23"/>
      <c r="AW481" s="23"/>
      <c r="AX481" s="23"/>
      <c r="AY481" s="23"/>
      <c r="AZ481" s="23"/>
      <c r="BA481" s="23"/>
      <c r="BB481" s="23"/>
      <c r="BC481" s="23"/>
      <c r="BD481" s="23"/>
      <c r="BE481" s="23"/>
      <c r="BF481" s="23"/>
      <c r="BG481" s="23"/>
      <c r="BH481" s="23"/>
      <c r="BI481" s="23"/>
      <c r="BJ481" s="23"/>
      <c r="BK481" s="23"/>
      <c r="BL481" s="23"/>
      <c r="BM481" s="23"/>
      <c r="BN481" s="23"/>
      <c r="BO481" s="23"/>
      <c r="BP481" s="23"/>
    </row>
    <row r="482" spans="2:68" outlineLevel="1" x14ac:dyDescent="0.2">
      <c r="B482" s="80"/>
      <c r="C482" s="80"/>
      <c r="D482" s="10" t="str">
        <f>$D$246</f>
        <v>Unregulated revenue</v>
      </c>
      <c r="E482" s="80"/>
      <c r="F482" s="80"/>
      <c r="G482" s="83"/>
      <c r="H482" s="83"/>
      <c r="I482" s="83"/>
      <c r="J482" s="85"/>
      <c r="K482" s="34"/>
      <c r="L482" s="126"/>
      <c r="M482" s="437"/>
      <c r="N482" s="401"/>
      <c r="O482" s="401"/>
      <c r="P482" s="401"/>
      <c r="Q482" s="401"/>
      <c r="R482" s="23"/>
      <c r="S482" s="23"/>
      <c r="T482" s="23"/>
      <c r="U482" s="23"/>
      <c r="V482" s="23"/>
      <c r="W482" s="23"/>
      <c r="X482" s="23"/>
      <c r="Y482" s="23"/>
      <c r="Z482" s="23"/>
      <c r="AA482" s="23"/>
      <c r="AB482" s="23"/>
      <c r="AC482" s="23"/>
      <c r="AD482" s="23"/>
      <c r="AE482" s="23"/>
      <c r="AF482" s="23"/>
      <c r="AG482" s="23"/>
      <c r="AH482" s="23"/>
      <c r="AI482" s="23"/>
      <c r="AJ482" s="23"/>
      <c r="AK482" s="23"/>
      <c r="AL482" s="23"/>
      <c r="AM482" s="23"/>
      <c r="AN482" s="23"/>
      <c r="AO482" s="23"/>
      <c r="AP482" s="23"/>
      <c r="AQ482" s="23"/>
      <c r="AR482" s="23"/>
      <c r="AS482" s="23"/>
      <c r="AT482" s="23"/>
      <c r="AU482" s="23"/>
      <c r="AV482" s="23"/>
      <c r="AW482" s="23"/>
      <c r="AX482" s="23"/>
      <c r="AY482" s="23"/>
      <c r="AZ482" s="23"/>
      <c r="BA482" s="23"/>
      <c r="BB482" s="23"/>
      <c r="BC482" s="23"/>
      <c r="BD482" s="23"/>
      <c r="BE482" s="23"/>
      <c r="BF482" s="23"/>
      <c r="BG482" s="23"/>
      <c r="BH482" s="23"/>
      <c r="BI482" s="23"/>
      <c r="BJ482" s="23"/>
      <c r="BK482" s="23"/>
      <c r="BL482" s="23"/>
      <c r="BM482" s="23"/>
      <c r="BN482" s="23"/>
      <c r="BO482" s="23"/>
      <c r="BP482" s="23"/>
    </row>
    <row r="483" spans="2:68" outlineLevel="1" x14ac:dyDescent="0.2">
      <c r="B483" s="80"/>
      <c r="C483" s="80"/>
      <c r="D483" s="66" t="str">
        <f>$D$247</f>
        <v>Unregulated revenue - Customer</v>
      </c>
      <c r="E483" s="80"/>
      <c r="F483" s="80"/>
      <c r="G483" s="477">
        <f>Assumptions!$H$184</f>
        <v>0</v>
      </c>
      <c r="H483" s="477">
        <f>Assumptions!$I$184</f>
        <v>1</v>
      </c>
      <c r="I483" s="83"/>
      <c r="J483" s="85" t="str">
        <f>Assumptions!$K$184</f>
        <v>Unregulated revenue</v>
      </c>
      <c r="K483" s="401">
        <f>SUM(K327,K405)</f>
        <v>0</v>
      </c>
      <c r="L483" s="436">
        <f>SUM(L327,L405)</f>
        <v>0</v>
      </c>
      <c r="M483" s="457"/>
      <c r="N483" s="455"/>
      <c r="O483" s="455"/>
      <c r="P483" s="455"/>
      <c r="Q483" s="455"/>
      <c r="R483" s="401">
        <f t="shared" ref="R483:AW483" si="638">SUM(R327,R405)</f>
        <v>0</v>
      </c>
      <c r="S483" s="401">
        <f t="shared" si="638"/>
        <v>0</v>
      </c>
      <c r="T483" s="401">
        <f t="shared" si="638"/>
        <v>0</v>
      </c>
      <c r="U483" s="401">
        <f t="shared" si="638"/>
        <v>0</v>
      </c>
      <c r="V483" s="401">
        <f t="shared" si="638"/>
        <v>0</v>
      </c>
      <c r="W483" s="401">
        <f t="shared" si="638"/>
        <v>0</v>
      </c>
      <c r="X483" s="401">
        <f t="shared" si="638"/>
        <v>0</v>
      </c>
      <c r="Y483" s="401">
        <f t="shared" si="638"/>
        <v>0</v>
      </c>
      <c r="Z483" s="401">
        <f t="shared" si="638"/>
        <v>0</v>
      </c>
      <c r="AA483" s="401">
        <f t="shared" si="638"/>
        <v>0</v>
      </c>
      <c r="AB483" s="401">
        <f t="shared" si="638"/>
        <v>0</v>
      </c>
      <c r="AC483" s="401">
        <f t="shared" si="638"/>
        <v>0</v>
      </c>
      <c r="AD483" s="401">
        <f t="shared" si="638"/>
        <v>0</v>
      </c>
      <c r="AE483" s="401">
        <f t="shared" si="638"/>
        <v>0</v>
      </c>
      <c r="AF483" s="401">
        <f t="shared" si="638"/>
        <v>0</v>
      </c>
      <c r="AG483" s="401">
        <f t="shared" si="638"/>
        <v>0</v>
      </c>
      <c r="AH483" s="401">
        <f t="shared" si="638"/>
        <v>0</v>
      </c>
      <c r="AI483" s="401">
        <f t="shared" si="638"/>
        <v>0</v>
      </c>
      <c r="AJ483" s="401">
        <f t="shared" si="638"/>
        <v>0</v>
      </c>
      <c r="AK483" s="401">
        <f t="shared" si="638"/>
        <v>0</v>
      </c>
      <c r="AL483" s="401">
        <f t="shared" si="638"/>
        <v>0</v>
      </c>
      <c r="AM483" s="401">
        <f t="shared" si="638"/>
        <v>0</v>
      </c>
      <c r="AN483" s="401">
        <f t="shared" si="638"/>
        <v>0</v>
      </c>
      <c r="AO483" s="401">
        <f t="shared" si="638"/>
        <v>0</v>
      </c>
      <c r="AP483" s="401">
        <f t="shared" si="638"/>
        <v>0</v>
      </c>
      <c r="AQ483" s="401">
        <f t="shared" si="638"/>
        <v>0</v>
      </c>
      <c r="AR483" s="401">
        <f t="shared" si="638"/>
        <v>0</v>
      </c>
      <c r="AS483" s="401">
        <f t="shared" si="638"/>
        <v>0</v>
      </c>
      <c r="AT483" s="401">
        <f t="shared" si="638"/>
        <v>0</v>
      </c>
      <c r="AU483" s="401">
        <f t="shared" si="638"/>
        <v>0</v>
      </c>
      <c r="AV483" s="401">
        <f t="shared" si="638"/>
        <v>0</v>
      </c>
      <c r="AW483" s="401">
        <f t="shared" si="638"/>
        <v>0</v>
      </c>
      <c r="AX483" s="401">
        <f t="shared" ref="AX483:BP483" si="639">SUM(AX327,AX405)</f>
        <v>0</v>
      </c>
      <c r="AY483" s="401">
        <f t="shared" si="639"/>
        <v>0</v>
      </c>
      <c r="AZ483" s="401">
        <f t="shared" si="639"/>
        <v>0</v>
      </c>
      <c r="BA483" s="401">
        <f t="shared" si="639"/>
        <v>0</v>
      </c>
      <c r="BB483" s="401">
        <f t="shared" si="639"/>
        <v>0</v>
      </c>
      <c r="BC483" s="401">
        <f t="shared" si="639"/>
        <v>0</v>
      </c>
      <c r="BD483" s="401">
        <f t="shared" si="639"/>
        <v>0</v>
      </c>
      <c r="BE483" s="401">
        <f t="shared" si="639"/>
        <v>0</v>
      </c>
      <c r="BF483" s="401">
        <f t="shared" si="639"/>
        <v>0</v>
      </c>
      <c r="BG483" s="401">
        <f t="shared" si="639"/>
        <v>0</v>
      </c>
      <c r="BH483" s="401">
        <f t="shared" si="639"/>
        <v>0</v>
      </c>
      <c r="BI483" s="401">
        <f t="shared" si="639"/>
        <v>0</v>
      </c>
      <c r="BJ483" s="401">
        <f t="shared" si="639"/>
        <v>0</v>
      </c>
      <c r="BK483" s="401">
        <f t="shared" si="639"/>
        <v>0</v>
      </c>
      <c r="BL483" s="401">
        <f t="shared" si="639"/>
        <v>0</v>
      </c>
      <c r="BM483" s="401">
        <f t="shared" si="639"/>
        <v>0</v>
      </c>
      <c r="BN483" s="401">
        <f t="shared" si="639"/>
        <v>0</v>
      </c>
      <c r="BO483" s="401">
        <f t="shared" si="639"/>
        <v>0</v>
      </c>
      <c r="BP483" s="401">
        <f t="shared" si="639"/>
        <v>0</v>
      </c>
    </row>
    <row r="484" spans="2:68" outlineLevel="1" x14ac:dyDescent="0.2">
      <c r="B484" s="80"/>
      <c r="C484" s="80"/>
      <c r="D484" s="66" t="str">
        <f>$D$248</f>
        <v>Unregulated revenue - Shareholder</v>
      </c>
      <c r="E484" s="80"/>
      <c r="F484" s="80"/>
      <c r="G484" s="477">
        <f>Assumptions!$H$185</f>
        <v>1</v>
      </c>
      <c r="H484" s="477">
        <f>Assumptions!$I$185</f>
        <v>0</v>
      </c>
      <c r="I484" s="83"/>
      <c r="J484" s="85" t="str">
        <f>Assumptions!$K$185</f>
        <v>Unregulated revenue</v>
      </c>
      <c r="K484" s="401">
        <f>SUM(K328,K406)</f>
        <v>0</v>
      </c>
      <c r="L484" s="436">
        <f>SUM(L328,L406)</f>
        <v>0</v>
      </c>
      <c r="M484" s="457"/>
      <c r="N484" s="455"/>
      <c r="O484" s="455"/>
      <c r="P484" s="455"/>
      <c r="Q484" s="455"/>
      <c r="R484" s="401">
        <f t="shared" ref="R484:AW484" si="640">SUM(R328,R406)</f>
        <v>0</v>
      </c>
      <c r="S484" s="401">
        <f t="shared" si="640"/>
        <v>0</v>
      </c>
      <c r="T484" s="401">
        <f t="shared" si="640"/>
        <v>0</v>
      </c>
      <c r="U484" s="401">
        <f t="shared" si="640"/>
        <v>0</v>
      </c>
      <c r="V484" s="401">
        <f t="shared" si="640"/>
        <v>0</v>
      </c>
      <c r="W484" s="401">
        <f t="shared" si="640"/>
        <v>0</v>
      </c>
      <c r="X484" s="401">
        <f t="shared" si="640"/>
        <v>0</v>
      </c>
      <c r="Y484" s="401">
        <f t="shared" si="640"/>
        <v>0</v>
      </c>
      <c r="Z484" s="401">
        <f t="shared" si="640"/>
        <v>0</v>
      </c>
      <c r="AA484" s="401">
        <f t="shared" si="640"/>
        <v>0</v>
      </c>
      <c r="AB484" s="401">
        <f t="shared" si="640"/>
        <v>0</v>
      </c>
      <c r="AC484" s="401">
        <f t="shared" si="640"/>
        <v>0</v>
      </c>
      <c r="AD484" s="401">
        <f t="shared" si="640"/>
        <v>0</v>
      </c>
      <c r="AE484" s="401">
        <f t="shared" si="640"/>
        <v>0</v>
      </c>
      <c r="AF484" s="401">
        <f t="shared" si="640"/>
        <v>0</v>
      </c>
      <c r="AG484" s="401">
        <f t="shared" si="640"/>
        <v>0</v>
      </c>
      <c r="AH484" s="401">
        <f t="shared" si="640"/>
        <v>0</v>
      </c>
      <c r="AI484" s="401">
        <f t="shared" si="640"/>
        <v>0</v>
      </c>
      <c r="AJ484" s="401">
        <f t="shared" si="640"/>
        <v>0</v>
      </c>
      <c r="AK484" s="401">
        <f t="shared" si="640"/>
        <v>0</v>
      </c>
      <c r="AL484" s="401">
        <f t="shared" si="640"/>
        <v>0</v>
      </c>
      <c r="AM484" s="401">
        <f t="shared" si="640"/>
        <v>0</v>
      </c>
      <c r="AN484" s="401">
        <f t="shared" si="640"/>
        <v>0</v>
      </c>
      <c r="AO484" s="401">
        <f t="shared" si="640"/>
        <v>0</v>
      </c>
      <c r="AP484" s="401">
        <f t="shared" si="640"/>
        <v>0</v>
      </c>
      <c r="AQ484" s="401">
        <f t="shared" si="640"/>
        <v>0</v>
      </c>
      <c r="AR484" s="401">
        <f t="shared" si="640"/>
        <v>0</v>
      </c>
      <c r="AS484" s="401">
        <f t="shared" si="640"/>
        <v>0</v>
      </c>
      <c r="AT484" s="401">
        <f t="shared" si="640"/>
        <v>0</v>
      </c>
      <c r="AU484" s="401">
        <f t="shared" si="640"/>
        <v>0</v>
      </c>
      <c r="AV484" s="401">
        <f t="shared" si="640"/>
        <v>0</v>
      </c>
      <c r="AW484" s="401">
        <f t="shared" si="640"/>
        <v>0</v>
      </c>
      <c r="AX484" s="401">
        <f t="shared" ref="AX484:BP484" si="641">SUM(AX328,AX406)</f>
        <v>0</v>
      </c>
      <c r="AY484" s="401">
        <f t="shared" si="641"/>
        <v>0</v>
      </c>
      <c r="AZ484" s="401">
        <f t="shared" si="641"/>
        <v>0</v>
      </c>
      <c r="BA484" s="401">
        <f t="shared" si="641"/>
        <v>0</v>
      </c>
      <c r="BB484" s="401">
        <f t="shared" si="641"/>
        <v>0</v>
      </c>
      <c r="BC484" s="401">
        <f t="shared" si="641"/>
        <v>0</v>
      </c>
      <c r="BD484" s="401">
        <f t="shared" si="641"/>
        <v>0</v>
      </c>
      <c r="BE484" s="401">
        <f t="shared" si="641"/>
        <v>0</v>
      </c>
      <c r="BF484" s="401">
        <f t="shared" si="641"/>
        <v>0</v>
      </c>
      <c r="BG484" s="401">
        <f t="shared" si="641"/>
        <v>0</v>
      </c>
      <c r="BH484" s="401">
        <f t="shared" si="641"/>
        <v>0</v>
      </c>
      <c r="BI484" s="401">
        <f t="shared" si="641"/>
        <v>0</v>
      </c>
      <c r="BJ484" s="401">
        <f t="shared" si="641"/>
        <v>0</v>
      </c>
      <c r="BK484" s="401">
        <f t="shared" si="641"/>
        <v>0</v>
      </c>
      <c r="BL484" s="401">
        <f t="shared" si="641"/>
        <v>0</v>
      </c>
      <c r="BM484" s="401">
        <f t="shared" si="641"/>
        <v>0</v>
      </c>
      <c r="BN484" s="401">
        <f t="shared" si="641"/>
        <v>0</v>
      </c>
      <c r="BO484" s="401">
        <f t="shared" si="641"/>
        <v>0</v>
      </c>
      <c r="BP484" s="401">
        <f t="shared" si="641"/>
        <v>0</v>
      </c>
    </row>
    <row r="485" spans="2:68" outlineLevel="1" x14ac:dyDescent="0.2">
      <c r="B485" s="80"/>
      <c r="C485" s="80"/>
      <c r="D485" s="80"/>
      <c r="E485" s="80"/>
      <c r="F485" s="80"/>
      <c r="G485" s="52"/>
      <c r="H485" s="52"/>
      <c r="I485" s="52"/>
      <c r="J485" s="85"/>
      <c r="K485" s="80"/>
      <c r="L485" s="412"/>
      <c r="M485" s="113"/>
      <c r="N485"/>
      <c r="O485"/>
      <c r="P485"/>
      <c r="Q485"/>
      <c r="R485" s="23"/>
      <c r="S485" s="23"/>
      <c r="T485" s="23"/>
      <c r="U485" s="23"/>
      <c r="V485" s="23"/>
      <c r="W485" s="23"/>
      <c r="X485" s="23"/>
      <c r="Y485" s="23"/>
      <c r="Z485" s="23"/>
      <c r="AA485" s="23"/>
      <c r="AB485" s="23"/>
      <c r="AC485" s="23"/>
      <c r="AD485" s="23"/>
      <c r="AE485" s="23"/>
      <c r="AF485" s="23"/>
      <c r="AG485" s="23"/>
      <c r="AH485" s="23"/>
      <c r="AI485" s="23"/>
      <c r="AJ485" s="23"/>
      <c r="AK485" s="23"/>
      <c r="AL485" s="23"/>
      <c r="AM485" s="23"/>
      <c r="AN485" s="23"/>
      <c r="AO485" s="23"/>
      <c r="AP485" s="23"/>
      <c r="AQ485" s="23"/>
      <c r="AR485" s="23"/>
      <c r="AS485" s="23"/>
      <c r="AT485" s="23"/>
      <c r="AU485" s="23"/>
      <c r="AV485" s="23"/>
      <c r="AW485" s="23"/>
      <c r="AX485" s="23"/>
      <c r="AY485" s="23"/>
      <c r="AZ485" s="23"/>
      <c r="BA485" s="23"/>
      <c r="BB485" s="23"/>
      <c r="BC485" s="23"/>
      <c r="BD485" s="23"/>
      <c r="BE485" s="23"/>
      <c r="BF485" s="23"/>
      <c r="BG485" s="23"/>
      <c r="BH485" s="23"/>
      <c r="BI485" s="23"/>
      <c r="BJ485" s="23"/>
      <c r="BK485" s="23"/>
      <c r="BL485" s="23"/>
      <c r="BM485" s="23"/>
      <c r="BN485" s="23"/>
      <c r="BO485" s="23"/>
      <c r="BP485" s="23"/>
    </row>
    <row r="486" spans="2:68" outlineLevel="1" x14ac:dyDescent="0.2">
      <c r="B486" s="20"/>
      <c r="C486" s="80"/>
      <c r="D486" s="10" t="s">
        <v>32</v>
      </c>
      <c r="E486"/>
      <c r="F486"/>
      <c r="G486" s="52"/>
      <c r="H486" s="52"/>
      <c r="I486" s="52"/>
      <c r="J486" s="123"/>
      <c r="K486"/>
      <c r="L486" s="112"/>
      <c r="M486" s="113"/>
      <c r="N486"/>
      <c r="O486"/>
      <c r="P486"/>
      <c r="Q486"/>
      <c r="R486"/>
      <c r="S486"/>
      <c r="T486"/>
      <c r="U486"/>
      <c r="V486"/>
      <c r="W486"/>
      <c r="X486"/>
      <c r="Y486"/>
      <c r="Z486"/>
      <c r="AA486"/>
      <c r="AB486"/>
      <c r="AC486"/>
      <c r="AD486"/>
      <c r="AE486"/>
      <c r="AF486"/>
      <c r="AG486"/>
      <c r="AH486"/>
      <c r="AI486"/>
      <c r="AJ486"/>
      <c r="AK486"/>
      <c r="AL486"/>
      <c r="AM486"/>
      <c r="AN486"/>
      <c r="AO486"/>
      <c r="AP486"/>
      <c r="AQ486"/>
      <c r="AR486"/>
      <c r="AS486"/>
      <c r="AT486"/>
      <c r="AU486"/>
      <c r="AV486"/>
      <c r="AW486"/>
      <c r="AX486"/>
      <c r="AY486"/>
      <c r="AZ486"/>
      <c r="BA486"/>
      <c r="BB486"/>
      <c r="BC486"/>
      <c r="BD486"/>
      <c r="BE486"/>
      <c r="BF486"/>
      <c r="BG486"/>
      <c r="BH486"/>
      <c r="BI486"/>
      <c r="BJ486"/>
      <c r="BK486"/>
      <c r="BL486"/>
      <c r="BM486"/>
      <c r="BN486"/>
      <c r="BO486"/>
      <c r="BP486"/>
    </row>
    <row r="487" spans="2:68" outlineLevel="1" x14ac:dyDescent="0.2">
      <c r="B487" s="20"/>
      <c r="C487" s="80"/>
      <c r="D487" s="66" t="s">
        <v>385</v>
      </c>
      <c r="E487"/>
      <c r="F487"/>
      <c r="G487" s="477">
        <f>Assumptions!$H$188</f>
        <v>0.21</v>
      </c>
      <c r="H487" s="477">
        <f>Assumptions!$I$188</f>
        <v>0.79</v>
      </c>
      <c r="I487" s="52"/>
      <c r="J487" s="85" t="str">
        <f>Assumptions!$K$188</f>
        <v>Investment opex</v>
      </c>
      <c r="K487" s="401">
        <f>SUMPRODUCT($R$297:$BP$297,R487:BP487)</f>
        <v>5621125.7430490423</v>
      </c>
      <c r="L487" s="436">
        <f>SUM(M487:BP487)</f>
        <v>6829031.86905412</v>
      </c>
      <c r="M487" s="457"/>
      <c r="N487" s="455"/>
      <c r="O487" s="455"/>
      <c r="P487" s="455"/>
      <c r="Q487" s="455"/>
      <c r="R487" s="401">
        <f>SUM(R331,R409)</f>
        <v>0</v>
      </c>
      <c r="S487" s="401">
        <f t="shared" ref="S487:BP487" si="642">SUM(S331,S409)</f>
        <v>0</v>
      </c>
      <c r="T487" s="401">
        <f t="shared" si="642"/>
        <v>0</v>
      </c>
      <c r="U487" s="401">
        <f t="shared" si="642"/>
        <v>984614.10454988107</v>
      </c>
      <c r="V487" s="401">
        <f t="shared" si="642"/>
        <v>999022.85284218914</v>
      </c>
      <c r="W487" s="401">
        <f t="shared" si="642"/>
        <v>1005767.09087051</v>
      </c>
      <c r="X487" s="401">
        <f t="shared" si="642"/>
        <v>1006463.54237789</v>
      </c>
      <c r="Y487" s="401">
        <f t="shared" si="642"/>
        <v>1008165.42569475</v>
      </c>
      <c r="Z487" s="401">
        <f t="shared" si="642"/>
        <v>1824998.8527189</v>
      </c>
      <c r="AA487" s="401">
        <f t="shared" si="642"/>
        <v>0</v>
      </c>
      <c r="AB487" s="401">
        <f t="shared" si="642"/>
        <v>0</v>
      </c>
      <c r="AC487" s="401">
        <f t="shared" si="642"/>
        <v>0</v>
      </c>
      <c r="AD487" s="401">
        <f t="shared" si="642"/>
        <v>0</v>
      </c>
      <c r="AE487" s="401">
        <f t="shared" si="642"/>
        <v>0</v>
      </c>
      <c r="AF487" s="401">
        <f t="shared" si="642"/>
        <v>0</v>
      </c>
      <c r="AG487" s="401">
        <f t="shared" si="642"/>
        <v>0</v>
      </c>
      <c r="AH487" s="401">
        <f t="shared" si="642"/>
        <v>0</v>
      </c>
      <c r="AI487" s="401">
        <f t="shared" si="642"/>
        <v>0</v>
      </c>
      <c r="AJ487" s="401">
        <f t="shared" si="642"/>
        <v>0</v>
      </c>
      <c r="AK487" s="401">
        <f t="shared" si="642"/>
        <v>0</v>
      </c>
      <c r="AL487" s="401">
        <f t="shared" si="642"/>
        <v>0</v>
      </c>
      <c r="AM487" s="401">
        <f t="shared" si="642"/>
        <v>0</v>
      </c>
      <c r="AN487" s="401">
        <f t="shared" si="642"/>
        <v>0</v>
      </c>
      <c r="AO487" s="401">
        <f t="shared" si="642"/>
        <v>0</v>
      </c>
      <c r="AP487" s="401">
        <f t="shared" si="642"/>
        <v>0</v>
      </c>
      <c r="AQ487" s="401">
        <f t="shared" si="642"/>
        <v>0</v>
      </c>
      <c r="AR487" s="401">
        <f t="shared" si="642"/>
        <v>0</v>
      </c>
      <c r="AS487" s="401">
        <f t="shared" si="642"/>
        <v>0</v>
      </c>
      <c r="AT487" s="401">
        <f t="shared" si="642"/>
        <v>0</v>
      </c>
      <c r="AU487" s="401">
        <f t="shared" si="642"/>
        <v>0</v>
      </c>
      <c r="AV487" s="401">
        <f t="shared" si="642"/>
        <v>0</v>
      </c>
      <c r="AW487" s="401">
        <f t="shared" si="642"/>
        <v>0</v>
      </c>
      <c r="AX487" s="401">
        <f t="shared" si="642"/>
        <v>0</v>
      </c>
      <c r="AY487" s="401">
        <f t="shared" si="642"/>
        <v>0</v>
      </c>
      <c r="AZ487" s="401">
        <f t="shared" si="642"/>
        <v>0</v>
      </c>
      <c r="BA487" s="401">
        <f t="shared" si="642"/>
        <v>0</v>
      </c>
      <c r="BB487" s="401">
        <f t="shared" si="642"/>
        <v>0</v>
      </c>
      <c r="BC487" s="401">
        <f t="shared" si="642"/>
        <v>0</v>
      </c>
      <c r="BD487" s="401">
        <f t="shared" si="642"/>
        <v>0</v>
      </c>
      <c r="BE487" s="401">
        <f t="shared" si="642"/>
        <v>0</v>
      </c>
      <c r="BF487" s="401">
        <f t="shared" si="642"/>
        <v>0</v>
      </c>
      <c r="BG487" s="401">
        <f t="shared" si="642"/>
        <v>0</v>
      </c>
      <c r="BH487" s="401">
        <f t="shared" si="642"/>
        <v>0</v>
      </c>
      <c r="BI487" s="401">
        <f t="shared" si="642"/>
        <v>0</v>
      </c>
      <c r="BJ487" s="401">
        <f t="shared" si="642"/>
        <v>0</v>
      </c>
      <c r="BK487" s="401">
        <f t="shared" si="642"/>
        <v>0</v>
      </c>
      <c r="BL487" s="401">
        <f t="shared" si="642"/>
        <v>0</v>
      </c>
      <c r="BM487" s="401">
        <f t="shared" si="642"/>
        <v>0</v>
      </c>
      <c r="BN487" s="401">
        <f t="shared" si="642"/>
        <v>0</v>
      </c>
      <c r="BO487" s="401">
        <f t="shared" si="642"/>
        <v>0</v>
      </c>
      <c r="BP487" s="401">
        <f t="shared" si="642"/>
        <v>0</v>
      </c>
    </row>
    <row r="488" spans="2:68" outlineLevel="1" x14ac:dyDescent="0.2">
      <c r="B488" s="20"/>
      <c r="C488" s="80"/>
      <c r="D488"/>
      <c r="E488"/>
      <c r="F488"/>
      <c r="G488" s="52"/>
      <c r="H488" s="52"/>
      <c r="I488" s="52"/>
      <c r="J488" s="123"/>
      <c r="K488"/>
      <c r="L488" s="112"/>
      <c r="M488" s="113"/>
      <c r="N488"/>
      <c r="O488"/>
      <c r="P488"/>
      <c r="Q488"/>
      <c r="R488"/>
      <c r="S488"/>
      <c r="T488"/>
      <c r="U488"/>
      <c r="V488"/>
      <c r="W488"/>
      <c r="X488"/>
      <c r="Y488"/>
      <c r="Z488"/>
      <c r="AA488"/>
      <c r="AB488"/>
      <c r="AC488"/>
      <c r="AD488"/>
      <c r="AE488"/>
      <c r="AF488"/>
      <c r="AG488"/>
      <c r="AH488"/>
      <c r="AI488"/>
      <c r="AJ488"/>
      <c r="AK488"/>
      <c r="AL488"/>
      <c r="AM488"/>
      <c r="AN488"/>
      <c r="AO488"/>
      <c r="AP488"/>
      <c r="AQ488"/>
      <c r="AR488"/>
      <c r="AS488"/>
      <c r="AT488"/>
      <c r="AU488"/>
      <c r="AV488"/>
      <c r="AW488"/>
      <c r="AX488"/>
      <c r="AY488"/>
      <c r="AZ488"/>
      <c r="BA488"/>
      <c r="BB488"/>
      <c r="BC488"/>
      <c r="BD488"/>
      <c r="BE488"/>
      <c r="BF488"/>
      <c r="BG488"/>
      <c r="BH488"/>
      <c r="BI488"/>
      <c r="BJ488"/>
      <c r="BK488"/>
      <c r="BL488"/>
      <c r="BM488"/>
      <c r="BN488"/>
      <c r="BO488"/>
      <c r="BP488"/>
    </row>
    <row r="489" spans="2:68" outlineLevel="1" x14ac:dyDescent="0.2">
      <c r="B489" s="80"/>
      <c r="C489" s="80"/>
      <c r="D489" s="32" t="str">
        <f>$D$253</f>
        <v>Regulated revenue - Incentive schemes</v>
      </c>
      <c r="E489" s="80"/>
      <c r="F489" s="80"/>
      <c r="G489" s="83"/>
      <c r="H489" s="83"/>
      <c r="I489" s="83"/>
      <c r="J489" s="85"/>
      <c r="K489" s="34"/>
      <c r="L489" s="126"/>
      <c r="M489" s="437"/>
      <c r="N489" s="401"/>
      <c r="O489" s="401"/>
      <c r="P489" s="401"/>
      <c r="Q489" s="401"/>
      <c r="R489" s="23"/>
      <c r="S489" s="23"/>
      <c r="T489" s="23"/>
      <c r="U489" s="23"/>
      <c r="V489" s="23"/>
      <c r="W489" s="23"/>
      <c r="X489" s="23"/>
      <c r="Y489" s="23"/>
      <c r="Z489" s="23"/>
      <c r="AA489" s="23"/>
      <c r="AB489" s="23"/>
      <c r="AC489" s="23"/>
      <c r="AD489" s="23"/>
      <c r="AE489" s="23"/>
      <c r="AF489" s="23"/>
      <c r="AG489" s="23"/>
      <c r="AH489" s="23"/>
      <c r="AI489" s="23"/>
      <c r="AJ489" s="23"/>
      <c r="AK489" s="23"/>
      <c r="AL489" s="23"/>
      <c r="AM489" s="23"/>
      <c r="AN489" s="23"/>
      <c r="AO489" s="23"/>
      <c r="AP489" s="23"/>
      <c r="AQ489" s="23"/>
      <c r="AR489" s="23"/>
      <c r="AS489" s="23"/>
      <c r="AT489" s="23"/>
      <c r="AU489" s="23"/>
      <c r="AV489" s="23"/>
      <c r="AW489" s="23"/>
      <c r="AX489" s="23"/>
      <c r="AY489" s="23"/>
      <c r="AZ489" s="23"/>
      <c r="BA489" s="23"/>
      <c r="BB489" s="23"/>
      <c r="BC489" s="23"/>
      <c r="BD489" s="23"/>
      <c r="BE489" s="23"/>
      <c r="BF489" s="23"/>
      <c r="BG489" s="23"/>
      <c r="BH489" s="23"/>
      <c r="BI489" s="23"/>
      <c r="BJ489" s="23"/>
      <c r="BK489" s="23"/>
      <c r="BL489" s="23"/>
      <c r="BM489" s="23"/>
      <c r="BN489" s="23"/>
      <c r="BO489" s="23"/>
      <c r="BP489" s="23"/>
    </row>
    <row r="490" spans="2:68" outlineLevel="1" x14ac:dyDescent="0.2">
      <c r="B490" s="80"/>
      <c r="C490" s="80"/>
      <c r="D490" s="81" t="str">
        <f>$D$254</f>
        <v>STPIS</v>
      </c>
      <c r="E490" s="80"/>
      <c r="F490" s="80"/>
      <c r="G490" s="477">
        <f>Assumptions!$H$191</f>
        <v>1</v>
      </c>
      <c r="H490" s="477">
        <f>Assumptions!$I$191</f>
        <v>-1</v>
      </c>
      <c r="I490" s="83"/>
      <c r="J490" s="85" t="str">
        <f>Assumptions!$K$191</f>
        <v>STPIS</v>
      </c>
      <c r="K490" s="401">
        <f>SUM(K334,K412)</f>
        <v>0</v>
      </c>
      <c r="L490" s="436">
        <f>SUM(L334,L412)</f>
        <v>0</v>
      </c>
      <c r="M490" s="457"/>
      <c r="N490" s="455"/>
      <c r="O490" s="455"/>
      <c r="P490" s="455"/>
      <c r="Q490" s="455"/>
      <c r="R490" s="401">
        <f t="shared" ref="R490:AW490" si="643">SUM(R334,R412)</f>
        <v>0</v>
      </c>
      <c r="S490" s="401">
        <f t="shared" si="643"/>
        <v>0</v>
      </c>
      <c r="T490" s="401">
        <f t="shared" si="643"/>
        <v>0</v>
      </c>
      <c r="U490" s="401">
        <f t="shared" si="643"/>
        <v>0</v>
      </c>
      <c r="V490" s="401">
        <f t="shared" si="643"/>
        <v>0</v>
      </c>
      <c r="W490" s="401">
        <f t="shared" si="643"/>
        <v>0</v>
      </c>
      <c r="X490" s="401">
        <f t="shared" si="643"/>
        <v>0</v>
      </c>
      <c r="Y490" s="401">
        <f t="shared" si="643"/>
        <v>0</v>
      </c>
      <c r="Z490" s="401">
        <f t="shared" si="643"/>
        <v>0</v>
      </c>
      <c r="AA490" s="401">
        <f t="shared" si="643"/>
        <v>0</v>
      </c>
      <c r="AB490" s="401">
        <f t="shared" si="643"/>
        <v>0</v>
      </c>
      <c r="AC490" s="401">
        <f t="shared" si="643"/>
        <v>0</v>
      </c>
      <c r="AD490" s="401">
        <f t="shared" si="643"/>
        <v>0</v>
      </c>
      <c r="AE490" s="401">
        <f t="shared" si="643"/>
        <v>0</v>
      </c>
      <c r="AF490" s="401">
        <f t="shared" si="643"/>
        <v>0</v>
      </c>
      <c r="AG490" s="401">
        <f t="shared" si="643"/>
        <v>0</v>
      </c>
      <c r="AH490" s="401">
        <f t="shared" si="643"/>
        <v>0</v>
      </c>
      <c r="AI490" s="401">
        <f t="shared" si="643"/>
        <v>0</v>
      </c>
      <c r="AJ490" s="401">
        <f t="shared" si="643"/>
        <v>0</v>
      </c>
      <c r="AK490" s="401">
        <f t="shared" si="643"/>
        <v>0</v>
      </c>
      <c r="AL490" s="401">
        <f t="shared" si="643"/>
        <v>0</v>
      </c>
      <c r="AM490" s="401">
        <f t="shared" si="643"/>
        <v>0</v>
      </c>
      <c r="AN490" s="401">
        <f t="shared" si="643"/>
        <v>0</v>
      </c>
      <c r="AO490" s="401">
        <f t="shared" si="643"/>
        <v>0</v>
      </c>
      <c r="AP490" s="401">
        <f t="shared" si="643"/>
        <v>0</v>
      </c>
      <c r="AQ490" s="401">
        <f t="shared" si="643"/>
        <v>0</v>
      </c>
      <c r="AR490" s="401">
        <f t="shared" si="643"/>
        <v>0</v>
      </c>
      <c r="AS490" s="401">
        <f t="shared" si="643"/>
        <v>0</v>
      </c>
      <c r="AT490" s="401">
        <f t="shared" si="643"/>
        <v>0</v>
      </c>
      <c r="AU490" s="401">
        <f t="shared" si="643"/>
        <v>0</v>
      </c>
      <c r="AV490" s="401">
        <f t="shared" si="643"/>
        <v>0</v>
      </c>
      <c r="AW490" s="401">
        <f t="shared" si="643"/>
        <v>0</v>
      </c>
      <c r="AX490" s="401">
        <f t="shared" ref="AX490:BP490" si="644">SUM(AX334,AX412)</f>
        <v>0</v>
      </c>
      <c r="AY490" s="401">
        <f t="shared" si="644"/>
        <v>0</v>
      </c>
      <c r="AZ490" s="401">
        <f t="shared" si="644"/>
        <v>0</v>
      </c>
      <c r="BA490" s="401">
        <f t="shared" si="644"/>
        <v>0</v>
      </c>
      <c r="BB490" s="401">
        <f t="shared" si="644"/>
        <v>0</v>
      </c>
      <c r="BC490" s="401">
        <f t="shared" si="644"/>
        <v>0</v>
      </c>
      <c r="BD490" s="401">
        <f t="shared" si="644"/>
        <v>0</v>
      </c>
      <c r="BE490" s="401">
        <f t="shared" si="644"/>
        <v>0</v>
      </c>
      <c r="BF490" s="401">
        <f t="shared" si="644"/>
        <v>0</v>
      </c>
      <c r="BG490" s="401">
        <f t="shared" si="644"/>
        <v>0</v>
      </c>
      <c r="BH490" s="401">
        <f t="shared" si="644"/>
        <v>0</v>
      </c>
      <c r="BI490" s="401">
        <f t="shared" si="644"/>
        <v>0</v>
      </c>
      <c r="BJ490" s="401">
        <f t="shared" si="644"/>
        <v>0</v>
      </c>
      <c r="BK490" s="401">
        <f t="shared" si="644"/>
        <v>0</v>
      </c>
      <c r="BL490" s="401">
        <f t="shared" si="644"/>
        <v>0</v>
      </c>
      <c r="BM490" s="401">
        <f t="shared" si="644"/>
        <v>0</v>
      </c>
      <c r="BN490" s="401">
        <f t="shared" si="644"/>
        <v>0</v>
      </c>
      <c r="BO490" s="401">
        <f t="shared" si="644"/>
        <v>0</v>
      </c>
      <c r="BP490" s="401">
        <f t="shared" si="644"/>
        <v>0</v>
      </c>
    </row>
    <row r="491" spans="2:68" outlineLevel="1" x14ac:dyDescent="0.2">
      <c r="B491" s="80"/>
      <c r="C491" s="80"/>
      <c r="D491" s="81" t="str">
        <f>Assumptions!$D$192</f>
        <v>STPIS - ongoing customer benefit</v>
      </c>
      <c r="E491" s="80"/>
      <c r="F491" s="80"/>
      <c r="G491" s="477">
        <f>Assumptions!$H$192</f>
        <v>0</v>
      </c>
      <c r="H491" s="477">
        <f>Assumptions!$I$192</f>
        <v>1</v>
      </c>
      <c r="I491" s="83"/>
      <c r="J491" s="85" t="str">
        <f>Assumptions!$K$191</f>
        <v>STPIS</v>
      </c>
      <c r="K491" s="401">
        <f>K413</f>
        <v>0</v>
      </c>
      <c r="L491" s="436">
        <f>L413</f>
        <v>0</v>
      </c>
      <c r="M491" s="457"/>
      <c r="N491" s="455"/>
      <c r="O491" s="455"/>
      <c r="P491" s="455"/>
      <c r="Q491" s="455"/>
      <c r="R491" s="401">
        <f>R413</f>
        <v>0</v>
      </c>
      <c r="S491" s="401">
        <f t="shared" ref="S491:BP491" si="645">S413</f>
        <v>0</v>
      </c>
      <c r="T491" s="401">
        <f t="shared" si="645"/>
        <v>0</v>
      </c>
      <c r="U491" s="401">
        <f t="shared" si="645"/>
        <v>0</v>
      </c>
      <c r="V491" s="401">
        <f t="shared" si="645"/>
        <v>0</v>
      </c>
      <c r="W491" s="401">
        <f t="shared" si="645"/>
        <v>0</v>
      </c>
      <c r="X491" s="401">
        <f t="shared" si="645"/>
        <v>0</v>
      </c>
      <c r="Y491" s="401">
        <f t="shared" si="645"/>
        <v>0</v>
      </c>
      <c r="Z491" s="401">
        <f t="shared" si="645"/>
        <v>0</v>
      </c>
      <c r="AA491" s="401">
        <f t="shared" si="645"/>
        <v>0</v>
      </c>
      <c r="AB491" s="401">
        <f t="shared" si="645"/>
        <v>0</v>
      </c>
      <c r="AC491" s="401">
        <f t="shared" si="645"/>
        <v>0</v>
      </c>
      <c r="AD491" s="401">
        <f t="shared" si="645"/>
        <v>0</v>
      </c>
      <c r="AE491" s="401">
        <f t="shared" si="645"/>
        <v>0</v>
      </c>
      <c r="AF491" s="401">
        <f t="shared" si="645"/>
        <v>0</v>
      </c>
      <c r="AG491" s="401">
        <f t="shared" si="645"/>
        <v>0</v>
      </c>
      <c r="AH491" s="401">
        <f t="shared" si="645"/>
        <v>0</v>
      </c>
      <c r="AI491" s="401">
        <f t="shared" si="645"/>
        <v>0</v>
      </c>
      <c r="AJ491" s="401">
        <f t="shared" si="645"/>
        <v>0</v>
      </c>
      <c r="AK491" s="401">
        <f t="shared" si="645"/>
        <v>0</v>
      </c>
      <c r="AL491" s="401">
        <f t="shared" si="645"/>
        <v>0</v>
      </c>
      <c r="AM491" s="401">
        <f t="shared" si="645"/>
        <v>0</v>
      </c>
      <c r="AN491" s="401">
        <f t="shared" si="645"/>
        <v>0</v>
      </c>
      <c r="AO491" s="401">
        <f t="shared" si="645"/>
        <v>0</v>
      </c>
      <c r="AP491" s="401">
        <f t="shared" si="645"/>
        <v>0</v>
      </c>
      <c r="AQ491" s="401">
        <f t="shared" si="645"/>
        <v>0</v>
      </c>
      <c r="AR491" s="401">
        <f t="shared" si="645"/>
        <v>0</v>
      </c>
      <c r="AS491" s="401">
        <f t="shared" si="645"/>
        <v>0</v>
      </c>
      <c r="AT491" s="401">
        <f t="shared" si="645"/>
        <v>0</v>
      </c>
      <c r="AU491" s="401">
        <f t="shared" si="645"/>
        <v>0</v>
      </c>
      <c r="AV491" s="401">
        <f t="shared" si="645"/>
        <v>0</v>
      </c>
      <c r="AW491" s="401">
        <f t="shared" si="645"/>
        <v>0</v>
      </c>
      <c r="AX491" s="401">
        <f t="shared" si="645"/>
        <v>0</v>
      </c>
      <c r="AY491" s="401">
        <f t="shared" si="645"/>
        <v>0</v>
      </c>
      <c r="AZ491" s="401">
        <f t="shared" si="645"/>
        <v>0</v>
      </c>
      <c r="BA491" s="401">
        <f t="shared" si="645"/>
        <v>0</v>
      </c>
      <c r="BB491" s="401">
        <f t="shared" si="645"/>
        <v>0</v>
      </c>
      <c r="BC491" s="401">
        <f t="shared" si="645"/>
        <v>0</v>
      </c>
      <c r="BD491" s="401">
        <f t="shared" si="645"/>
        <v>0</v>
      </c>
      <c r="BE491" s="401">
        <f t="shared" si="645"/>
        <v>0</v>
      </c>
      <c r="BF491" s="401">
        <f t="shared" si="645"/>
        <v>0</v>
      </c>
      <c r="BG491" s="401">
        <f t="shared" si="645"/>
        <v>0</v>
      </c>
      <c r="BH491" s="401">
        <f t="shared" si="645"/>
        <v>0</v>
      </c>
      <c r="BI491" s="401">
        <f t="shared" si="645"/>
        <v>0</v>
      </c>
      <c r="BJ491" s="401">
        <f t="shared" si="645"/>
        <v>0</v>
      </c>
      <c r="BK491" s="401">
        <f t="shared" si="645"/>
        <v>0</v>
      </c>
      <c r="BL491" s="401">
        <f t="shared" si="645"/>
        <v>0</v>
      </c>
      <c r="BM491" s="401">
        <f t="shared" si="645"/>
        <v>0</v>
      </c>
      <c r="BN491" s="401">
        <f t="shared" si="645"/>
        <v>0</v>
      </c>
      <c r="BO491" s="401">
        <f t="shared" si="645"/>
        <v>0</v>
      </c>
      <c r="BP491" s="401">
        <f t="shared" si="645"/>
        <v>0</v>
      </c>
    </row>
    <row r="492" spans="2:68" outlineLevel="1" x14ac:dyDescent="0.2">
      <c r="B492" s="80"/>
      <c r="C492" s="80"/>
      <c r="D492" s="81" t="str">
        <f>$D$256</f>
        <v>EBSS</v>
      </c>
      <c r="E492" s="80"/>
      <c r="F492" s="80"/>
      <c r="G492" s="477">
        <f>Assumptions!$H$193</f>
        <v>1</v>
      </c>
      <c r="H492" s="477">
        <f>Assumptions!$I$193</f>
        <v>1</v>
      </c>
      <c r="I492" s="83"/>
      <c r="J492" s="85" t="str">
        <f>Assumptions!$K$193</f>
        <v>EBSS</v>
      </c>
      <c r="K492" s="401">
        <f>SUM(K335,K414)</f>
        <v>0</v>
      </c>
      <c r="L492" s="436">
        <f>SUM(L335,L414)</f>
        <v>0</v>
      </c>
      <c r="M492" s="457"/>
      <c r="N492" s="455"/>
      <c r="O492" s="455"/>
      <c r="P492" s="455"/>
      <c r="Q492" s="455"/>
      <c r="R492" s="401">
        <f t="shared" ref="R492:AW492" si="646">SUM(R335,R414)</f>
        <v>0</v>
      </c>
      <c r="S492" s="401">
        <f t="shared" si="646"/>
        <v>0</v>
      </c>
      <c r="T492" s="401">
        <f t="shared" si="646"/>
        <v>0</v>
      </c>
      <c r="U492" s="401">
        <f t="shared" si="646"/>
        <v>0</v>
      </c>
      <c r="V492" s="401">
        <f t="shared" si="646"/>
        <v>0</v>
      </c>
      <c r="W492" s="401">
        <f t="shared" si="646"/>
        <v>0</v>
      </c>
      <c r="X492" s="401">
        <f t="shared" si="646"/>
        <v>0</v>
      </c>
      <c r="Y492" s="401">
        <f t="shared" si="646"/>
        <v>0</v>
      </c>
      <c r="Z492" s="401">
        <f t="shared" si="646"/>
        <v>0</v>
      </c>
      <c r="AA492" s="401">
        <f t="shared" si="646"/>
        <v>0</v>
      </c>
      <c r="AB492" s="401">
        <f t="shared" si="646"/>
        <v>0</v>
      </c>
      <c r="AC492" s="401">
        <f t="shared" si="646"/>
        <v>0</v>
      </c>
      <c r="AD492" s="401">
        <f t="shared" si="646"/>
        <v>0</v>
      </c>
      <c r="AE492" s="401">
        <f t="shared" si="646"/>
        <v>0</v>
      </c>
      <c r="AF492" s="401">
        <f t="shared" si="646"/>
        <v>0</v>
      </c>
      <c r="AG492" s="401">
        <f t="shared" si="646"/>
        <v>0</v>
      </c>
      <c r="AH492" s="401">
        <f t="shared" si="646"/>
        <v>0</v>
      </c>
      <c r="AI492" s="401">
        <f t="shared" si="646"/>
        <v>0</v>
      </c>
      <c r="AJ492" s="401">
        <f t="shared" si="646"/>
        <v>0</v>
      </c>
      <c r="AK492" s="401">
        <f t="shared" si="646"/>
        <v>0</v>
      </c>
      <c r="AL492" s="401">
        <f t="shared" si="646"/>
        <v>0</v>
      </c>
      <c r="AM492" s="401">
        <f t="shared" si="646"/>
        <v>0</v>
      </c>
      <c r="AN492" s="401">
        <f t="shared" si="646"/>
        <v>0</v>
      </c>
      <c r="AO492" s="401">
        <f t="shared" si="646"/>
        <v>0</v>
      </c>
      <c r="AP492" s="401">
        <f t="shared" si="646"/>
        <v>0</v>
      </c>
      <c r="AQ492" s="401">
        <f t="shared" si="646"/>
        <v>0</v>
      </c>
      <c r="AR492" s="401">
        <f t="shared" si="646"/>
        <v>0</v>
      </c>
      <c r="AS492" s="401">
        <f t="shared" si="646"/>
        <v>0</v>
      </c>
      <c r="AT492" s="401">
        <f t="shared" si="646"/>
        <v>0</v>
      </c>
      <c r="AU492" s="401">
        <f t="shared" si="646"/>
        <v>0</v>
      </c>
      <c r="AV492" s="401">
        <f t="shared" si="646"/>
        <v>0</v>
      </c>
      <c r="AW492" s="401">
        <f t="shared" si="646"/>
        <v>0</v>
      </c>
      <c r="AX492" s="401">
        <f t="shared" ref="AX492:BP492" si="647">SUM(AX335,AX414)</f>
        <v>0</v>
      </c>
      <c r="AY492" s="401">
        <f t="shared" si="647"/>
        <v>0</v>
      </c>
      <c r="AZ492" s="401">
        <f t="shared" si="647"/>
        <v>0</v>
      </c>
      <c r="BA492" s="401">
        <f t="shared" si="647"/>
        <v>0</v>
      </c>
      <c r="BB492" s="401">
        <f t="shared" si="647"/>
        <v>0</v>
      </c>
      <c r="BC492" s="401">
        <f t="shared" si="647"/>
        <v>0</v>
      </c>
      <c r="BD492" s="401">
        <f t="shared" si="647"/>
        <v>0</v>
      </c>
      <c r="BE492" s="401">
        <f t="shared" si="647"/>
        <v>0</v>
      </c>
      <c r="BF492" s="401">
        <f t="shared" si="647"/>
        <v>0</v>
      </c>
      <c r="BG492" s="401">
        <f t="shared" si="647"/>
        <v>0</v>
      </c>
      <c r="BH492" s="401">
        <f t="shared" si="647"/>
        <v>0</v>
      </c>
      <c r="BI492" s="401">
        <f t="shared" si="647"/>
        <v>0</v>
      </c>
      <c r="BJ492" s="401">
        <f t="shared" si="647"/>
        <v>0</v>
      </c>
      <c r="BK492" s="401">
        <f t="shared" si="647"/>
        <v>0</v>
      </c>
      <c r="BL492" s="401">
        <f t="shared" si="647"/>
        <v>0</v>
      </c>
      <c r="BM492" s="401">
        <f t="shared" si="647"/>
        <v>0</v>
      </c>
      <c r="BN492" s="401">
        <f t="shared" si="647"/>
        <v>0</v>
      </c>
      <c r="BO492" s="401">
        <f t="shared" si="647"/>
        <v>0</v>
      </c>
      <c r="BP492" s="401">
        <f t="shared" si="647"/>
        <v>0</v>
      </c>
    </row>
    <row r="493" spans="2:68" outlineLevel="1" x14ac:dyDescent="0.2">
      <c r="B493" s="80"/>
      <c r="C493" s="80"/>
      <c r="D493" s="81" t="str">
        <f>$D$259</f>
        <v>CESS</v>
      </c>
      <c r="E493" s="80"/>
      <c r="F493" s="80"/>
      <c r="G493" s="450"/>
      <c r="H493" s="83"/>
      <c r="I493" s="83"/>
      <c r="J493" s="85"/>
      <c r="K493" s="80"/>
      <c r="L493" s="80"/>
      <c r="M493" s="457"/>
      <c r="N493" s="455"/>
      <c r="O493" s="455"/>
      <c r="P493" s="455"/>
      <c r="Q493" s="455"/>
      <c r="R493" s="401">
        <f t="shared" ref="R493:AW493" si="648">SUM(R336,R415)</f>
        <v>0</v>
      </c>
      <c r="S493" s="401">
        <f t="shared" si="648"/>
        <v>0</v>
      </c>
      <c r="T493" s="401">
        <f t="shared" si="648"/>
        <v>0</v>
      </c>
      <c r="U493" s="401">
        <f t="shared" si="648"/>
        <v>0</v>
      </c>
      <c r="V493" s="401">
        <f t="shared" si="648"/>
        <v>0</v>
      </c>
      <c r="W493" s="401">
        <f t="shared" si="648"/>
        <v>0</v>
      </c>
      <c r="X493" s="401">
        <f t="shared" si="648"/>
        <v>0</v>
      </c>
      <c r="Y493" s="401">
        <f t="shared" si="648"/>
        <v>0</v>
      </c>
      <c r="Z493" s="401">
        <f t="shared" si="648"/>
        <v>0</v>
      </c>
      <c r="AA493" s="401">
        <f t="shared" si="648"/>
        <v>0</v>
      </c>
      <c r="AB493" s="401">
        <f t="shared" si="648"/>
        <v>0</v>
      </c>
      <c r="AC493" s="401">
        <f t="shared" si="648"/>
        <v>0</v>
      </c>
      <c r="AD493" s="401">
        <f t="shared" si="648"/>
        <v>0</v>
      </c>
      <c r="AE493" s="401">
        <f t="shared" si="648"/>
        <v>0</v>
      </c>
      <c r="AF493" s="401">
        <f t="shared" si="648"/>
        <v>0</v>
      </c>
      <c r="AG493" s="401">
        <f t="shared" si="648"/>
        <v>0</v>
      </c>
      <c r="AH493" s="401">
        <f t="shared" si="648"/>
        <v>0</v>
      </c>
      <c r="AI493" s="401">
        <f t="shared" si="648"/>
        <v>0</v>
      </c>
      <c r="AJ493" s="401">
        <f t="shared" si="648"/>
        <v>0</v>
      </c>
      <c r="AK493" s="401">
        <f t="shared" si="648"/>
        <v>0</v>
      </c>
      <c r="AL493" s="401">
        <f t="shared" si="648"/>
        <v>0</v>
      </c>
      <c r="AM493" s="401">
        <f t="shared" si="648"/>
        <v>0</v>
      </c>
      <c r="AN493" s="401">
        <f t="shared" si="648"/>
        <v>0</v>
      </c>
      <c r="AO493" s="401">
        <f t="shared" si="648"/>
        <v>0</v>
      </c>
      <c r="AP493" s="401">
        <f t="shared" si="648"/>
        <v>0</v>
      </c>
      <c r="AQ493" s="401">
        <f t="shared" si="648"/>
        <v>0</v>
      </c>
      <c r="AR493" s="401">
        <f t="shared" si="648"/>
        <v>0</v>
      </c>
      <c r="AS493" s="401">
        <f t="shared" si="648"/>
        <v>0</v>
      </c>
      <c r="AT493" s="401">
        <f t="shared" si="648"/>
        <v>0</v>
      </c>
      <c r="AU493" s="401">
        <f t="shared" si="648"/>
        <v>0</v>
      </c>
      <c r="AV493" s="401">
        <f t="shared" si="648"/>
        <v>0</v>
      </c>
      <c r="AW493" s="401">
        <f t="shared" si="648"/>
        <v>0</v>
      </c>
      <c r="AX493" s="401">
        <f t="shared" ref="AX493:BP493" si="649">SUM(AX336,AX415)</f>
        <v>0</v>
      </c>
      <c r="AY493" s="401">
        <f t="shared" si="649"/>
        <v>0</v>
      </c>
      <c r="AZ493" s="401">
        <f t="shared" si="649"/>
        <v>0</v>
      </c>
      <c r="BA493" s="401">
        <f t="shared" si="649"/>
        <v>0</v>
      </c>
      <c r="BB493" s="401">
        <f t="shared" si="649"/>
        <v>0</v>
      </c>
      <c r="BC493" s="401">
        <f t="shared" si="649"/>
        <v>0</v>
      </c>
      <c r="BD493" s="401">
        <f t="shared" si="649"/>
        <v>0</v>
      </c>
      <c r="BE493" s="401">
        <f t="shared" si="649"/>
        <v>0</v>
      </c>
      <c r="BF493" s="401">
        <f t="shared" si="649"/>
        <v>0</v>
      </c>
      <c r="BG493" s="401">
        <f t="shared" si="649"/>
        <v>0</v>
      </c>
      <c r="BH493" s="401">
        <f t="shared" si="649"/>
        <v>0</v>
      </c>
      <c r="BI493" s="401">
        <f t="shared" si="649"/>
        <v>0</v>
      </c>
      <c r="BJ493" s="401">
        <f t="shared" si="649"/>
        <v>0</v>
      </c>
      <c r="BK493" s="401">
        <f t="shared" si="649"/>
        <v>0</v>
      </c>
      <c r="BL493" s="401">
        <f t="shared" si="649"/>
        <v>0</v>
      </c>
      <c r="BM493" s="401">
        <f t="shared" si="649"/>
        <v>0</v>
      </c>
      <c r="BN493" s="401">
        <f t="shared" si="649"/>
        <v>0</v>
      </c>
      <c r="BO493" s="401">
        <f t="shared" si="649"/>
        <v>0</v>
      </c>
      <c r="BP493" s="401">
        <f t="shared" si="649"/>
        <v>0</v>
      </c>
    </row>
    <row r="494" spans="2:68" outlineLevel="1" x14ac:dyDescent="0.2">
      <c r="B494" s="80"/>
      <c r="C494" s="80"/>
      <c r="D494" s="92" t="s">
        <v>64</v>
      </c>
      <c r="E494" s="80"/>
      <c r="F494" s="80"/>
      <c r="G494" s="477">
        <f>Assumptions!$H$194</f>
        <v>1</v>
      </c>
      <c r="H494" s="477">
        <f>Assumptions!$I$194</f>
        <v>1</v>
      </c>
      <c r="I494" s="488"/>
      <c r="J494" s="489" t="str">
        <f>Assumptions!$K$194</f>
        <v>CESS</v>
      </c>
      <c r="K494" s="401">
        <f t="shared" ref="K494:L496" si="650">SUM(K337,K416)</f>
        <v>0</v>
      </c>
      <c r="L494" s="436">
        <f t="shared" si="650"/>
        <v>0</v>
      </c>
      <c r="M494" s="457"/>
      <c r="N494" s="455"/>
      <c r="O494" s="455"/>
      <c r="P494" s="455"/>
      <c r="Q494" s="455"/>
      <c r="R494" s="401">
        <f t="shared" ref="R494:AW494" si="651">SUM(R337,R416)</f>
        <v>0</v>
      </c>
      <c r="S494" s="401">
        <f t="shared" si="651"/>
        <v>0</v>
      </c>
      <c r="T494" s="401">
        <f t="shared" si="651"/>
        <v>0</v>
      </c>
      <c r="U494" s="401">
        <f t="shared" si="651"/>
        <v>0</v>
      </c>
      <c r="V494" s="401">
        <f t="shared" si="651"/>
        <v>0</v>
      </c>
      <c r="W494" s="401">
        <f t="shared" si="651"/>
        <v>0</v>
      </c>
      <c r="X494" s="401">
        <f t="shared" si="651"/>
        <v>0</v>
      </c>
      <c r="Y494" s="401">
        <f t="shared" si="651"/>
        <v>0</v>
      </c>
      <c r="Z494" s="401">
        <f t="shared" si="651"/>
        <v>0</v>
      </c>
      <c r="AA494" s="401">
        <f t="shared" si="651"/>
        <v>0</v>
      </c>
      <c r="AB494" s="401">
        <f t="shared" si="651"/>
        <v>0</v>
      </c>
      <c r="AC494" s="401">
        <f t="shared" si="651"/>
        <v>0</v>
      </c>
      <c r="AD494" s="401">
        <f t="shared" si="651"/>
        <v>0</v>
      </c>
      <c r="AE494" s="401">
        <f t="shared" si="651"/>
        <v>0</v>
      </c>
      <c r="AF494" s="401">
        <f t="shared" si="651"/>
        <v>0</v>
      </c>
      <c r="AG494" s="401">
        <f t="shared" si="651"/>
        <v>0</v>
      </c>
      <c r="AH494" s="401">
        <f t="shared" si="651"/>
        <v>0</v>
      </c>
      <c r="AI494" s="401">
        <f t="shared" si="651"/>
        <v>0</v>
      </c>
      <c r="AJ494" s="401">
        <f t="shared" si="651"/>
        <v>0</v>
      </c>
      <c r="AK494" s="401">
        <f t="shared" si="651"/>
        <v>0</v>
      </c>
      <c r="AL494" s="401">
        <f t="shared" si="651"/>
        <v>0</v>
      </c>
      <c r="AM494" s="401">
        <f t="shared" si="651"/>
        <v>0</v>
      </c>
      <c r="AN494" s="401">
        <f t="shared" si="651"/>
        <v>0</v>
      </c>
      <c r="AO494" s="401">
        <f t="shared" si="651"/>
        <v>0</v>
      </c>
      <c r="AP494" s="401">
        <f t="shared" si="651"/>
        <v>0</v>
      </c>
      <c r="AQ494" s="401">
        <f t="shared" si="651"/>
        <v>0</v>
      </c>
      <c r="AR494" s="401">
        <f t="shared" si="651"/>
        <v>0</v>
      </c>
      <c r="AS494" s="401">
        <f t="shared" si="651"/>
        <v>0</v>
      </c>
      <c r="AT494" s="401">
        <f t="shared" si="651"/>
        <v>0</v>
      </c>
      <c r="AU494" s="401">
        <f t="shared" si="651"/>
        <v>0</v>
      </c>
      <c r="AV494" s="401">
        <f t="shared" si="651"/>
        <v>0</v>
      </c>
      <c r="AW494" s="401">
        <f t="shared" si="651"/>
        <v>0</v>
      </c>
      <c r="AX494" s="401">
        <f t="shared" ref="AX494:BP494" si="652">SUM(AX337,AX416)</f>
        <v>0</v>
      </c>
      <c r="AY494" s="401">
        <f t="shared" si="652"/>
        <v>0</v>
      </c>
      <c r="AZ494" s="401">
        <f t="shared" si="652"/>
        <v>0</v>
      </c>
      <c r="BA494" s="401">
        <f t="shared" si="652"/>
        <v>0</v>
      </c>
      <c r="BB494" s="401">
        <f t="shared" si="652"/>
        <v>0</v>
      </c>
      <c r="BC494" s="401">
        <f t="shared" si="652"/>
        <v>0</v>
      </c>
      <c r="BD494" s="401">
        <f t="shared" si="652"/>
        <v>0</v>
      </c>
      <c r="BE494" s="401">
        <f t="shared" si="652"/>
        <v>0</v>
      </c>
      <c r="BF494" s="401">
        <f t="shared" si="652"/>
        <v>0</v>
      </c>
      <c r="BG494" s="401">
        <f t="shared" si="652"/>
        <v>0</v>
      </c>
      <c r="BH494" s="401">
        <f t="shared" si="652"/>
        <v>0</v>
      </c>
      <c r="BI494" s="401">
        <f t="shared" si="652"/>
        <v>0</v>
      </c>
      <c r="BJ494" s="401">
        <f t="shared" si="652"/>
        <v>0</v>
      </c>
      <c r="BK494" s="401">
        <f t="shared" si="652"/>
        <v>0</v>
      </c>
      <c r="BL494" s="401">
        <f t="shared" si="652"/>
        <v>0</v>
      </c>
      <c r="BM494" s="401">
        <f t="shared" si="652"/>
        <v>0</v>
      </c>
      <c r="BN494" s="401">
        <f t="shared" si="652"/>
        <v>0</v>
      </c>
      <c r="BO494" s="401">
        <f t="shared" si="652"/>
        <v>0</v>
      </c>
      <c r="BP494" s="401">
        <f t="shared" si="652"/>
        <v>0</v>
      </c>
    </row>
    <row r="495" spans="2:68" outlineLevel="1" x14ac:dyDescent="0.2">
      <c r="B495" s="80"/>
      <c r="C495" s="80"/>
      <c r="D495" s="92" t="s">
        <v>63</v>
      </c>
      <c r="E495" s="80"/>
      <c r="F495" s="80"/>
      <c r="G495" s="477">
        <f>Assumptions!$H$194</f>
        <v>1</v>
      </c>
      <c r="H495" s="477">
        <f>Assumptions!$I$194</f>
        <v>1</v>
      </c>
      <c r="I495" s="488"/>
      <c r="J495" s="489" t="str">
        <f>Assumptions!$K$194</f>
        <v>CESS</v>
      </c>
      <c r="K495" s="401">
        <f t="shared" si="650"/>
        <v>0</v>
      </c>
      <c r="L495" s="436">
        <f t="shared" si="650"/>
        <v>0</v>
      </c>
      <c r="M495" s="457"/>
      <c r="N495" s="455"/>
      <c r="O495" s="455"/>
      <c r="P495" s="455"/>
      <c r="Q495" s="455"/>
      <c r="R495" s="401">
        <f t="shared" ref="R495:AW495" si="653">SUM(R338,R417)</f>
        <v>0</v>
      </c>
      <c r="S495" s="401">
        <f t="shared" si="653"/>
        <v>0</v>
      </c>
      <c r="T495" s="401">
        <f t="shared" si="653"/>
        <v>0</v>
      </c>
      <c r="U495" s="401">
        <f t="shared" si="653"/>
        <v>0</v>
      </c>
      <c r="V495" s="401">
        <f t="shared" si="653"/>
        <v>0</v>
      </c>
      <c r="W495" s="401">
        <f t="shared" si="653"/>
        <v>0</v>
      </c>
      <c r="X495" s="401">
        <f t="shared" si="653"/>
        <v>0</v>
      </c>
      <c r="Y495" s="401">
        <f t="shared" si="653"/>
        <v>0</v>
      </c>
      <c r="Z495" s="401">
        <f t="shared" si="653"/>
        <v>0</v>
      </c>
      <c r="AA495" s="401">
        <f t="shared" si="653"/>
        <v>0</v>
      </c>
      <c r="AB495" s="401">
        <f t="shared" si="653"/>
        <v>0</v>
      </c>
      <c r="AC495" s="401">
        <f t="shared" si="653"/>
        <v>0</v>
      </c>
      <c r="AD495" s="401">
        <f t="shared" si="653"/>
        <v>0</v>
      </c>
      <c r="AE495" s="401">
        <f t="shared" si="653"/>
        <v>0</v>
      </c>
      <c r="AF495" s="401">
        <f t="shared" si="653"/>
        <v>0</v>
      </c>
      <c r="AG495" s="401">
        <f t="shared" si="653"/>
        <v>0</v>
      </c>
      <c r="AH495" s="401">
        <f t="shared" si="653"/>
        <v>0</v>
      </c>
      <c r="AI495" s="401">
        <f t="shared" si="653"/>
        <v>0</v>
      </c>
      <c r="AJ495" s="401">
        <f t="shared" si="653"/>
        <v>0</v>
      </c>
      <c r="AK495" s="401">
        <f t="shared" si="653"/>
        <v>0</v>
      </c>
      <c r="AL495" s="401">
        <f t="shared" si="653"/>
        <v>0</v>
      </c>
      <c r="AM495" s="401">
        <f t="shared" si="653"/>
        <v>0</v>
      </c>
      <c r="AN495" s="401">
        <f t="shared" si="653"/>
        <v>0</v>
      </c>
      <c r="AO495" s="401">
        <f t="shared" si="653"/>
        <v>0</v>
      </c>
      <c r="AP495" s="401">
        <f t="shared" si="653"/>
        <v>0</v>
      </c>
      <c r="AQ495" s="401">
        <f t="shared" si="653"/>
        <v>0</v>
      </c>
      <c r="AR495" s="401">
        <f t="shared" si="653"/>
        <v>0</v>
      </c>
      <c r="AS495" s="401">
        <f t="shared" si="653"/>
        <v>0</v>
      </c>
      <c r="AT495" s="401">
        <f t="shared" si="653"/>
        <v>0</v>
      </c>
      <c r="AU495" s="401">
        <f t="shared" si="653"/>
        <v>0</v>
      </c>
      <c r="AV495" s="401">
        <f t="shared" si="653"/>
        <v>0</v>
      </c>
      <c r="AW495" s="401">
        <f t="shared" si="653"/>
        <v>0</v>
      </c>
      <c r="AX495" s="401">
        <f t="shared" ref="AX495:BP495" si="654">SUM(AX338,AX417)</f>
        <v>0</v>
      </c>
      <c r="AY495" s="401">
        <f t="shared" si="654"/>
        <v>0</v>
      </c>
      <c r="AZ495" s="401">
        <f t="shared" si="654"/>
        <v>0</v>
      </c>
      <c r="BA495" s="401">
        <f t="shared" si="654"/>
        <v>0</v>
      </c>
      <c r="BB495" s="401">
        <f t="shared" si="654"/>
        <v>0</v>
      </c>
      <c r="BC495" s="401">
        <f t="shared" si="654"/>
        <v>0</v>
      </c>
      <c r="BD495" s="401">
        <f t="shared" si="654"/>
        <v>0</v>
      </c>
      <c r="BE495" s="401">
        <f t="shared" si="654"/>
        <v>0</v>
      </c>
      <c r="BF495" s="401">
        <f t="shared" si="654"/>
        <v>0</v>
      </c>
      <c r="BG495" s="401">
        <f t="shared" si="654"/>
        <v>0</v>
      </c>
      <c r="BH495" s="401">
        <f t="shared" si="654"/>
        <v>0</v>
      </c>
      <c r="BI495" s="401">
        <f t="shared" si="654"/>
        <v>0</v>
      </c>
      <c r="BJ495" s="401">
        <f t="shared" si="654"/>
        <v>0</v>
      </c>
      <c r="BK495" s="401">
        <f t="shared" si="654"/>
        <v>0</v>
      </c>
      <c r="BL495" s="401">
        <f t="shared" si="654"/>
        <v>0</v>
      </c>
      <c r="BM495" s="401">
        <f t="shared" si="654"/>
        <v>0</v>
      </c>
      <c r="BN495" s="401">
        <f t="shared" si="654"/>
        <v>0</v>
      </c>
      <c r="BO495" s="401">
        <f t="shared" si="654"/>
        <v>0</v>
      </c>
      <c r="BP495" s="401">
        <f t="shared" si="654"/>
        <v>0</v>
      </c>
    </row>
    <row r="496" spans="2:68" outlineLevel="1" x14ac:dyDescent="0.2">
      <c r="B496" s="80"/>
      <c r="C496" s="80"/>
      <c r="D496" s="81" t="str">
        <f>$D$262</f>
        <v>DMIS</v>
      </c>
      <c r="E496" s="80"/>
      <c r="F496" s="80"/>
      <c r="G496" s="477">
        <f>Assumptions!$H$195</f>
        <v>1</v>
      </c>
      <c r="H496" s="477">
        <f>Assumptions!$I$195</f>
        <v>-1</v>
      </c>
      <c r="I496" s="83"/>
      <c r="J496" s="85" t="str">
        <f>Assumptions!$K$195</f>
        <v>DMIS</v>
      </c>
      <c r="K496" s="401">
        <f t="shared" si="650"/>
        <v>0</v>
      </c>
      <c r="L496" s="436">
        <f t="shared" si="650"/>
        <v>0</v>
      </c>
      <c r="M496" s="457"/>
      <c r="N496" s="455"/>
      <c r="O496" s="455"/>
      <c r="P496" s="455"/>
      <c r="Q496" s="455"/>
      <c r="R496" s="401">
        <f t="shared" ref="R496:AW496" si="655">SUM(R339,R418)</f>
        <v>0</v>
      </c>
      <c r="S496" s="401">
        <f t="shared" si="655"/>
        <v>0</v>
      </c>
      <c r="T496" s="401">
        <f t="shared" si="655"/>
        <v>0</v>
      </c>
      <c r="U496" s="401">
        <f t="shared" si="655"/>
        <v>0</v>
      </c>
      <c r="V496" s="401">
        <f t="shared" si="655"/>
        <v>0</v>
      </c>
      <c r="W496" s="401">
        <f t="shared" si="655"/>
        <v>0</v>
      </c>
      <c r="X496" s="401">
        <f t="shared" si="655"/>
        <v>0</v>
      </c>
      <c r="Y496" s="401">
        <f t="shared" si="655"/>
        <v>0</v>
      </c>
      <c r="Z496" s="401">
        <f t="shared" si="655"/>
        <v>0</v>
      </c>
      <c r="AA496" s="401">
        <f t="shared" si="655"/>
        <v>0</v>
      </c>
      <c r="AB496" s="401">
        <f t="shared" si="655"/>
        <v>0</v>
      </c>
      <c r="AC496" s="401">
        <f t="shared" si="655"/>
        <v>0</v>
      </c>
      <c r="AD496" s="401">
        <f t="shared" si="655"/>
        <v>0</v>
      </c>
      <c r="AE496" s="401">
        <f t="shared" si="655"/>
        <v>0</v>
      </c>
      <c r="AF496" s="401">
        <f t="shared" si="655"/>
        <v>0</v>
      </c>
      <c r="AG496" s="401">
        <f t="shared" si="655"/>
        <v>0</v>
      </c>
      <c r="AH496" s="401">
        <f t="shared" si="655"/>
        <v>0</v>
      </c>
      <c r="AI496" s="401">
        <f t="shared" si="655"/>
        <v>0</v>
      </c>
      <c r="AJ496" s="401">
        <f t="shared" si="655"/>
        <v>0</v>
      </c>
      <c r="AK496" s="401">
        <f t="shared" si="655"/>
        <v>0</v>
      </c>
      <c r="AL496" s="401">
        <f t="shared" si="655"/>
        <v>0</v>
      </c>
      <c r="AM496" s="401">
        <f t="shared" si="655"/>
        <v>0</v>
      </c>
      <c r="AN496" s="401">
        <f t="shared" si="655"/>
        <v>0</v>
      </c>
      <c r="AO496" s="401">
        <f t="shared" si="655"/>
        <v>0</v>
      </c>
      <c r="AP496" s="401">
        <f t="shared" si="655"/>
        <v>0</v>
      </c>
      <c r="AQ496" s="401">
        <f t="shared" si="655"/>
        <v>0</v>
      </c>
      <c r="AR496" s="401">
        <f t="shared" si="655"/>
        <v>0</v>
      </c>
      <c r="AS496" s="401">
        <f t="shared" si="655"/>
        <v>0</v>
      </c>
      <c r="AT496" s="401">
        <f t="shared" si="655"/>
        <v>0</v>
      </c>
      <c r="AU496" s="401">
        <f t="shared" si="655"/>
        <v>0</v>
      </c>
      <c r="AV496" s="401">
        <f t="shared" si="655"/>
        <v>0</v>
      </c>
      <c r="AW496" s="401">
        <f t="shared" si="655"/>
        <v>0</v>
      </c>
      <c r="AX496" s="401">
        <f t="shared" ref="AX496:BP496" si="656">SUM(AX339,AX418)</f>
        <v>0</v>
      </c>
      <c r="AY496" s="401">
        <f t="shared" si="656"/>
        <v>0</v>
      </c>
      <c r="AZ496" s="401">
        <f t="shared" si="656"/>
        <v>0</v>
      </c>
      <c r="BA496" s="401">
        <f t="shared" si="656"/>
        <v>0</v>
      </c>
      <c r="BB496" s="401">
        <f t="shared" si="656"/>
        <v>0</v>
      </c>
      <c r="BC496" s="401">
        <f t="shared" si="656"/>
        <v>0</v>
      </c>
      <c r="BD496" s="401">
        <f t="shared" si="656"/>
        <v>0</v>
      </c>
      <c r="BE496" s="401">
        <f t="shared" si="656"/>
        <v>0</v>
      </c>
      <c r="BF496" s="401">
        <f t="shared" si="656"/>
        <v>0</v>
      </c>
      <c r="BG496" s="401">
        <f t="shared" si="656"/>
        <v>0</v>
      </c>
      <c r="BH496" s="401">
        <f t="shared" si="656"/>
        <v>0</v>
      </c>
      <c r="BI496" s="401">
        <f t="shared" si="656"/>
        <v>0</v>
      </c>
      <c r="BJ496" s="401">
        <f t="shared" si="656"/>
        <v>0</v>
      </c>
      <c r="BK496" s="401">
        <f t="shared" si="656"/>
        <v>0</v>
      </c>
      <c r="BL496" s="401">
        <f t="shared" si="656"/>
        <v>0</v>
      </c>
      <c r="BM496" s="401">
        <f t="shared" si="656"/>
        <v>0</v>
      </c>
      <c r="BN496" s="401">
        <f t="shared" si="656"/>
        <v>0</v>
      </c>
      <c r="BO496" s="401">
        <f t="shared" si="656"/>
        <v>0</v>
      </c>
      <c r="BP496" s="401">
        <f t="shared" si="656"/>
        <v>0</v>
      </c>
    </row>
    <row r="497" spans="4:68" outlineLevel="1" x14ac:dyDescent="0.2">
      <c r="D497" s="80"/>
      <c r="E497" s="80"/>
      <c r="F497" s="80"/>
      <c r="G497" s="52"/>
      <c r="H497" s="52"/>
      <c r="I497" s="52"/>
      <c r="J497" s="85"/>
      <c r="K497" s="80"/>
      <c r="L497" s="412"/>
      <c r="M497" s="437"/>
      <c r="N497" s="401"/>
      <c r="O497" s="401"/>
      <c r="P497" s="401"/>
      <c r="Q497" s="401"/>
      <c r="R497" s="23"/>
      <c r="S497" s="23"/>
      <c r="T497" s="23"/>
      <c r="U497" s="23"/>
      <c r="V497" s="23"/>
      <c r="W497" s="23"/>
      <c r="X497" s="23"/>
      <c r="Y497" s="23"/>
      <c r="Z497" s="23"/>
      <c r="AA497" s="23"/>
      <c r="AB497" s="23"/>
      <c r="AC497" s="23"/>
      <c r="AD497" s="23"/>
      <c r="AE497" s="23"/>
      <c r="AF497" s="23"/>
      <c r="AG497" s="23"/>
      <c r="AH497" s="23"/>
      <c r="AI497" s="23"/>
      <c r="AJ497" s="23"/>
      <c r="AK497" s="23"/>
      <c r="AL497" s="23"/>
      <c r="AM497" s="23"/>
      <c r="AN497" s="23"/>
      <c r="AO497" s="23"/>
      <c r="AP497" s="23"/>
      <c r="AQ497" s="23"/>
      <c r="AR497" s="23"/>
      <c r="AS497" s="23"/>
      <c r="AT497" s="23"/>
      <c r="AU497" s="23"/>
      <c r="AV497" s="23"/>
      <c r="AW497" s="23"/>
      <c r="AX497" s="23"/>
      <c r="AY497" s="23"/>
      <c r="AZ497" s="23"/>
      <c r="BA497" s="23"/>
      <c r="BB497" s="23"/>
      <c r="BC497" s="23"/>
      <c r="BD497" s="23"/>
      <c r="BE497" s="23"/>
      <c r="BF497" s="23"/>
      <c r="BG497" s="23"/>
      <c r="BH497" s="23"/>
      <c r="BI497" s="23"/>
      <c r="BJ497" s="23"/>
      <c r="BK497" s="23"/>
      <c r="BL497" s="23"/>
      <c r="BM497" s="23"/>
      <c r="BN497" s="23"/>
      <c r="BO497" s="23"/>
      <c r="BP497" s="23"/>
    </row>
    <row r="498" spans="4:68" outlineLevel="1" x14ac:dyDescent="0.2">
      <c r="D498" s="32" t="str">
        <f>$D$264</f>
        <v>Probabilistic cost &amp; benefits</v>
      </c>
      <c r="E498" s="80"/>
      <c r="F498" s="80"/>
      <c r="G498" s="83"/>
      <c r="H498" s="83"/>
      <c r="I498" s="83"/>
      <c r="J498" s="85"/>
      <c r="K498" s="34"/>
      <c r="L498" s="126"/>
      <c r="M498" s="437"/>
      <c r="N498" s="401"/>
      <c r="O498" s="401"/>
      <c r="P498" s="401"/>
      <c r="Q498" s="401"/>
      <c r="R498" s="23"/>
      <c r="S498" s="23"/>
      <c r="T498" s="23"/>
      <c r="U498" s="23"/>
      <c r="V498" s="23"/>
      <c r="W498" s="23"/>
      <c r="X498" s="23"/>
      <c r="Y498" s="23"/>
      <c r="Z498" s="23"/>
      <c r="AA498" s="23"/>
      <c r="AB498" s="23"/>
      <c r="AC498" s="23"/>
      <c r="AD498" s="23"/>
      <c r="AE498" s="23"/>
      <c r="AF498" s="23"/>
      <c r="AG498" s="23"/>
      <c r="AH498" s="23"/>
      <c r="AI498" s="23"/>
      <c r="AJ498" s="23"/>
      <c r="AK498" s="23"/>
      <c r="AL498" s="23"/>
      <c r="AM498" s="23"/>
      <c r="AN498" s="23"/>
      <c r="AO498" s="23"/>
      <c r="AP498" s="23"/>
      <c r="AQ498" s="23"/>
      <c r="AR498" s="23"/>
      <c r="AS498" s="23"/>
      <c r="AT498" s="23"/>
      <c r="AU498" s="23"/>
      <c r="AV498" s="23"/>
      <c r="AW498" s="23"/>
      <c r="AX498" s="23"/>
      <c r="AY498" s="23"/>
      <c r="AZ498" s="23"/>
      <c r="BA498" s="23"/>
      <c r="BB498" s="23"/>
      <c r="BC498" s="23"/>
      <c r="BD498" s="23"/>
      <c r="BE498" s="23"/>
      <c r="BF498" s="23"/>
      <c r="BG498" s="23"/>
      <c r="BH498" s="23"/>
      <c r="BI498" s="23"/>
      <c r="BJ498" s="23"/>
      <c r="BK498" s="23"/>
      <c r="BL498" s="23"/>
      <c r="BM498" s="23"/>
      <c r="BN498" s="23"/>
      <c r="BO498" s="23"/>
      <c r="BP498" s="23"/>
    </row>
    <row r="499" spans="4:68" outlineLevel="1" x14ac:dyDescent="0.2">
      <c r="D499" s="81" t="str">
        <f>$D$265</f>
        <v>Safety risk</v>
      </c>
      <c r="E499" s="80"/>
      <c r="F499" s="80"/>
      <c r="G499" s="477">
        <f>Assumptions!$H$198</f>
        <v>0</v>
      </c>
      <c r="H499" s="477">
        <f>Assumptions!$I$198</f>
        <v>1</v>
      </c>
      <c r="I499" s="83"/>
      <c r="J499" s="85" t="str">
        <f>Assumptions!$K$198</f>
        <v>Safety risk</v>
      </c>
      <c r="K499" s="401">
        <f t="shared" ref="K499:L506" si="657">SUM(K342,K421)</f>
        <v>20551310.612568729</v>
      </c>
      <c r="L499" s="436">
        <f t="shared" si="657"/>
        <v>24551006.651312798</v>
      </c>
      <c r="M499" s="457"/>
      <c r="N499" s="455"/>
      <c r="O499" s="455"/>
      <c r="P499" s="455"/>
      <c r="Q499" s="455"/>
      <c r="R499" s="401">
        <f t="shared" ref="R499:AW499" si="658">SUM(R342,R421)</f>
        <v>0</v>
      </c>
      <c r="S499" s="401">
        <f t="shared" si="658"/>
        <v>0</v>
      </c>
      <c r="T499" s="401">
        <f t="shared" si="658"/>
        <v>0</v>
      </c>
      <c r="U499" s="401">
        <f t="shared" si="658"/>
        <v>4357421.4794582743</v>
      </c>
      <c r="V499" s="401">
        <f t="shared" si="658"/>
        <v>4421187.5671172729</v>
      </c>
      <c r="W499" s="401">
        <f t="shared" si="658"/>
        <v>4451034.2730616657</v>
      </c>
      <c r="X499" s="401">
        <f t="shared" si="658"/>
        <v>4454116.4275256703</v>
      </c>
      <c r="Y499" s="401">
        <f t="shared" si="658"/>
        <v>4521292.9927943535</v>
      </c>
      <c r="Z499" s="401">
        <f t="shared" si="658"/>
        <v>2345953.9113555606</v>
      </c>
      <c r="AA499" s="401">
        <f t="shared" si="658"/>
        <v>0</v>
      </c>
      <c r="AB499" s="401">
        <f t="shared" si="658"/>
        <v>0</v>
      </c>
      <c r="AC499" s="401">
        <f t="shared" si="658"/>
        <v>0</v>
      </c>
      <c r="AD499" s="401">
        <f t="shared" si="658"/>
        <v>0</v>
      </c>
      <c r="AE499" s="401">
        <f t="shared" si="658"/>
        <v>0</v>
      </c>
      <c r="AF499" s="401">
        <f t="shared" si="658"/>
        <v>0</v>
      </c>
      <c r="AG499" s="401">
        <f t="shared" si="658"/>
        <v>0</v>
      </c>
      <c r="AH499" s="401">
        <f t="shared" si="658"/>
        <v>0</v>
      </c>
      <c r="AI499" s="401">
        <f t="shared" si="658"/>
        <v>0</v>
      </c>
      <c r="AJ499" s="401">
        <f t="shared" si="658"/>
        <v>0</v>
      </c>
      <c r="AK499" s="401">
        <f t="shared" si="658"/>
        <v>0</v>
      </c>
      <c r="AL499" s="401">
        <f t="shared" si="658"/>
        <v>0</v>
      </c>
      <c r="AM499" s="401">
        <f t="shared" si="658"/>
        <v>0</v>
      </c>
      <c r="AN499" s="401">
        <f t="shared" si="658"/>
        <v>0</v>
      </c>
      <c r="AO499" s="401">
        <f t="shared" si="658"/>
        <v>0</v>
      </c>
      <c r="AP499" s="401">
        <f t="shared" si="658"/>
        <v>0</v>
      </c>
      <c r="AQ499" s="401">
        <f t="shared" si="658"/>
        <v>0</v>
      </c>
      <c r="AR499" s="401">
        <f t="shared" si="658"/>
        <v>0</v>
      </c>
      <c r="AS499" s="401">
        <f t="shared" si="658"/>
        <v>0</v>
      </c>
      <c r="AT499" s="401">
        <f t="shared" si="658"/>
        <v>0</v>
      </c>
      <c r="AU499" s="401">
        <f t="shared" si="658"/>
        <v>0</v>
      </c>
      <c r="AV499" s="401">
        <f t="shared" si="658"/>
        <v>0</v>
      </c>
      <c r="AW499" s="401">
        <f t="shared" si="658"/>
        <v>0</v>
      </c>
      <c r="AX499" s="401">
        <f t="shared" ref="AX499:BP499" si="659">SUM(AX342,AX421)</f>
        <v>0</v>
      </c>
      <c r="AY499" s="401">
        <f t="shared" si="659"/>
        <v>0</v>
      </c>
      <c r="AZ499" s="401">
        <f t="shared" si="659"/>
        <v>0</v>
      </c>
      <c r="BA499" s="401">
        <f t="shared" si="659"/>
        <v>0</v>
      </c>
      <c r="BB499" s="401">
        <f t="shared" si="659"/>
        <v>0</v>
      </c>
      <c r="BC499" s="401">
        <f t="shared" si="659"/>
        <v>0</v>
      </c>
      <c r="BD499" s="401">
        <f t="shared" si="659"/>
        <v>0</v>
      </c>
      <c r="BE499" s="401">
        <f t="shared" si="659"/>
        <v>0</v>
      </c>
      <c r="BF499" s="401">
        <f t="shared" si="659"/>
        <v>0</v>
      </c>
      <c r="BG499" s="401">
        <f t="shared" si="659"/>
        <v>0</v>
      </c>
      <c r="BH499" s="401">
        <f t="shared" si="659"/>
        <v>0</v>
      </c>
      <c r="BI499" s="401">
        <f t="shared" si="659"/>
        <v>0</v>
      </c>
      <c r="BJ499" s="401">
        <f t="shared" si="659"/>
        <v>0</v>
      </c>
      <c r="BK499" s="401">
        <f t="shared" si="659"/>
        <v>0</v>
      </c>
      <c r="BL499" s="401">
        <f t="shared" si="659"/>
        <v>0</v>
      </c>
      <c r="BM499" s="401">
        <f t="shared" si="659"/>
        <v>0</v>
      </c>
      <c r="BN499" s="401">
        <f t="shared" si="659"/>
        <v>0</v>
      </c>
      <c r="BO499" s="401">
        <f t="shared" si="659"/>
        <v>0</v>
      </c>
      <c r="BP499" s="401">
        <f t="shared" si="659"/>
        <v>0</v>
      </c>
    </row>
    <row r="500" spans="4:68" outlineLevel="1" x14ac:dyDescent="0.2">
      <c r="D500" s="81" t="str">
        <f>$D$266</f>
        <v>Fire risk</v>
      </c>
      <c r="E500" s="80"/>
      <c r="F500" s="80"/>
      <c r="G500" s="477">
        <f>Assumptions!$H$199</f>
        <v>0</v>
      </c>
      <c r="H500" s="477">
        <f>Assumptions!$I$199</f>
        <v>1</v>
      </c>
      <c r="I500" s="83"/>
      <c r="J500" s="85" t="str">
        <f>Assumptions!$K$199</f>
        <v>Fire risk</v>
      </c>
      <c r="K500" s="401">
        <f t="shared" si="657"/>
        <v>0</v>
      </c>
      <c r="L500" s="436">
        <f t="shared" si="657"/>
        <v>0</v>
      </c>
      <c r="M500" s="457"/>
      <c r="N500" s="455"/>
      <c r="O500" s="455"/>
      <c r="P500" s="455"/>
      <c r="Q500" s="455"/>
      <c r="R500" s="401">
        <f t="shared" ref="R500:AW500" si="660">SUM(R343,R422)</f>
        <v>0</v>
      </c>
      <c r="S500" s="401">
        <f t="shared" si="660"/>
        <v>0</v>
      </c>
      <c r="T500" s="401">
        <f t="shared" si="660"/>
        <v>0</v>
      </c>
      <c r="U500" s="401">
        <f t="shared" si="660"/>
        <v>0</v>
      </c>
      <c r="V500" s="401">
        <f t="shared" si="660"/>
        <v>0</v>
      </c>
      <c r="W500" s="401">
        <f t="shared" si="660"/>
        <v>0</v>
      </c>
      <c r="X500" s="401">
        <f t="shared" si="660"/>
        <v>0</v>
      </c>
      <c r="Y500" s="401">
        <f t="shared" si="660"/>
        <v>0</v>
      </c>
      <c r="Z500" s="401">
        <f t="shared" si="660"/>
        <v>0</v>
      </c>
      <c r="AA500" s="401">
        <f t="shared" si="660"/>
        <v>0</v>
      </c>
      <c r="AB500" s="401">
        <f t="shared" si="660"/>
        <v>0</v>
      </c>
      <c r="AC500" s="401">
        <f t="shared" si="660"/>
        <v>0</v>
      </c>
      <c r="AD500" s="401">
        <f t="shared" si="660"/>
        <v>0</v>
      </c>
      <c r="AE500" s="401">
        <f t="shared" si="660"/>
        <v>0</v>
      </c>
      <c r="AF500" s="401">
        <f t="shared" si="660"/>
        <v>0</v>
      </c>
      <c r="AG500" s="401">
        <f t="shared" si="660"/>
        <v>0</v>
      </c>
      <c r="AH500" s="401">
        <f t="shared" si="660"/>
        <v>0</v>
      </c>
      <c r="AI500" s="401">
        <f t="shared" si="660"/>
        <v>0</v>
      </c>
      <c r="AJ500" s="401">
        <f t="shared" si="660"/>
        <v>0</v>
      </c>
      <c r="AK500" s="401">
        <f t="shared" si="660"/>
        <v>0</v>
      </c>
      <c r="AL500" s="401">
        <f t="shared" si="660"/>
        <v>0</v>
      </c>
      <c r="AM500" s="401">
        <f t="shared" si="660"/>
        <v>0</v>
      </c>
      <c r="AN500" s="401">
        <f t="shared" si="660"/>
        <v>0</v>
      </c>
      <c r="AO500" s="401">
        <f t="shared" si="660"/>
        <v>0</v>
      </c>
      <c r="AP500" s="401">
        <f t="shared" si="660"/>
        <v>0</v>
      </c>
      <c r="AQ500" s="401">
        <f t="shared" si="660"/>
        <v>0</v>
      </c>
      <c r="AR500" s="401">
        <f t="shared" si="660"/>
        <v>0</v>
      </c>
      <c r="AS500" s="401">
        <f t="shared" si="660"/>
        <v>0</v>
      </c>
      <c r="AT500" s="401">
        <f t="shared" si="660"/>
        <v>0</v>
      </c>
      <c r="AU500" s="401">
        <f t="shared" si="660"/>
        <v>0</v>
      </c>
      <c r="AV500" s="401">
        <f t="shared" si="660"/>
        <v>0</v>
      </c>
      <c r="AW500" s="401">
        <f t="shared" si="660"/>
        <v>0</v>
      </c>
      <c r="AX500" s="401">
        <f t="shared" ref="AX500:BP500" si="661">SUM(AX343,AX422)</f>
        <v>0</v>
      </c>
      <c r="AY500" s="401">
        <f t="shared" si="661"/>
        <v>0</v>
      </c>
      <c r="AZ500" s="401">
        <f t="shared" si="661"/>
        <v>0</v>
      </c>
      <c r="BA500" s="401">
        <f t="shared" si="661"/>
        <v>0</v>
      </c>
      <c r="BB500" s="401">
        <f t="shared" si="661"/>
        <v>0</v>
      </c>
      <c r="BC500" s="401">
        <f t="shared" si="661"/>
        <v>0</v>
      </c>
      <c r="BD500" s="401">
        <f t="shared" si="661"/>
        <v>0</v>
      </c>
      <c r="BE500" s="401">
        <f t="shared" si="661"/>
        <v>0</v>
      </c>
      <c r="BF500" s="401">
        <f t="shared" si="661"/>
        <v>0</v>
      </c>
      <c r="BG500" s="401">
        <f t="shared" si="661"/>
        <v>0</v>
      </c>
      <c r="BH500" s="401">
        <f t="shared" si="661"/>
        <v>0</v>
      </c>
      <c r="BI500" s="401">
        <f t="shared" si="661"/>
        <v>0</v>
      </c>
      <c r="BJ500" s="401">
        <f t="shared" si="661"/>
        <v>0</v>
      </c>
      <c r="BK500" s="401">
        <f t="shared" si="661"/>
        <v>0</v>
      </c>
      <c r="BL500" s="401">
        <f t="shared" si="661"/>
        <v>0</v>
      </c>
      <c r="BM500" s="401">
        <f t="shared" si="661"/>
        <v>0</v>
      </c>
      <c r="BN500" s="401">
        <f t="shared" si="661"/>
        <v>0</v>
      </c>
      <c r="BO500" s="401">
        <f t="shared" si="661"/>
        <v>0</v>
      </c>
      <c r="BP500" s="401">
        <f t="shared" si="661"/>
        <v>0</v>
      </c>
    </row>
    <row r="501" spans="4:68" outlineLevel="1" x14ac:dyDescent="0.2">
      <c r="D501" s="81" t="str">
        <f>$D$267</f>
        <v>Environment risk</v>
      </c>
      <c r="E501" s="80"/>
      <c r="F501" s="80"/>
      <c r="G501" s="477">
        <f>Assumptions!$H$200</f>
        <v>0</v>
      </c>
      <c r="H501" s="477">
        <f>Assumptions!$I$200</f>
        <v>1</v>
      </c>
      <c r="I501" s="83"/>
      <c r="J501" s="85" t="str">
        <f>Assumptions!$K$200</f>
        <v>Environment risk</v>
      </c>
      <c r="K501" s="401">
        <f t="shared" si="657"/>
        <v>0</v>
      </c>
      <c r="L501" s="436">
        <f t="shared" si="657"/>
        <v>0</v>
      </c>
      <c r="M501" s="457"/>
      <c r="N501" s="455"/>
      <c r="O501" s="455"/>
      <c r="P501" s="455"/>
      <c r="Q501" s="455"/>
      <c r="R501" s="401">
        <f t="shared" ref="R501:AW501" si="662">SUM(R344,R423)</f>
        <v>0</v>
      </c>
      <c r="S501" s="401">
        <f t="shared" si="662"/>
        <v>0</v>
      </c>
      <c r="T501" s="401">
        <f t="shared" si="662"/>
        <v>0</v>
      </c>
      <c r="U501" s="401">
        <f t="shared" si="662"/>
        <v>0</v>
      </c>
      <c r="V501" s="401">
        <f t="shared" si="662"/>
        <v>0</v>
      </c>
      <c r="W501" s="401">
        <f t="shared" si="662"/>
        <v>0</v>
      </c>
      <c r="X501" s="401">
        <f t="shared" si="662"/>
        <v>0</v>
      </c>
      <c r="Y501" s="401">
        <f t="shared" si="662"/>
        <v>0</v>
      </c>
      <c r="Z501" s="401">
        <f t="shared" si="662"/>
        <v>0</v>
      </c>
      <c r="AA501" s="401">
        <f t="shared" si="662"/>
        <v>0</v>
      </c>
      <c r="AB501" s="401">
        <f t="shared" si="662"/>
        <v>0</v>
      </c>
      <c r="AC501" s="401">
        <f t="shared" si="662"/>
        <v>0</v>
      </c>
      <c r="AD501" s="401">
        <f t="shared" si="662"/>
        <v>0</v>
      </c>
      <c r="AE501" s="401">
        <f t="shared" si="662"/>
        <v>0</v>
      </c>
      <c r="AF501" s="401">
        <f t="shared" si="662"/>
        <v>0</v>
      </c>
      <c r="AG501" s="401">
        <f t="shared" si="662"/>
        <v>0</v>
      </c>
      <c r="AH501" s="401">
        <f t="shared" si="662"/>
        <v>0</v>
      </c>
      <c r="AI501" s="401">
        <f t="shared" si="662"/>
        <v>0</v>
      </c>
      <c r="AJ501" s="401">
        <f t="shared" si="662"/>
        <v>0</v>
      </c>
      <c r="AK501" s="401">
        <f t="shared" si="662"/>
        <v>0</v>
      </c>
      <c r="AL501" s="401">
        <f t="shared" si="662"/>
        <v>0</v>
      </c>
      <c r="AM501" s="401">
        <f t="shared" si="662"/>
        <v>0</v>
      </c>
      <c r="AN501" s="401">
        <f t="shared" si="662"/>
        <v>0</v>
      </c>
      <c r="AO501" s="401">
        <f t="shared" si="662"/>
        <v>0</v>
      </c>
      <c r="AP501" s="401">
        <f t="shared" si="662"/>
        <v>0</v>
      </c>
      <c r="AQ501" s="401">
        <f t="shared" si="662"/>
        <v>0</v>
      </c>
      <c r="AR501" s="401">
        <f t="shared" si="662"/>
        <v>0</v>
      </c>
      <c r="AS501" s="401">
        <f t="shared" si="662"/>
        <v>0</v>
      </c>
      <c r="AT501" s="401">
        <f t="shared" si="662"/>
        <v>0</v>
      </c>
      <c r="AU501" s="401">
        <f t="shared" si="662"/>
        <v>0</v>
      </c>
      <c r="AV501" s="401">
        <f t="shared" si="662"/>
        <v>0</v>
      </c>
      <c r="AW501" s="401">
        <f t="shared" si="662"/>
        <v>0</v>
      </c>
      <c r="AX501" s="401">
        <f t="shared" ref="AX501:BP501" si="663">SUM(AX344,AX423)</f>
        <v>0</v>
      </c>
      <c r="AY501" s="401">
        <f t="shared" si="663"/>
        <v>0</v>
      </c>
      <c r="AZ501" s="401">
        <f t="shared" si="663"/>
        <v>0</v>
      </c>
      <c r="BA501" s="401">
        <f t="shared" si="663"/>
        <v>0</v>
      </c>
      <c r="BB501" s="401">
        <f t="shared" si="663"/>
        <v>0</v>
      </c>
      <c r="BC501" s="401">
        <f t="shared" si="663"/>
        <v>0</v>
      </c>
      <c r="BD501" s="401">
        <f t="shared" si="663"/>
        <v>0</v>
      </c>
      <c r="BE501" s="401">
        <f t="shared" si="663"/>
        <v>0</v>
      </c>
      <c r="BF501" s="401">
        <f t="shared" si="663"/>
        <v>0</v>
      </c>
      <c r="BG501" s="401">
        <f t="shared" si="663"/>
        <v>0</v>
      </c>
      <c r="BH501" s="401">
        <f t="shared" si="663"/>
        <v>0</v>
      </c>
      <c r="BI501" s="401">
        <f t="shared" si="663"/>
        <v>0</v>
      </c>
      <c r="BJ501" s="401">
        <f t="shared" si="663"/>
        <v>0</v>
      </c>
      <c r="BK501" s="401">
        <f t="shared" si="663"/>
        <v>0</v>
      </c>
      <c r="BL501" s="401">
        <f t="shared" si="663"/>
        <v>0</v>
      </c>
      <c r="BM501" s="401">
        <f t="shared" si="663"/>
        <v>0</v>
      </c>
      <c r="BN501" s="401">
        <f t="shared" si="663"/>
        <v>0</v>
      </c>
      <c r="BO501" s="401">
        <f t="shared" si="663"/>
        <v>0</v>
      </c>
      <c r="BP501" s="401">
        <f t="shared" si="663"/>
        <v>0</v>
      </c>
    </row>
    <row r="502" spans="4:68" outlineLevel="1" x14ac:dyDescent="0.2">
      <c r="D502" s="81" t="str">
        <f>$D$268</f>
        <v>Network asset failure EUE</v>
      </c>
      <c r="E502" s="80"/>
      <c r="F502" s="80"/>
      <c r="G502" s="477">
        <f>Assumptions!$H$201</f>
        <v>0</v>
      </c>
      <c r="H502" s="477">
        <f>Assumptions!$I$201</f>
        <v>1</v>
      </c>
      <c r="I502" s="83"/>
      <c r="J502" s="85" t="str">
        <f>Assumptions!$K$201</f>
        <v>Network asset failure EUE</v>
      </c>
      <c r="K502" s="401">
        <f t="shared" si="657"/>
        <v>8733838.3751617204</v>
      </c>
      <c r="L502" s="436">
        <f t="shared" si="657"/>
        <v>10652719.644212171</v>
      </c>
      <c r="M502" s="457"/>
      <c r="N502" s="455"/>
      <c r="O502" s="455"/>
      <c r="P502" s="455"/>
      <c r="Q502" s="455"/>
      <c r="R502" s="401">
        <f t="shared" ref="R502:AW502" si="664">SUM(R345,R424)</f>
        <v>0</v>
      </c>
      <c r="S502" s="401">
        <f t="shared" si="664"/>
        <v>0</v>
      </c>
      <c r="T502" s="401">
        <f t="shared" si="664"/>
        <v>0</v>
      </c>
      <c r="U502" s="401">
        <f t="shared" si="664"/>
        <v>1601352.3937009159</v>
      </c>
      <c r="V502" s="401">
        <f t="shared" si="664"/>
        <v>1624786.4309155978</v>
      </c>
      <c r="W502" s="401">
        <f t="shared" si="664"/>
        <v>1635755.0953501621</v>
      </c>
      <c r="X502" s="401">
        <f t="shared" si="664"/>
        <v>1636887.7871156838</v>
      </c>
      <c r="Y502" s="401">
        <f t="shared" si="664"/>
        <v>1661575.1748519249</v>
      </c>
      <c r="Z502" s="401">
        <f t="shared" si="664"/>
        <v>830787.58742596244</v>
      </c>
      <c r="AA502" s="401">
        <f t="shared" si="664"/>
        <v>830787.58742596244</v>
      </c>
      <c r="AB502" s="401">
        <f t="shared" si="664"/>
        <v>830787.58742596244</v>
      </c>
      <c r="AC502" s="401">
        <f t="shared" si="664"/>
        <v>0</v>
      </c>
      <c r="AD502" s="401">
        <f t="shared" si="664"/>
        <v>0</v>
      </c>
      <c r="AE502" s="401">
        <f t="shared" si="664"/>
        <v>0</v>
      </c>
      <c r="AF502" s="401">
        <f t="shared" si="664"/>
        <v>0</v>
      </c>
      <c r="AG502" s="401">
        <f t="shared" si="664"/>
        <v>0</v>
      </c>
      <c r="AH502" s="401">
        <f t="shared" si="664"/>
        <v>0</v>
      </c>
      <c r="AI502" s="401">
        <f t="shared" si="664"/>
        <v>0</v>
      </c>
      <c r="AJ502" s="401">
        <f t="shared" si="664"/>
        <v>0</v>
      </c>
      <c r="AK502" s="401">
        <f t="shared" si="664"/>
        <v>0</v>
      </c>
      <c r="AL502" s="401">
        <f t="shared" si="664"/>
        <v>0</v>
      </c>
      <c r="AM502" s="401">
        <f t="shared" si="664"/>
        <v>0</v>
      </c>
      <c r="AN502" s="401">
        <f t="shared" si="664"/>
        <v>0</v>
      </c>
      <c r="AO502" s="401">
        <f t="shared" si="664"/>
        <v>0</v>
      </c>
      <c r="AP502" s="401">
        <f t="shared" si="664"/>
        <v>0</v>
      </c>
      <c r="AQ502" s="401">
        <f t="shared" si="664"/>
        <v>0</v>
      </c>
      <c r="AR502" s="401">
        <f t="shared" si="664"/>
        <v>0</v>
      </c>
      <c r="AS502" s="401">
        <f t="shared" si="664"/>
        <v>0</v>
      </c>
      <c r="AT502" s="401">
        <f t="shared" si="664"/>
        <v>0</v>
      </c>
      <c r="AU502" s="401">
        <f t="shared" si="664"/>
        <v>0</v>
      </c>
      <c r="AV502" s="401">
        <f t="shared" si="664"/>
        <v>0</v>
      </c>
      <c r="AW502" s="401">
        <f t="shared" si="664"/>
        <v>0</v>
      </c>
      <c r="AX502" s="401">
        <f t="shared" ref="AX502:BP502" si="665">SUM(AX345,AX424)</f>
        <v>0</v>
      </c>
      <c r="AY502" s="401">
        <f t="shared" si="665"/>
        <v>0</v>
      </c>
      <c r="AZ502" s="401">
        <f t="shared" si="665"/>
        <v>0</v>
      </c>
      <c r="BA502" s="401">
        <f t="shared" si="665"/>
        <v>0</v>
      </c>
      <c r="BB502" s="401">
        <f t="shared" si="665"/>
        <v>0</v>
      </c>
      <c r="BC502" s="401">
        <f t="shared" si="665"/>
        <v>0</v>
      </c>
      <c r="BD502" s="401">
        <f t="shared" si="665"/>
        <v>0</v>
      </c>
      <c r="BE502" s="401">
        <f t="shared" si="665"/>
        <v>0</v>
      </c>
      <c r="BF502" s="401">
        <f t="shared" si="665"/>
        <v>0</v>
      </c>
      <c r="BG502" s="401">
        <f t="shared" si="665"/>
        <v>0</v>
      </c>
      <c r="BH502" s="401">
        <f t="shared" si="665"/>
        <v>0</v>
      </c>
      <c r="BI502" s="401">
        <f t="shared" si="665"/>
        <v>0</v>
      </c>
      <c r="BJ502" s="401">
        <f t="shared" si="665"/>
        <v>0</v>
      </c>
      <c r="BK502" s="401">
        <f t="shared" si="665"/>
        <v>0</v>
      </c>
      <c r="BL502" s="401">
        <f t="shared" si="665"/>
        <v>0</v>
      </c>
      <c r="BM502" s="401">
        <f t="shared" si="665"/>
        <v>0</v>
      </c>
      <c r="BN502" s="401">
        <f t="shared" si="665"/>
        <v>0</v>
      </c>
      <c r="BO502" s="401">
        <f t="shared" si="665"/>
        <v>0</v>
      </c>
      <c r="BP502" s="401">
        <f t="shared" si="665"/>
        <v>0</v>
      </c>
    </row>
    <row r="503" spans="4:68" outlineLevel="1" x14ac:dyDescent="0.2">
      <c r="D503" s="81" t="str">
        <f>$D$269</f>
        <v>Reactive replacement cost</v>
      </c>
      <c r="E503" s="80"/>
      <c r="F503" s="80"/>
      <c r="G503" s="477">
        <f>Assumptions!$H$202</f>
        <v>0</v>
      </c>
      <c r="H503" s="477">
        <f>Assumptions!$I$202</f>
        <v>1</v>
      </c>
      <c r="I503" s="83"/>
      <c r="J503" s="85" t="str">
        <f>Assumptions!$K$202</f>
        <v>Reactive replacement cost</v>
      </c>
      <c r="K503" s="401">
        <f t="shared" si="657"/>
        <v>0</v>
      </c>
      <c r="L503" s="436">
        <f t="shared" si="657"/>
        <v>0</v>
      </c>
      <c r="M503" s="457"/>
      <c r="N503" s="455"/>
      <c r="O503" s="455"/>
      <c r="P503" s="455"/>
      <c r="Q503" s="455"/>
      <c r="R503" s="401">
        <f t="shared" ref="R503:AW503" si="666">SUM(R346,R425)</f>
        <v>0</v>
      </c>
      <c r="S503" s="401">
        <f t="shared" si="666"/>
        <v>0</v>
      </c>
      <c r="T503" s="401">
        <f t="shared" si="666"/>
        <v>0</v>
      </c>
      <c r="U503" s="401">
        <f t="shared" si="666"/>
        <v>0</v>
      </c>
      <c r="V503" s="401">
        <f t="shared" si="666"/>
        <v>0</v>
      </c>
      <c r="W503" s="401">
        <f t="shared" si="666"/>
        <v>0</v>
      </c>
      <c r="X503" s="401">
        <f t="shared" si="666"/>
        <v>0</v>
      </c>
      <c r="Y503" s="401">
        <f t="shared" si="666"/>
        <v>0</v>
      </c>
      <c r="Z503" s="401">
        <f t="shared" si="666"/>
        <v>0</v>
      </c>
      <c r="AA503" s="401">
        <f t="shared" si="666"/>
        <v>0</v>
      </c>
      <c r="AB503" s="401">
        <f t="shared" si="666"/>
        <v>0</v>
      </c>
      <c r="AC503" s="401">
        <f t="shared" si="666"/>
        <v>0</v>
      </c>
      <c r="AD503" s="401">
        <f t="shared" si="666"/>
        <v>0</v>
      </c>
      <c r="AE503" s="401">
        <f t="shared" si="666"/>
        <v>0</v>
      </c>
      <c r="AF503" s="401">
        <f t="shared" si="666"/>
        <v>0</v>
      </c>
      <c r="AG503" s="401">
        <f t="shared" si="666"/>
        <v>0</v>
      </c>
      <c r="AH503" s="401">
        <f t="shared" si="666"/>
        <v>0</v>
      </c>
      <c r="AI503" s="401">
        <f t="shared" si="666"/>
        <v>0</v>
      </c>
      <c r="AJ503" s="401">
        <f t="shared" si="666"/>
        <v>0</v>
      </c>
      <c r="AK503" s="401">
        <f t="shared" si="666"/>
        <v>0</v>
      </c>
      <c r="AL503" s="401">
        <f t="shared" si="666"/>
        <v>0</v>
      </c>
      <c r="AM503" s="401">
        <f t="shared" si="666"/>
        <v>0</v>
      </c>
      <c r="AN503" s="401">
        <f t="shared" si="666"/>
        <v>0</v>
      </c>
      <c r="AO503" s="401">
        <f t="shared" si="666"/>
        <v>0</v>
      </c>
      <c r="AP503" s="401">
        <f t="shared" si="666"/>
        <v>0</v>
      </c>
      <c r="AQ503" s="401">
        <f t="shared" si="666"/>
        <v>0</v>
      </c>
      <c r="AR503" s="401">
        <f t="shared" si="666"/>
        <v>0</v>
      </c>
      <c r="AS503" s="401">
        <f t="shared" si="666"/>
        <v>0</v>
      </c>
      <c r="AT503" s="401">
        <f t="shared" si="666"/>
        <v>0</v>
      </c>
      <c r="AU503" s="401">
        <f t="shared" si="666"/>
        <v>0</v>
      </c>
      <c r="AV503" s="401">
        <f t="shared" si="666"/>
        <v>0</v>
      </c>
      <c r="AW503" s="401">
        <f t="shared" si="666"/>
        <v>0</v>
      </c>
      <c r="AX503" s="401">
        <f t="shared" ref="AX503:BP503" si="667">SUM(AX346,AX425)</f>
        <v>0</v>
      </c>
      <c r="AY503" s="401">
        <f t="shared" si="667"/>
        <v>0</v>
      </c>
      <c r="AZ503" s="401">
        <f t="shared" si="667"/>
        <v>0</v>
      </c>
      <c r="BA503" s="401">
        <f t="shared" si="667"/>
        <v>0</v>
      </c>
      <c r="BB503" s="401">
        <f t="shared" si="667"/>
        <v>0</v>
      </c>
      <c r="BC503" s="401">
        <f t="shared" si="667"/>
        <v>0</v>
      </c>
      <c r="BD503" s="401">
        <f t="shared" si="667"/>
        <v>0</v>
      </c>
      <c r="BE503" s="401">
        <f t="shared" si="667"/>
        <v>0</v>
      </c>
      <c r="BF503" s="401">
        <f t="shared" si="667"/>
        <v>0</v>
      </c>
      <c r="BG503" s="401">
        <f t="shared" si="667"/>
        <v>0</v>
      </c>
      <c r="BH503" s="401">
        <f t="shared" si="667"/>
        <v>0</v>
      </c>
      <c r="BI503" s="401">
        <f t="shared" si="667"/>
        <v>0</v>
      </c>
      <c r="BJ503" s="401">
        <f t="shared" si="667"/>
        <v>0</v>
      </c>
      <c r="BK503" s="401">
        <f t="shared" si="667"/>
        <v>0</v>
      </c>
      <c r="BL503" s="401">
        <f t="shared" si="667"/>
        <v>0</v>
      </c>
      <c r="BM503" s="401">
        <f t="shared" si="667"/>
        <v>0</v>
      </c>
      <c r="BN503" s="401">
        <f t="shared" si="667"/>
        <v>0</v>
      </c>
      <c r="BO503" s="401">
        <f t="shared" si="667"/>
        <v>0</v>
      </c>
      <c r="BP503" s="401">
        <f t="shared" si="667"/>
        <v>0</v>
      </c>
    </row>
    <row r="504" spans="4:68" outlineLevel="1" x14ac:dyDescent="0.2">
      <c r="D504" s="81" t="str">
        <f>$D$270</f>
        <v>3rd party property damage risk</v>
      </c>
      <c r="E504" s="80"/>
      <c r="F504" s="80"/>
      <c r="G504" s="477">
        <f>Assumptions!$H$203</f>
        <v>1</v>
      </c>
      <c r="H504" s="477">
        <f>Assumptions!$I$203</f>
        <v>0</v>
      </c>
      <c r="I504" s="83"/>
      <c r="J504" s="85" t="str">
        <f>Assumptions!$K$203</f>
        <v>3rd party property damage risk</v>
      </c>
      <c r="K504" s="401">
        <f t="shared" si="657"/>
        <v>0</v>
      </c>
      <c r="L504" s="436">
        <f t="shared" si="657"/>
        <v>0</v>
      </c>
      <c r="M504" s="457"/>
      <c r="N504" s="455"/>
      <c r="O504" s="455"/>
      <c r="P504" s="455"/>
      <c r="Q504" s="455"/>
      <c r="R504" s="401">
        <f t="shared" ref="R504:AW504" si="668">SUM(R347,R426)</f>
        <v>0</v>
      </c>
      <c r="S504" s="401">
        <f t="shared" si="668"/>
        <v>0</v>
      </c>
      <c r="T504" s="401">
        <f t="shared" si="668"/>
        <v>0</v>
      </c>
      <c r="U504" s="401">
        <f t="shared" si="668"/>
        <v>0</v>
      </c>
      <c r="V504" s="401">
        <f t="shared" si="668"/>
        <v>0</v>
      </c>
      <c r="W504" s="401">
        <f t="shared" si="668"/>
        <v>0</v>
      </c>
      <c r="X504" s="401">
        <f t="shared" si="668"/>
        <v>0</v>
      </c>
      <c r="Y504" s="401">
        <f t="shared" si="668"/>
        <v>0</v>
      </c>
      <c r="Z504" s="401">
        <f t="shared" si="668"/>
        <v>0</v>
      </c>
      <c r="AA504" s="401">
        <f t="shared" si="668"/>
        <v>0</v>
      </c>
      <c r="AB504" s="401">
        <f t="shared" si="668"/>
        <v>0</v>
      </c>
      <c r="AC504" s="401">
        <f t="shared" si="668"/>
        <v>0</v>
      </c>
      <c r="AD504" s="401">
        <f t="shared" si="668"/>
        <v>0</v>
      </c>
      <c r="AE504" s="401">
        <f t="shared" si="668"/>
        <v>0</v>
      </c>
      <c r="AF504" s="401">
        <f t="shared" si="668"/>
        <v>0</v>
      </c>
      <c r="AG504" s="401">
        <f t="shared" si="668"/>
        <v>0</v>
      </c>
      <c r="AH504" s="401">
        <f t="shared" si="668"/>
        <v>0</v>
      </c>
      <c r="AI504" s="401">
        <f t="shared" si="668"/>
        <v>0</v>
      </c>
      <c r="AJ504" s="401">
        <f t="shared" si="668"/>
        <v>0</v>
      </c>
      <c r="AK504" s="401">
        <f t="shared" si="668"/>
        <v>0</v>
      </c>
      <c r="AL504" s="401">
        <f t="shared" si="668"/>
        <v>0</v>
      </c>
      <c r="AM504" s="401">
        <f t="shared" si="668"/>
        <v>0</v>
      </c>
      <c r="AN504" s="401">
        <f t="shared" si="668"/>
        <v>0</v>
      </c>
      <c r="AO504" s="401">
        <f t="shared" si="668"/>
        <v>0</v>
      </c>
      <c r="AP504" s="401">
        <f t="shared" si="668"/>
        <v>0</v>
      </c>
      <c r="AQ504" s="401">
        <f t="shared" si="668"/>
        <v>0</v>
      </c>
      <c r="AR504" s="401">
        <f t="shared" si="668"/>
        <v>0</v>
      </c>
      <c r="AS504" s="401">
        <f t="shared" si="668"/>
        <v>0</v>
      </c>
      <c r="AT504" s="401">
        <f t="shared" si="668"/>
        <v>0</v>
      </c>
      <c r="AU504" s="401">
        <f t="shared" si="668"/>
        <v>0</v>
      </c>
      <c r="AV504" s="401">
        <f t="shared" si="668"/>
        <v>0</v>
      </c>
      <c r="AW504" s="401">
        <f t="shared" si="668"/>
        <v>0</v>
      </c>
      <c r="AX504" s="401">
        <f t="shared" ref="AX504:BP504" si="669">SUM(AX347,AX426)</f>
        <v>0</v>
      </c>
      <c r="AY504" s="401">
        <f t="shared" si="669"/>
        <v>0</v>
      </c>
      <c r="AZ504" s="401">
        <f t="shared" si="669"/>
        <v>0</v>
      </c>
      <c r="BA504" s="401">
        <f t="shared" si="669"/>
        <v>0</v>
      </c>
      <c r="BB504" s="401">
        <f t="shared" si="669"/>
        <v>0</v>
      </c>
      <c r="BC504" s="401">
        <f t="shared" si="669"/>
        <v>0</v>
      </c>
      <c r="BD504" s="401">
        <f t="shared" si="669"/>
        <v>0</v>
      </c>
      <c r="BE504" s="401">
        <f t="shared" si="669"/>
        <v>0</v>
      </c>
      <c r="BF504" s="401">
        <f t="shared" si="669"/>
        <v>0</v>
      </c>
      <c r="BG504" s="401">
        <f t="shared" si="669"/>
        <v>0</v>
      </c>
      <c r="BH504" s="401">
        <f t="shared" si="669"/>
        <v>0</v>
      </c>
      <c r="BI504" s="401">
        <f t="shared" si="669"/>
        <v>0</v>
      </c>
      <c r="BJ504" s="401">
        <f t="shared" si="669"/>
        <v>0</v>
      </c>
      <c r="BK504" s="401">
        <f t="shared" si="669"/>
        <v>0</v>
      </c>
      <c r="BL504" s="401">
        <f t="shared" si="669"/>
        <v>0</v>
      </c>
      <c r="BM504" s="401">
        <f t="shared" si="669"/>
        <v>0</v>
      </c>
      <c r="BN504" s="401">
        <f t="shared" si="669"/>
        <v>0</v>
      </c>
      <c r="BO504" s="401">
        <f t="shared" si="669"/>
        <v>0</v>
      </c>
      <c r="BP504" s="401">
        <f t="shared" si="669"/>
        <v>0</v>
      </c>
    </row>
    <row r="505" spans="4:68" outlineLevel="1" x14ac:dyDescent="0.2">
      <c r="D505" s="81" t="str">
        <f>$D$271</f>
        <v>Construction EUE risk</v>
      </c>
      <c r="E505" s="80"/>
      <c r="F505" s="80"/>
      <c r="G505" s="477">
        <f>Assumptions!$H$204</f>
        <v>0</v>
      </c>
      <c r="H505" s="477">
        <f>Assumptions!$I$204</f>
        <v>1</v>
      </c>
      <c r="I505" s="83"/>
      <c r="J505" s="85" t="str">
        <f>Assumptions!$K$204</f>
        <v>Construction EUE risk</v>
      </c>
      <c r="K505" s="401">
        <f t="shared" si="657"/>
        <v>0</v>
      </c>
      <c r="L505" s="436">
        <f t="shared" si="657"/>
        <v>0</v>
      </c>
      <c r="M505" s="457"/>
      <c r="N505" s="455"/>
      <c r="O505" s="455"/>
      <c r="P505" s="455"/>
      <c r="Q505" s="455"/>
      <c r="R505" s="401">
        <f t="shared" ref="R505:AW505" si="670">SUM(R348,R427)</f>
        <v>0</v>
      </c>
      <c r="S505" s="401">
        <f t="shared" si="670"/>
        <v>0</v>
      </c>
      <c r="T505" s="401">
        <f t="shared" si="670"/>
        <v>0</v>
      </c>
      <c r="U505" s="401">
        <f t="shared" si="670"/>
        <v>0</v>
      </c>
      <c r="V505" s="401">
        <f t="shared" si="670"/>
        <v>0</v>
      </c>
      <c r="W505" s="401">
        <f t="shared" si="670"/>
        <v>0</v>
      </c>
      <c r="X505" s="401">
        <f t="shared" si="670"/>
        <v>0</v>
      </c>
      <c r="Y505" s="401">
        <f t="shared" si="670"/>
        <v>0</v>
      </c>
      <c r="Z505" s="401">
        <f t="shared" si="670"/>
        <v>0</v>
      </c>
      <c r="AA505" s="401">
        <f t="shared" si="670"/>
        <v>0</v>
      </c>
      <c r="AB505" s="401">
        <f t="shared" si="670"/>
        <v>0</v>
      </c>
      <c r="AC505" s="401">
        <f t="shared" si="670"/>
        <v>0</v>
      </c>
      <c r="AD505" s="401">
        <f t="shared" si="670"/>
        <v>0</v>
      </c>
      <c r="AE505" s="401">
        <f t="shared" si="670"/>
        <v>0</v>
      </c>
      <c r="AF505" s="401">
        <f t="shared" si="670"/>
        <v>0</v>
      </c>
      <c r="AG505" s="401">
        <f t="shared" si="670"/>
        <v>0</v>
      </c>
      <c r="AH505" s="401">
        <f t="shared" si="670"/>
        <v>0</v>
      </c>
      <c r="AI505" s="401">
        <f t="shared" si="670"/>
        <v>0</v>
      </c>
      <c r="AJ505" s="401">
        <f t="shared" si="670"/>
        <v>0</v>
      </c>
      <c r="AK505" s="401">
        <f t="shared" si="670"/>
        <v>0</v>
      </c>
      <c r="AL505" s="401">
        <f t="shared" si="670"/>
        <v>0</v>
      </c>
      <c r="AM505" s="401">
        <f t="shared" si="670"/>
        <v>0</v>
      </c>
      <c r="AN505" s="401">
        <f t="shared" si="670"/>
        <v>0</v>
      </c>
      <c r="AO505" s="401">
        <f t="shared" si="670"/>
        <v>0</v>
      </c>
      <c r="AP505" s="401">
        <f t="shared" si="670"/>
        <v>0</v>
      </c>
      <c r="AQ505" s="401">
        <f t="shared" si="670"/>
        <v>0</v>
      </c>
      <c r="AR505" s="401">
        <f t="shared" si="670"/>
        <v>0</v>
      </c>
      <c r="AS505" s="401">
        <f t="shared" si="670"/>
        <v>0</v>
      </c>
      <c r="AT505" s="401">
        <f t="shared" si="670"/>
        <v>0</v>
      </c>
      <c r="AU505" s="401">
        <f t="shared" si="670"/>
        <v>0</v>
      </c>
      <c r="AV505" s="401">
        <f t="shared" si="670"/>
        <v>0</v>
      </c>
      <c r="AW505" s="401">
        <f t="shared" si="670"/>
        <v>0</v>
      </c>
      <c r="AX505" s="401">
        <f t="shared" ref="AX505:BP505" si="671">SUM(AX348,AX427)</f>
        <v>0</v>
      </c>
      <c r="AY505" s="401">
        <f t="shared" si="671"/>
        <v>0</v>
      </c>
      <c r="AZ505" s="401">
        <f t="shared" si="671"/>
        <v>0</v>
      </c>
      <c r="BA505" s="401">
        <f t="shared" si="671"/>
        <v>0</v>
      </c>
      <c r="BB505" s="401">
        <f t="shared" si="671"/>
        <v>0</v>
      </c>
      <c r="BC505" s="401">
        <f t="shared" si="671"/>
        <v>0</v>
      </c>
      <c r="BD505" s="401">
        <f t="shared" si="671"/>
        <v>0</v>
      </c>
      <c r="BE505" s="401">
        <f t="shared" si="671"/>
        <v>0</v>
      </c>
      <c r="BF505" s="401">
        <f t="shared" si="671"/>
        <v>0</v>
      </c>
      <c r="BG505" s="401">
        <f t="shared" si="671"/>
        <v>0</v>
      </c>
      <c r="BH505" s="401">
        <f t="shared" si="671"/>
        <v>0</v>
      </c>
      <c r="BI505" s="401">
        <f t="shared" si="671"/>
        <v>0</v>
      </c>
      <c r="BJ505" s="401">
        <f t="shared" si="671"/>
        <v>0</v>
      </c>
      <c r="BK505" s="401">
        <f t="shared" si="671"/>
        <v>0</v>
      </c>
      <c r="BL505" s="401">
        <f t="shared" si="671"/>
        <v>0</v>
      </c>
      <c r="BM505" s="401">
        <f t="shared" si="671"/>
        <v>0</v>
      </c>
      <c r="BN505" s="401">
        <f t="shared" si="671"/>
        <v>0</v>
      </c>
      <c r="BO505" s="401">
        <f t="shared" si="671"/>
        <v>0</v>
      </c>
      <c r="BP505" s="401">
        <f t="shared" si="671"/>
        <v>0</v>
      </c>
    </row>
    <row r="506" spans="4:68" outlineLevel="1" x14ac:dyDescent="0.2">
      <c r="D506" s="81" t="str">
        <f>$D$272</f>
        <v>Carbon emissions</v>
      </c>
      <c r="E506" s="80"/>
      <c r="F506" s="80"/>
      <c r="G506" s="477">
        <f>Assumptions!$H$205</f>
        <v>0</v>
      </c>
      <c r="H506" s="477">
        <f>Assumptions!$I$205</f>
        <v>1</v>
      </c>
      <c r="I506" s="83"/>
      <c r="J506" s="85" t="str">
        <f>Assumptions!$K$205</f>
        <v>Carbon emissions</v>
      </c>
      <c r="K506" s="401">
        <f t="shared" si="657"/>
        <v>0</v>
      </c>
      <c r="L506" s="436">
        <f t="shared" si="657"/>
        <v>0</v>
      </c>
      <c r="M506" s="457"/>
      <c r="N506" s="455"/>
      <c r="O506" s="455"/>
      <c r="P506" s="455"/>
      <c r="Q506" s="455"/>
      <c r="R506" s="401">
        <f t="shared" ref="R506:AW506" si="672">SUM(R349,R428)</f>
        <v>0</v>
      </c>
      <c r="S506" s="401">
        <f t="shared" si="672"/>
        <v>0</v>
      </c>
      <c r="T506" s="401">
        <f t="shared" si="672"/>
        <v>0</v>
      </c>
      <c r="U506" s="401">
        <f t="shared" si="672"/>
        <v>0</v>
      </c>
      <c r="V506" s="401">
        <f t="shared" si="672"/>
        <v>0</v>
      </c>
      <c r="W506" s="401">
        <f t="shared" si="672"/>
        <v>0</v>
      </c>
      <c r="X506" s="401">
        <f t="shared" si="672"/>
        <v>0</v>
      </c>
      <c r="Y506" s="401">
        <f t="shared" si="672"/>
        <v>0</v>
      </c>
      <c r="Z506" s="401">
        <f t="shared" si="672"/>
        <v>0</v>
      </c>
      <c r="AA506" s="401">
        <f t="shared" si="672"/>
        <v>0</v>
      </c>
      <c r="AB506" s="401">
        <f t="shared" si="672"/>
        <v>0</v>
      </c>
      <c r="AC506" s="401">
        <f t="shared" si="672"/>
        <v>0</v>
      </c>
      <c r="AD506" s="401">
        <f t="shared" si="672"/>
        <v>0</v>
      </c>
      <c r="AE506" s="401">
        <f t="shared" si="672"/>
        <v>0</v>
      </c>
      <c r="AF506" s="401">
        <f t="shared" si="672"/>
        <v>0</v>
      </c>
      <c r="AG506" s="401">
        <f t="shared" si="672"/>
        <v>0</v>
      </c>
      <c r="AH506" s="401">
        <f t="shared" si="672"/>
        <v>0</v>
      </c>
      <c r="AI506" s="401">
        <f t="shared" si="672"/>
        <v>0</v>
      </c>
      <c r="AJ506" s="401">
        <f t="shared" si="672"/>
        <v>0</v>
      </c>
      <c r="AK506" s="401">
        <f t="shared" si="672"/>
        <v>0</v>
      </c>
      <c r="AL506" s="401">
        <f t="shared" si="672"/>
        <v>0</v>
      </c>
      <c r="AM506" s="401">
        <f t="shared" si="672"/>
        <v>0</v>
      </c>
      <c r="AN506" s="401">
        <f t="shared" si="672"/>
        <v>0</v>
      </c>
      <c r="AO506" s="401">
        <f t="shared" si="672"/>
        <v>0</v>
      </c>
      <c r="AP506" s="401">
        <f t="shared" si="672"/>
        <v>0</v>
      </c>
      <c r="AQ506" s="401">
        <f t="shared" si="672"/>
        <v>0</v>
      </c>
      <c r="AR506" s="401">
        <f t="shared" si="672"/>
        <v>0</v>
      </c>
      <c r="AS506" s="401">
        <f t="shared" si="672"/>
        <v>0</v>
      </c>
      <c r="AT506" s="401">
        <f t="shared" si="672"/>
        <v>0</v>
      </c>
      <c r="AU506" s="401">
        <f t="shared" si="672"/>
        <v>0</v>
      </c>
      <c r="AV506" s="401">
        <f t="shared" si="672"/>
        <v>0</v>
      </c>
      <c r="AW506" s="401">
        <f t="shared" si="672"/>
        <v>0</v>
      </c>
      <c r="AX506" s="401">
        <f t="shared" ref="AX506:BP506" si="673">SUM(AX349,AX428)</f>
        <v>0</v>
      </c>
      <c r="AY506" s="401">
        <f t="shared" si="673"/>
        <v>0</v>
      </c>
      <c r="AZ506" s="401">
        <f t="shared" si="673"/>
        <v>0</v>
      </c>
      <c r="BA506" s="401">
        <f t="shared" si="673"/>
        <v>0</v>
      </c>
      <c r="BB506" s="401">
        <f t="shared" si="673"/>
        <v>0</v>
      </c>
      <c r="BC506" s="401">
        <f t="shared" si="673"/>
        <v>0</v>
      </c>
      <c r="BD506" s="401">
        <f t="shared" si="673"/>
        <v>0</v>
      </c>
      <c r="BE506" s="401">
        <f t="shared" si="673"/>
        <v>0</v>
      </c>
      <c r="BF506" s="401">
        <f t="shared" si="673"/>
        <v>0</v>
      </c>
      <c r="BG506" s="401">
        <f t="shared" si="673"/>
        <v>0</v>
      </c>
      <c r="BH506" s="401">
        <f t="shared" si="673"/>
        <v>0</v>
      </c>
      <c r="BI506" s="401">
        <f t="shared" si="673"/>
        <v>0</v>
      </c>
      <c r="BJ506" s="401">
        <f t="shared" si="673"/>
        <v>0</v>
      </c>
      <c r="BK506" s="401">
        <f t="shared" si="673"/>
        <v>0</v>
      </c>
      <c r="BL506" s="401">
        <f t="shared" si="673"/>
        <v>0</v>
      </c>
      <c r="BM506" s="401">
        <f t="shared" si="673"/>
        <v>0</v>
      </c>
      <c r="BN506" s="401">
        <f t="shared" si="673"/>
        <v>0</v>
      </c>
      <c r="BO506" s="401">
        <f t="shared" si="673"/>
        <v>0</v>
      </c>
      <c r="BP506" s="401">
        <f t="shared" si="673"/>
        <v>0</v>
      </c>
    </row>
    <row r="507" spans="4:68" outlineLevel="1" x14ac:dyDescent="0.2">
      <c r="D507" s="81" t="str">
        <f>$D$273</f>
        <v>Protective security risk</v>
      </c>
      <c r="E507" s="80"/>
      <c r="F507" s="80"/>
      <c r="G507" s="83"/>
      <c r="H507" s="83"/>
      <c r="I507" s="83"/>
      <c r="J507" s="85"/>
      <c r="K507" s="401"/>
      <c r="L507" s="436"/>
      <c r="M507" s="457"/>
      <c r="N507" s="455"/>
      <c r="O507" s="455"/>
      <c r="P507" s="455"/>
      <c r="Q507" s="455"/>
      <c r="R507" s="455"/>
      <c r="S507" s="455"/>
      <c r="T507" s="455"/>
      <c r="U507" s="455"/>
      <c r="V507" s="455"/>
      <c r="W507" s="455"/>
      <c r="X507" s="455"/>
      <c r="Y507" s="455"/>
      <c r="Z507" s="455"/>
      <c r="AA507" s="455"/>
      <c r="AB507" s="455"/>
      <c r="AC507" s="455"/>
      <c r="AD507" s="455"/>
      <c r="AE507" s="455"/>
      <c r="AF507" s="455"/>
      <c r="AG507" s="455"/>
      <c r="AH507" s="455"/>
      <c r="AI507" s="455"/>
      <c r="AJ507" s="455"/>
      <c r="AK507" s="455"/>
      <c r="AL507" s="455"/>
      <c r="AM507" s="455"/>
      <c r="AN507" s="455"/>
      <c r="AO507" s="455"/>
      <c r="AP507" s="455"/>
      <c r="AQ507" s="455"/>
      <c r="AR507" s="455"/>
      <c r="AS507" s="455"/>
      <c r="AT507" s="455"/>
      <c r="AU507" s="455"/>
      <c r="AV507" s="455"/>
      <c r="AW507" s="455"/>
      <c r="AX507" s="455"/>
      <c r="AY507" s="455"/>
      <c r="AZ507" s="455"/>
      <c r="BA507" s="455"/>
      <c r="BB507" s="455"/>
      <c r="BC507" s="455"/>
      <c r="BD507" s="455"/>
      <c r="BE507" s="455"/>
      <c r="BF507" s="455"/>
      <c r="BG507" s="455"/>
      <c r="BH507" s="455"/>
      <c r="BI507" s="455"/>
      <c r="BJ507" s="455"/>
      <c r="BK507" s="455"/>
      <c r="BL507" s="455"/>
      <c r="BM507" s="455"/>
      <c r="BN507" s="455"/>
      <c r="BO507" s="455"/>
      <c r="BP507" s="455"/>
    </row>
    <row r="508" spans="4:68" outlineLevel="1" x14ac:dyDescent="0.2">
      <c r="D508" s="402" t="str">
        <f>$D$274</f>
        <v>Cost to respond to crisis</v>
      </c>
      <c r="E508" s="80"/>
      <c r="F508" s="80"/>
      <c r="G508" s="477">
        <f>Assumptions!$H$207</f>
        <v>1</v>
      </c>
      <c r="H508" s="477">
        <f>Assumptions!$I$207</f>
        <v>0</v>
      </c>
      <c r="I508" s="83"/>
      <c r="J508" s="85" t="str">
        <f>Assumptions!$K$207</f>
        <v>Protective security risk</v>
      </c>
      <c r="K508" s="401">
        <f>SUM(K351,K430)</f>
        <v>0</v>
      </c>
      <c r="L508" s="436">
        <f>SUM(L351,L430)</f>
        <v>0</v>
      </c>
      <c r="M508" s="457"/>
      <c r="N508" s="455"/>
      <c r="O508" s="455"/>
      <c r="P508" s="455"/>
      <c r="Q508" s="455"/>
      <c r="R508" s="401">
        <f t="shared" ref="R508:AW508" si="674">SUM(R351,R430)</f>
        <v>0</v>
      </c>
      <c r="S508" s="401">
        <f t="shared" si="674"/>
        <v>0</v>
      </c>
      <c r="T508" s="401">
        <f t="shared" si="674"/>
        <v>0</v>
      </c>
      <c r="U508" s="401">
        <f t="shared" si="674"/>
        <v>0</v>
      </c>
      <c r="V508" s="401">
        <f t="shared" si="674"/>
        <v>0</v>
      </c>
      <c r="W508" s="401">
        <f t="shared" si="674"/>
        <v>0</v>
      </c>
      <c r="X508" s="401">
        <f t="shared" si="674"/>
        <v>0</v>
      </c>
      <c r="Y508" s="401">
        <f t="shared" si="674"/>
        <v>0</v>
      </c>
      <c r="Z508" s="401">
        <f t="shared" si="674"/>
        <v>0</v>
      </c>
      <c r="AA508" s="401">
        <f t="shared" si="674"/>
        <v>0</v>
      </c>
      <c r="AB508" s="401">
        <f t="shared" si="674"/>
        <v>0</v>
      </c>
      <c r="AC508" s="401">
        <f t="shared" si="674"/>
        <v>0</v>
      </c>
      <c r="AD508" s="401">
        <f t="shared" si="674"/>
        <v>0</v>
      </c>
      <c r="AE508" s="401">
        <f t="shared" si="674"/>
        <v>0</v>
      </c>
      <c r="AF508" s="401">
        <f t="shared" si="674"/>
        <v>0</v>
      </c>
      <c r="AG508" s="401">
        <f t="shared" si="674"/>
        <v>0</v>
      </c>
      <c r="AH508" s="401">
        <f t="shared" si="674"/>
        <v>0</v>
      </c>
      <c r="AI508" s="401">
        <f t="shared" si="674"/>
        <v>0</v>
      </c>
      <c r="AJ508" s="401">
        <f t="shared" si="674"/>
        <v>0</v>
      </c>
      <c r="AK508" s="401">
        <f t="shared" si="674"/>
        <v>0</v>
      </c>
      <c r="AL508" s="401">
        <f t="shared" si="674"/>
        <v>0</v>
      </c>
      <c r="AM508" s="401">
        <f t="shared" si="674"/>
        <v>0</v>
      </c>
      <c r="AN508" s="401">
        <f t="shared" si="674"/>
        <v>0</v>
      </c>
      <c r="AO508" s="401">
        <f t="shared" si="674"/>
        <v>0</v>
      </c>
      <c r="AP508" s="401">
        <f t="shared" si="674"/>
        <v>0</v>
      </c>
      <c r="AQ508" s="401">
        <f t="shared" si="674"/>
        <v>0</v>
      </c>
      <c r="AR508" s="401">
        <f t="shared" si="674"/>
        <v>0</v>
      </c>
      <c r="AS508" s="401">
        <f t="shared" si="674"/>
        <v>0</v>
      </c>
      <c r="AT508" s="401">
        <f t="shared" si="674"/>
        <v>0</v>
      </c>
      <c r="AU508" s="401">
        <f t="shared" si="674"/>
        <v>0</v>
      </c>
      <c r="AV508" s="401">
        <f t="shared" si="674"/>
        <v>0</v>
      </c>
      <c r="AW508" s="401">
        <f t="shared" si="674"/>
        <v>0</v>
      </c>
      <c r="AX508" s="401">
        <f t="shared" ref="AX508:BP508" si="675">SUM(AX351,AX430)</f>
        <v>0</v>
      </c>
      <c r="AY508" s="401">
        <f t="shared" si="675"/>
        <v>0</v>
      </c>
      <c r="AZ508" s="401">
        <f t="shared" si="675"/>
        <v>0</v>
      </c>
      <c r="BA508" s="401">
        <f t="shared" si="675"/>
        <v>0</v>
      </c>
      <c r="BB508" s="401">
        <f t="shared" si="675"/>
        <v>0</v>
      </c>
      <c r="BC508" s="401">
        <f t="shared" si="675"/>
        <v>0</v>
      </c>
      <c r="BD508" s="401">
        <f t="shared" si="675"/>
        <v>0</v>
      </c>
      <c r="BE508" s="401">
        <f t="shared" si="675"/>
        <v>0</v>
      </c>
      <c r="BF508" s="401">
        <f t="shared" si="675"/>
        <v>0</v>
      </c>
      <c r="BG508" s="401">
        <f t="shared" si="675"/>
        <v>0</v>
      </c>
      <c r="BH508" s="401">
        <f t="shared" si="675"/>
        <v>0</v>
      </c>
      <c r="BI508" s="401">
        <f t="shared" si="675"/>
        <v>0</v>
      </c>
      <c r="BJ508" s="401">
        <f t="shared" si="675"/>
        <v>0</v>
      </c>
      <c r="BK508" s="401">
        <f t="shared" si="675"/>
        <v>0</v>
      </c>
      <c r="BL508" s="401">
        <f t="shared" si="675"/>
        <v>0</v>
      </c>
      <c r="BM508" s="401">
        <f t="shared" si="675"/>
        <v>0</v>
      </c>
      <c r="BN508" s="401">
        <f t="shared" si="675"/>
        <v>0</v>
      </c>
      <c r="BO508" s="401">
        <f t="shared" si="675"/>
        <v>0</v>
      </c>
      <c r="BP508" s="401">
        <f t="shared" si="675"/>
        <v>0</v>
      </c>
    </row>
    <row r="509" spans="4:68" outlineLevel="1" x14ac:dyDescent="0.2">
      <c r="D509" s="402" t="str">
        <f>$D$275</f>
        <v>Loss productive time</v>
      </c>
      <c r="E509" s="80"/>
      <c r="F509" s="80"/>
      <c r="G509" s="83"/>
      <c r="H509" s="83"/>
      <c r="I509" s="83"/>
      <c r="J509" s="85"/>
      <c r="K509" s="401"/>
      <c r="L509" s="436"/>
      <c r="M509" s="457"/>
      <c r="N509" s="455"/>
      <c r="O509" s="455"/>
      <c r="P509" s="455"/>
      <c r="Q509" s="455"/>
      <c r="R509" s="455"/>
      <c r="S509" s="455"/>
      <c r="T509" s="455"/>
      <c r="U509" s="455"/>
      <c r="V509" s="455"/>
      <c r="W509" s="455"/>
      <c r="X509" s="455"/>
      <c r="Y509" s="455"/>
      <c r="Z509" s="455"/>
      <c r="AA509" s="455"/>
      <c r="AB509" s="455"/>
      <c r="AC509" s="455"/>
      <c r="AD509" s="455"/>
      <c r="AE509" s="455"/>
      <c r="AF509" s="455"/>
      <c r="AG509" s="455"/>
      <c r="AH509" s="455"/>
      <c r="AI509" s="455"/>
      <c r="AJ509" s="455"/>
      <c r="AK509" s="455"/>
      <c r="AL509" s="455"/>
      <c r="AM509" s="455"/>
      <c r="AN509" s="455"/>
      <c r="AO509" s="455"/>
      <c r="AP509" s="455"/>
      <c r="AQ509" s="455"/>
      <c r="AR509" s="455"/>
      <c r="AS509" s="455"/>
      <c r="AT509" s="455"/>
      <c r="AU509" s="455"/>
      <c r="AV509" s="455"/>
      <c r="AW509" s="455"/>
      <c r="AX509" s="455"/>
      <c r="AY509" s="455"/>
      <c r="AZ509" s="455"/>
      <c r="BA509" s="455"/>
      <c r="BB509" s="455"/>
      <c r="BC509" s="455"/>
      <c r="BD509" s="455"/>
      <c r="BE509" s="455"/>
      <c r="BF509" s="455"/>
      <c r="BG509" s="455"/>
      <c r="BH509" s="455"/>
      <c r="BI509" s="455"/>
      <c r="BJ509" s="455"/>
      <c r="BK509" s="455"/>
      <c r="BL509" s="455"/>
      <c r="BM509" s="455"/>
      <c r="BN509" s="455"/>
      <c r="BO509" s="455"/>
      <c r="BP509" s="455"/>
    </row>
    <row r="510" spans="4:68" outlineLevel="1" x14ac:dyDescent="0.2">
      <c r="D510" s="403" t="str">
        <f>$D$276</f>
        <v>Additional capex completed without additional labour cost</v>
      </c>
      <c r="E510" s="80"/>
      <c r="F510" s="80"/>
      <c r="G510" s="477">
        <f>Assumptions!$H$209</f>
        <v>1</v>
      </c>
      <c r="H510" s="477">
        <f>Assumptions!$I$209</f>
        <v>0</v>
      </c>
      <c r="I510" s="83"/>
      <c r="J510" s="85" t="str">
        <f>Assumptions!$K$209</f>
        <v>Protective security risk</v>
      </c>
      <c r="K510" s="401">
        <f t="shared" ref="K510:L514" si="676">SUM(K353,K432)</f>
        <v>0</v>
      </c>
      <c r="L510" s="436">
        <f t="shared" si="676"/>
        <v>0</v>
      </c>
      <c r="M510" s="457"/>
      <c r="N510" s="455"/>
      <c r="O510" s="455"/>
      <c r="P510" s="455"/>
      <c r="Q510" s="455"/>
      <c r="R510" s="401">
        <f t="shared" ref="R510:AW510" si="677">SUM(R353,R432)</f>
        <v>0</v>
      </c>
      <c r="S510" s="401">
        <f t="shared" si="677"/>
        <v>0</v>
      </c>
      <c r="T510" s="401">
        <f t="shared" si="677"/>
        <v>0</v>
      </c>
      <c r="U510" s="401">
        <f t="shared" si="677"/>
        <v>0</v>
      </c>
      <c r="V510" s="401">
        <f t="shared" si="677"/>
        <v>0</v>
      </c>
      <c r="W510" s="401">
        <f t="shared" si="677"/>
        <v>0</v>
      </c>
      <c r="X510" s="401">
        <f t="shared" si="677"/>
        <v>0</v>
      </c>
      <c r="Y510" s="401">
        <f t="shared" si="677"/>
        <v>0</v>
      </c>
      <c r="Z510" s="401">
        <f t="shared" si="677"/>
        <v>0</v>
      </c>
      <c r="AA510" s="401">
        <f t="shared" si="677"/>
        <v>0</v>
      </c>
      <c r="AB510" s="401">
        <f t="shared" si="677"/>
        <v>0</v>
      </c>
      <c r="AC510" s="401">
        <f t="shared" si="677"/>
        <v>0</v>
      </c>
      <c r="AD510" s="401">
        <f t="shared" si="677"/>
        <v>0</v>
      </c>
      <c r="AE510" s="401">
        <f t="shared" si="677"/>
        <v>0</v>
      </c>
      <c r="AF510" s="401">
        <f t="shared" si="677"/>
        <v>0</v>
      </c>
      <c r="AG510" s="401">
        <f t="shared" si="677"/>
        <v>0</v>
      </c>
      <c r="AH510" s="401">
        <f t="shared" si="677"/>
        <v>0</v>
      </c>
      <c r="AI510" s="401">
        <f t="shared" si="677"/>
        <v>0</v>
      </c>
      <c r="AJ510" s="401">
        <f t="shared" si="677"/>
        <v>0</v>
      </c>
      <c r="AK510" s="401">
        <f t="shared" si="677"/>
        <v>0</v>
      </c>
      <c r="AL510" s="401">
        <f t="shared" si="677"/>
        <v>0</v>
      </c>
      <c r="AM510" s="401">
        <f t="shared" si="677"/>
        <v>0</v>
      </c>
      <c r="AN510" s="401">
        <f t="shared" si="677"/>
        <v>0</v>
      </c>
      <c r="AO510" s="401">
        <f t="shared" si="677"/>
        <v>0</v>
      </c>
      <c r="AP510" s="401">
        <f t="shared" si="677"/>
        <v>0</v>
      </c>
      <c r="AQ510" s="401">
        <f t="shared" si="677"/>
        <v>0</v>
      </c>
      <c r="AR510" s="401">
        <f t="shared" si="677"/>
        <v>0</v>
      </c>
      <c r="AS510" s="401">
        <f t="shared" si="677"/>
        <v>0</v>
      </c>
      <c r="AT510" s="401">
        <f t="shared" si="677"/>
        <v>0</v>
      </c>
      <c r="AU510" s="401">
        <f t="shared" si="677"/>
        <v>0</v>
      </c>
      <c r="AV510" s="401">
        <f t="shared" si="677"/>
        <v>0</v>
      </c>
      <c r="AW510" s="401">
        <f t="shared" si="677"/>
        <v>0</v>
      </c>
      <c r="AX510" s="401">
        <f t="shared" ref="AX510:BP510" si="678">SUM(AX353,AX432)</f>
        <v>0</v>
      </c>
      <c r="AY510" s="401">
        <f t="shared" si="678"/>
        <v>0</v>
      </c>
      <c r="AZ510" s="401">
        <f t="shared" si="678"/>
        <v>0</v>
      </c>
      <c r="BA510" s="401">
        <f t="shared" si="678"/>
        <v>0</v>
      </c>
      <c r="BB510" s="401">
        <f t="shared" si="678"/>
        <v>0</v>
      </c>
      <c r="BC510" s="401">
        <f t="shared" si="678"/>
        <v>0</v>
      </c>
      <c r="BD510" s="401">
        <f t="shared" si="678"/>
        <v>0</v>
      </c>
      <c r="BE510" s="401">
        <f t="shared" si="678"/>
        <v>0</v>
      </c>
      <c r="BF510" s="401">
        <f t="shared" si="678"/>
        <v>0</v>
      </c>
      <c r="BG510" s="401">
        <f t="shared" si="678"/>
        <v>0</v>
      </c>
      <c r="BH510" s="401">
        <f t="shared" si="678"/>
        <v>0</v>
      </c>
      <c r="BI510" s="401">
        <f t="shared" si="678"/>
        <v>0</v>
      </c>
      <c r="BJ510" s="401">
        <f t="shared" si="678"/>
        <v>0</v>
      </c>
      <c r="BK510" s="401">
        <f t="shared" si="678"/>
        <v>0</v>
      </c>
      <c r="BL510" s="401">
        <f t="shared" si="678"/>
        <v>0</v>
      </c>
      <c r="BM510" s="401">
        <f t="shared" si="678"/>
        <v>0</v>
      </c>
      <c r="BN510" s="401">
        <f t="shared" si="678"/>
        <v>0</v>
      </c>
      <c r="BO510" s="401">
        <f t="shared" si="678"/>
        <v>0</v>
      </c>
      <c r="BP510" s="401">
        <f t="shared" si="678"/>
        <v>0</v>
      </c>
    </row>
    <row r="511" spans="4:68" outlineLevel="1" x14ac:dyDescent="0.2">
      <c r="D511" s="403" t="str">
        <f>$D$277</f>
        <v>Decrease in opex costs</v>
      </c>
      <c r="E511" s="80"/>
      <c r="F511" s="80"/>
      <c r="G511" s="477">
        <f>Assumptions!$H$210</f>
        <v>1</v>
      </c>
      <c r="H511" s="477">
        <f>Assumptions!$I$210</f>
        <v>1</v>
      </c>
      <c r="I511" s="83"/>
      <c r="J511" s="85" t="str">
        <f>Assumptions!$K$210</f>
        <v>Protective security risk</v>
      </c>
      <c r="K511" s="401">
        <f t="shared" si="676"/>
        <v>0</v>
      </c>
      <c r="L511" s="436">
        <f t="shared" si="676"/>
        <v>0</v>
      </c>
      <c r="M511" s="457"/>
      <c r="N511" s="455"/>
      <c r="O511" s="455"/>
      <c r="P511" s="455"/>
      <c r="Q511" s="455"/>
      <c r="R511" s="401">
        <f t="shared" ref="R511:AW511" si="679">SUM(R354,R433)</f>
        <v>0</v>
      </c>
      <c r="S511" s="401">
        <f t="shared" si="679"/>
        <v>0</v>
      </c>
      <c r="T511" s="401">
        <f t="shared" si="679"/>
        <v>0</v>
      </c>
      <c r="U511" s="401">
        <f t="shared" si="679"/>
        <v>0</v>
      </c>
      <c r="V511" s="401">
        <f t="shared" si="679"/>
        <v>0</v>
      </c>
      <c r="W511" s="401">
        <f t="shared" si="679"/>
        <v>0</v>
      </c>
      <c r="X511" s="401">
        <f t="shared" si="679"/>
        <v>0</v>
      </c>
      <c r="Y511" s="401">
        <f t="shared" si="679"/>
        <v>0</v>
      </c>
      <c r="Z511" s="401">
        <f t="shared" si="679"/>
        <v>0</v>
      </c>
      <c r="AA511" s="401">
        <f t="shared" si="679"/>
        <v>0</v>
      </c>
      <c r="AB511" s="401">
        <f t="shared" si="679"/>
        <v>0</v>
      </c>
      <c r="AC511" s="401">
        <f t="shared" si="679"/>
        <v>0</v>
      </c>
      <c r="AD511" s="401">
        <f t="shared" si="679"/>
        <v>0</v>
      </c>
      <c r="AE511" s="401">
        <f t="shared" si="679"/>
        <v>0</v>
      </c>
      <c r="AF511" s="401">
        <f t="shared" si="679"/>
        <v>0</v>
      </c>
      <c r="AG511" s="401">
        <f t="shared" si="679"/>
        <v>0</v>
      </c>
      <c r="AH511" s="401">
        <f t="shared" si="679"/>
        <v>0</v>
      </c>
      <c r="AI511" s="401">
        <f t="shared" si="679"/>
        <v>0</v>
      </c>
      <c r="AJ511" s="401">
        <f t="shared" si="679"/>
        <v>0</v>
      </c>
      <c r="AK511" s="401">
        <f t="shared" si="679"/>
        <v>0</v>
      </c>
      <c r="AL511" s="401">
        <f t="shared" si="679"/>
        <v>0</v>
      </c>
      <c r="AM511" s="401">
        <f t="shared" si="679"/>
        <v>0</v>
      </c>
      <c r="AN511" s="401">
        <f t="shared" si="679"/>
        <v>0</v>
      </c>
      <c r="AO511" s="401">
        <f t="shared" si="679"/>
        <v>0</v>
      </c>
      <c r="AP511" s="401">
        <f t="shared" si="679"/>
        <v>0</v>
      </c>
      <c r="AQ511" s="401">
        <f t="shared" si="679"/>
        <v>0</v>
      </c>
      <c r="AR511" s="401">
        <f t="shared" si="679"/>
        <v>0</v>
      </c>
      <c r="AS511" s="401">
        <f t="shared" si="679"/>
        <v>0</v>
      </c>
      <c r="AT511" s="401">
        <f t="shared" si="679"/>
        <v>0</v>
      </c>
      <c r="AU511" s="401">
        <f t="shared" si="679"/>
        <v>0</v>
      </c>
      <c r="AV511" s="401">
        <f t="shared" si="679"/>
        <v>0</v>
      </c>
      <c r="AW511" s="401">
        <f t="shared" si="679"/>
        <v>0</v>
      </c>
      <c r="AX511" s="401">
        <f t="shared" ref="AX511:BP511" si="680">SUM(AX354,AX433)</f>
        <v>0</v>
      </c>
      <c r="AY511" s="401">
        <f t="shared" si="680"/>
        <v>0</v>
      </c>
      <c r="AZ511" s="401">
        <f t="shared" si="680"/>
        <v>0</v>
      </c>
      <c r="BA511" s="401">
        <f t="shared" si="680"/>
        <v>0</v>
      </c>
      <c r="BB511" s="401">
        <f t="shared" si="680"/>
        <v>0</v>
      </c>
      <c r="BC511" s="401">
        <f t="shared" si="680"/>
        <v>0</v>
      </c>
      <c r="BD511" s="401">
        <f t="shared" si="680"/>
        <v>0</v>
      </c>
      <c r="BE511" s="401">
        <f t="shared" si="680"/>
        <v>0</v>
      </c>
      <c r="BF511" s="401">
        <f t="shared" si="680"/>
        <v>0</v>
      </c>
      <c r="BG511" s="401">
        <f t="shared" si="680"/>
        <v>0</v>
      </c>
      <c r="BH511" s="401">
        <f t="shared" si="680"/>
        <v>0</v>
      </c>
      <c r="BI511" s="401">
        <f t="shared" si="680"/>
        <v>0</v>
      </c>
      <c r="BJ511" s="401">
        <f t="shared" si="680"/>
        <v>0</v>
      </c>
      <c r="BK511" s="401">
        <f t="shared" si="680"/>
        <v>0</v>
      </c>
      <c r="BL511" s="401">
        <f t="shared" si="680"/>
        <v>0</v>
      </c>
      <c r="BM511" s="401">
        <f t="shared" si="680"/>
        <v>0</v>
      </c>
      <c r="BN511" s="401">
        <f t="shared" si="680"/>
        <v>0</v>
      </c>
      <c r="BO511" s="401">
        <f t="shared" si="680"/>
        <v>0</v>
      </c>
      <c r="BP511" s="401">
        <f t="shared" si="680"/>
        <v>0</v>
      </c>
    </row>
    <row r="512" spans="4:68" outlineLevel="1" x14ac:dyDescent="0.2">
      <c r="D512" s="402" t="str">
        <f>$D$278</f>
        <v>Fines and penalties</v>
      </c>
      <c r="E512" s="80"/>
      <c r="F512" s="80"/>
      <c r="G512" s="477">
        <f>Assumptions!$H$211</f>
        <v>1</v>
      </c>
      <c r="H512" s="477">
        <f>Assumptions!$I$211</f>
        <v>0</v>
      </c>
      <c r="I512" s="83"/>
      <c r="J512" s="85" t="str">
        <f>Assumptions!$K$211</f>
        <v>Protective security risk</v>
      </c>
      <c r="K512" s="401">
        <f t="shared" si="676"/>
        <v>0</v>
      </c>
      <c r="L512" s="436">
        <f t="shared" si="676"/>
        <v>0</v>
      </c>
      <c r="M512" s="457"/>
      <c r="N512" s="455"/>
      <c r="O512" s="455"/>
      <c r="P512" s="455"/>
      <c r="Q512" s="455"/>
      <c r="R512" s="401">
        <f t="shared" ref="R512:AW512" si="681">SUM(R355,R434)</f>
        <v>0</v>
      </c>
      <c r="S512" s="401">
        <f t="shared" si="681"/>
        <v>0</v>
      </c>
      <c r="T512" s="401">
        <f t="shared" si="681"/>
        <v>0</v>
      </c>
      <c r="U512" s="401">
        <f t="shared" si="681"/>
        <v>0</v>
      </c>
      <c r="V512" s="401">
        <f t="shared" si="681"/>
        <v>0</v>
      </c>
      <c r="W512" s="401">
        <f t="shared" si="681"/>
        <v>0</v>
      </c>
      <c r="X512" s="401">
        <f t="shared" si="681"/>
        <v>0</v>
      </c>
      <c r="Y512" s="401">
        <f t="shared" si="681"/>
        <v>0</v>
      </c>
      <c r="Z512" s="401">
        <f t="shared" si="681"/>
        <v>0</v>
      </c>
      <c r="AA512" s="401">
        <f t="shared" si="681"/>
        <v>0</v>
      </c>
      <c r="AB512" s="401">
        <f t="shared" si="681"/>
        <v>0</v>
      </c>
      <c r="AC512" s="401">
        <f t="shared" si="681"/>
        <v>0</v>
      </c>
      <c r="AD512" s="401">
        <f t="shared" si="681"/>
        <v>0</v>
      </c>
      <c r="AE512" s="401">
        <f t="shared" si="681"/>
        <v>0</v>
      </c>
      <c r="AF512" s="401">
        <f t="shared" si="681"/>
        <v>0</v>
      </c>
      <c r="AG512" s="401">
        <f t="shared" si="681"/>
        <v>0</v>
      </c>
      <c r="AH512" s="401">
        <f t="shared" si="681"/>
        <v>0</v>
      </c>
      <c r="AI512" s="401">
        <f t="shared" si="681"/>
        <v>0</v>
      </c>
      <c r="AJ512" s="401">
        <f t="shared" si="681"/>
        <v>0</v>
      </c>
      <c r="AK512" s="401">
        <f t="shared" si="681"/>
        <v>0</v>
      </c>
      <c r="AL512" s="401">
        <f t="shared" si="681"/>
        <v>0</v>
      </c>
      <c r="AM512" s="401">
        <f t="shared" si="681"/>
        <v>0</v>
      </c>
      <c r="AN512" s="401">
        <f t="shared" si="681"/>
        <v>0</v>
      </c>
      <c r="AO512" s="401">
        <f t="shared" si="681"/>
        <v>0</v>
      </c>
      <c r="AP512" s="401">
        <f t="shared" si="681"/>
        <v>0</v>
      </c>
      <c r="AQ512" s="401">
        <f t="shared" si="681"/>
        <v>0</v>
      </c>
      <c r="AR512" s="401">
        <f t="shared" si="681"/>
        <v>0</v>
      </c>
      <c r="AS512" s="401">
        <f t="shared" si="681"/>
        <v>0</v>
      </c>
      <c r="AT512" s="401">
        <f t="shared" si="681"/>
        <v>0</v>
      </c>
      <c r="AU512" s="401">
        <f t="shared" si="681"/>
        <v>0</v>
      </c>
      <c r="AV512" s="401">
        <f t="shared" si="681"/>
        <v>0</v>
      </c>
      <c r="AW512" s="401">
        <f t="shared" si="681"/>
        <v>0</v>
      </c>
      <c r="AX512" s="401">
        <f t="shared" ref="AX512:BP512" si="682">SUM(AX355,AX434)</f>
        <v>0</v>
      </c>
      <c r="AY512" s="401">
        <f t="shared" si="682"/>
        <v>0</v>
      </c>
      <c r="AZ512" s="401">
        <f t="shared" si="682"/>
        <v>0</v>
      </c>
      <c r="BA512" s="401">
        <f t="shared" si="682"/>
        <v>0</v>
      </c>
      <c r="BB512" s="401">
        <f t="shared" si="682"/>
        <v>0</v>
      </c>
      <c r="BC512" s="401">
        <f t="shared" si="682"/>
        <v>0</v>
      </c>
      <c r="BD512" s="401">
        <f t="shared" si="682"/>
        <v>0</v>
      </c>
      <c r="BE512" s="401">
        <f t="shared" si="682"/>
        <v>0</v>
      </c>
      <c r="BF512" s="401">
        <f t="shared" si="682"/>
        <v>0</v>
      </c>
      <c r="BG512" s="401">
        <f t="shared" si="682"/>
        <v>0</v>
      </c>
      <c r="BH512" s="401">
        <f t="shared" si="682"/>
        <v>0</v>
      </c>
      <c r="BI512" s="401">
        <f t="shared" si="682"/>
        <v>0</v>
      </c>
      <c r="BJ512" s="401">
        <f t="shared" si="682"/>
        <v>0</v>
      </c>
      <c r="BK512" s="401">
        <f t="shared" si="682"/>
        <v>0</v>
      </c>
      <c r="BL512" s="401">
        <f t="shared" si="682"/>
        <v>0</v>
      </c>
      <c r="BM512" s="401">
        <f t="shared" si="682"/>
        <v>0</v>
      </c>
      <c r="BN512" s="401">
        <f t="shared" si="682"/>
        <v>0</v>
      </c>
      <c r="BO512" s="401">
        <f t="shared" si="682"/>
        <v>0</v>
      </c>
      <c r="BP512" s="401">
        <f t="shared" si="682"/>
        <v>0</v>
      </c>
    </row>
    <row r="513" spans="4:68" outlineLevel="1" x14ac:dyDescent="0.2">
      <c r="D513" s="402" t="str">
        <f>$D$279</f>
        <v>Damage / theft of assets</v>
      </c>
      <c r="E513" s="80"/>
      <c r="F513" s="80"/>
      <c r="G513" s="477">
        <f>Assumptions!$H$212</f>
        <v>1</v>
      </c>
      <c r="H513" s="477">
        <f>Assumptions!$I$212</f>
        <v>0</v>
      </c>
      <c r="I513" s="83"/>
      <c r="J513" s="85" t="str">
        <f>Assumptions!$K$212</f>
        <v>Protective security risk</v>
      </c>
      <c r="K513" s="401">
        <f t="shared" si="676"/>
        <v>0</v>
      </c>
      <c r="L513" s="436">
        <f t="shared" si="676"/>
        <v>0</v>
      </c>
      <c r="M513" s="457"/>
      <c r="N513" s="455"/>
      <c r="O513" s="455"/>
      <c r="P513" s="455"/>
      <c r="Q513" s="455"/>
      <c r="R513" s="401">
        <f t="shared" ref="R513:AW513" si="683">SUM(R356,R435)</f>
        <v>0</v>
      </c>
      <c r="S513" s="401">
        <f t="shared" si="683"/>
        <v>0</v>
      </c>
      <c r="T513" s="401">
        <f t="shared" si="683"/>
        <v>0</v>
      </c>
      <c r="U513" s="401">
        <f t="shared" si="683"/>
        <v>0</v>
      </c>
      <c r="V513" s="401">
        <f t="shared" si="683"/>
        <v>0</v>
      </c>
      <c r="W513" s="401">
        <f t="shared" si="683"/>
        <v>0</v>
      </c>
      <c r="X513" s="401">
        <f t="shared" si="683"/>
        <v>0</v>
      </c>
      <c r="Y513" s="401">
        <f t="shared" si="683"/>
        <v>0</v>
      </c>
      <c r="Z513" s="401">
        <f t="shared" si="683"/>
        <v>0</v>
      </c>
      <c r="AA513" s="401">
        <f t="shared" si="683"/>
        <v>0</v>
      </c>
      <c r="AB513" s="401">
        <f t="shared" si="683"/>
        <v>0</v>
      </c>
      <c r="AC513" s="401">
        <f t="shared" si="683"/>
        <v>0</v>
      </c>
      <c r="AD513" s="401">
        <f t="shared" si="683"/>
        <v>0</v>
      </c>
      <c r="AE513" s="401">
        <f t="shared" si="683"/>
        <v>0</v>
      </c>
      <c r="AF513" s="401">
        <f t="shared" si="683"/>
        <v>0</v>
      </c>
      <c r="AG513" s="401">
        <f t="shared" si="683"/>
        <v>0</v>
      </c>
      <c r="AH513" s="401">
        <f t="shared" si="683"/>
        <v>0</v>
      </c>
      <c r="AI513" s="401">
        <f t="shared" si="683"/>
        <v>0</v>
      </c>
      <c r="AJ513" s="401">
        <f t="shared" si="683"/>
        <v>0</v>
      </c>
      <c r="AK513" s="401">
        <f t="shared" si="683"/>
        <v>0</v>
      </c>
      <c r="AL513" s="401">
        <f t="shared" si="683"/>
        <v>0</v>
      </c>
      <c r="AM513" s="401">
        <f t="shared" si="683"/>
        <v>0</v>
      </c>
      <c r="AN513" s="401">
        <f t="shared" si="683"/>
        <v>0</v>
      </c>
      <c r="AO513" s="401">
        <f t="shared" si="683"/>
        <v>0</v>
      </c>
      <c r="AP513" s="401">
        <f t="shared" si="683"/>
        <v>0</v>
      </c>
      <c r="AQ513" s="401">
        <f t="shared" si="683"/>
        <v>0</v>
      </c>
      <c r="AR513" s="401">
        <f t="shared" si="683"/>
        <v>0</v>
      </c>
      <c r="AS513" s="401">
        <f t="shared" si="683"/>
        <v>0</v>
      </c>
      <c r="AT513" s="401">
        <f t="shared" si="683"/>
        <v>0</v>
      </c>
      <c r="AU513" s="401">
        <f t="shared" si="683"/>
        <v>0</v>
      </c>
      <c r="AV513" s="401">
        <f t="shared" si="683"/>
        <v>0</v>
      </c>
      <c r="AW513" s="401">
        <f t="shared" si="683"/>
        <v>0</v>
      </c>
      <c r="AX513" s="401">
        <f t="shared" ref="AX513:BP513" si="684">SUM(AX356,AX435)</f>
        <v>0</v>
      </c>
      <c r="AY513" s="401">
        <f t="shared" si="684"/>
        <v>0</v>
      </c>
      <c r="AZ513" s="401">
        <f t="shared" si="684"/>
        <v>0</v>
      </c>
      <c r="BA513" s="401">
        <f t="shared" si="684"/>
        <v>0</v>
      </c>
      <c r="BB513" s="401">
        <f t="shared" si="684"/>
        <v>0</v>
      </c>
      <c r="BC513" s="401">
        <f t="shared" si="684"/>
        <v>0</v>
      </c>
      <c r="BD513" s="401">
        <f t="shared" si="684"/>
        <v>0</v>
      </c>
      <c r="BE513" s="401">
        <f t="shared" si="684"/>
        <v>0</v>
      </c>
      <c r="BF513" s="401">
        <f t="shared" si="684"/>
        <v>0</v>
      </c>
      <c r="BG513" s="401">
        <f t="shared" si="684"/>
        <v>0</v>
      </c>
      <c r="BH513" s="401">
        <f t="shared" si="684"/>
        <v>0</v>
      </c>
      <c r="BI513" s="401">
        <f t="shared" si="684"/>
        <v>0</v>
      </c>
      <c r="BJ513" s="401">
        <f t="shared" si="684"/>
        <v>0</v>
      </c>
      <c r="BK513" s="401">
        <f t="shared" si="684"/>
        <v>0</v>
      </c>
      <c r="BL513" s="401">
        <f t="shared" si="684"/>
        <v>0</v>
      </c>
      <c r="BM513" s="401">
        <f t="shared" si="684"/>
        <v>0</v>
      </c>
      <c r="BN513" s="401">
        <f t="shared" si="684"/>
        <v>0</v>
      </c>
      <c r="BO513" s="401">
        <f t="shared" si="684"/>
        <v>0</v>
      </c>
      <c r="BP513" s="401">
        <f t="shared" si="684"/>
        <v>0</v>
      </c>
    </row>
    <row r="514" spans="4:68" outlineLevel="1" x14ac:dyDescent="0.2">
      <c r="D514" s="402" t="str">
        <f>$D$280</f>
        <v>Loss of data</v>
      </c>
      <c r="E514" s="80"/>
      <c r="F514" s="80"/>
      <c r="G514" s="477">
        <f>Assumptions!$H$213</f>
        <v>0</v>
      </c>
      <c r="H514" s="477">
        <f>Assumptions!$I$213</f>
        <v>1</v>
      </c>
      <c r="I514" s="83"/>
      <c r="J514" s="85" t="str">
        <f>Assumptions!$K$213</f>
        <v>Protective security risk</v>
      </c>
      <c r="K514" s="401">
        <f t="shared" si="676"/>
        <v>0</v>
      </c>
      <c r="L514" s="436">
        <f t="shared" si="676"/>
        <v>0</v>
      </c>
      <c r="M514" s="457"/>
      <c r="N514" s="455"/>
      <c r="O514" s="455"/>
      <c r="P514" s="455"/>
      <c r="Q514" s="455"/>
      <c r="R514" s="401">
        <f t="shared" ref="R514:AW514" si="685">SUM(R357,R436)</f>
        <v>0</v>
      </c>
      <c r="S514" s="401">
        <f t="shared" si="685"/>
        <v>0</v>
      </c>
      <c r="T514" s="401">
        <f t="shared" si="685"/>
        <v>0</v>
      </c>
      <c r="U514" s="401">
        <f t="shared" si="685"/>
        <v>0</v>
      </c>
      <c r="V514" s="401">
        <f t="shared" si="685"/>
        <v>0</v>
      </c>
      <c r="W514" s="401">
        <f t="shared" si="685"/>
        <v>0</v>
      </c>
      <c r="X514" s="401">
        <f t="shared" si="685"/>
        <v>0</v>
      </c>
      <c r="Y514" s="401">
        <f t="shared" si="685"/>
        <v>0</v>
      </c>
      <c r="Z514" s="401">
        <f t="shared" si="685"/>
        <v>0</v>
      </c>
      <c r="AA514" s="401">
        <f t="shared" si="685"/>
        <v>0</v>
      </c>
      <c r="AB514" s="401">
        <f t="shared" si="685"/>
        <v>0</v>
      </c>
      <c r="AC514" s="401">
        <f t="shared" si="685"/>
        <v>0</v>
      </c>
      <c r="AD514" s="401">
        <f t="shared" si="685"/>
        <v>0</v>
      </c>
      <c r="AE514" s="401">
        <f t="shared" si="685"/>
        <v>0</v>
      </c>
      <c r="AF514" s="401">
        <f t="shared" si="685"/>
        <v>0</v>
      </c>
      <c r="AG514" s="401">
        <f t="shared" si="685"/>
        <v>0</v>
      </c>
      <c r="AH514" s="401">
        <f t="shared" si="685"/>
        <v>0</v>
      </c>
      <c r="AI514" s="401">
        <f t="shared" si="685"/>
        <v>0</v>
      </c>
      <c r="AJ514" s="401">
        <f t="shared" si="685"/>
        <v>0</v>
      </c>
      <c r="AK514" s="401">
        <f t="shared" si="685"/>
        <v>0</v>
      </c>
      <c r="AL514" s="401">
        <f t="shared" si="685"/>
        <v>0</v>
      </c>
      <c r="AM514" s="401">
        <f t="shared" si="685"/>
        <v>0</v>
      </c>
      <c r="AN514" s="401">
        <f t="shared" si="685"/>
        <v>0</v>
      </c>
      <c r="AO514" s="401">
        <f t="shared" si="685"/>
        <v>0</v>
      </c>
      <c r="AP514" s="401">
        <f t="shared" si="685"/>
        <v>0</v>
      </c>
      <c r="AQ514" s="401">
        <f t="shared" si="685"/>
        <v>0</v>
      </c>
      <c r="AR514" s="401">
        <f t="shared" si="685"/>
        <v>0</v>
      </c>
      <c r="AS514" s="401">
        <f t="shared" si="685"/>
        <v>0</v>
      </c>
      <c r="AT514" s="401">
        <f t="shared" si="685"/>
        <v>0</v>
      </c>
      <c r="AU514" s="401">
        <f t="shared" si="685"/>
        <v>0</v>
      </c>
      <c r="AV514" s="401">
        <f t="shared" si="685"/>
        <v>0</v>
      </c>
      <c r="AW514" s="401">
        <f t="shared" si="685"/>
        <v>0</v>
      </c>
      <c r="AX514" s="401">
        <f t="shared" ref="AX514:BP514" si="686">SUM(AX357,AX436)</f>
        <v>0</v>
      </c>
      <c r="AY514" s="401">
        <f t="shared" si="686"/>
        <v>0</v>
      </c>
      <c r="AZ514" s="401">
        <f t="shared" si="686"/>
        <v>0</v>
      </c>
      <c r="BA514" s="401">
        <f t="shared" si="686"/>
        <v>0</v>
      </c>
      <c r="BB514" s="401">
        <f t="shared" si="686"/>
        <v>0</v>
      </c>
      <c r="BC514" s="401">
        <f t="shared" si="686"/>
        <v>0</v>
      </c>
      <c r="BD514" s="401">
        <f t="shared" si="686"/>
        <v>0</v>
      </c>
      <c r="BE514" s="401">
        <f t="shared" si="686"/>
        <v>0</v>
      </c>
      <c r="BF514" s="401">
        <f t="shared" si="686"/>
        <v>0</v>
      </c>
      <c r="BG514" s="401">
        <f t="shared" si="686"/>
        <v>0</v>
      </c>
      <c r="BH514" s="401">
        <f t="shared" si="686"/>
        <v>0</v>
      </c>
      <c r="BI514" s="401">
        <f t="shared" si="686"/>
        <v>0</v>
      </c>
      <c r="BJ514" s="401">
        <f t="shared" si="686"/>
        <v>0</v>
      </c>
      <c r="BK514" s="401">
        <f t="shared" si="686"/>
        <v>0</v>
      </c>
      <c r="BL514" s="401">
        <f t="shared" si="686"/>
        <v>0</v>
      </c>
      <c r="BM514" s="401">
        <f t="shared" si="686"/>
        <v>0</v>
      </c>
      <c r="BN514" s="401">
        <f t="shared" si="686"/>
        <v>0</v>
      </c>
      <c r="BO514" s="401">
        <f t="shared" si="686"/>
        <v>0</v>
      </c>
      <c r="BP514" s="401">
        <f t="shared" si="686"/>
        <v>0</v>
      </c>
    </row>
    <row r="515" spans="4:68" outlineLevel="1" x14ac:dyDescent="0.2">
      <c r="D515" s="81" t="str">
        <f>$D$281</f>
        <v>ICT/OT hardware or software failure risk</v>
      </c>
      <c r="E515" s="80"/>
      <c r="F515" s="80"/>
      <c r="G515" s="83"/>
      <c r="H515" s="83"/>
      <c r="I515" s="83"/>
      <c r="J515" s="85"/>
      <c r="K515" s="401"/>
      <c r="L515" s="436"/>
      <c r="M515" s="457"/>
      <c r="N515" s="455"/>
      <c r="O515" s="455"/>
      <c r="P515" s="455"/>
      <c r="Q515" s="455"/>
      <c r="R515" s="455"/>
      <c r="S515" s="455"/>
      <c r="T515" s="455"/>
      <c r="U515" s="455"/>
      <c r="V515" s="455"/>
      <c r="W515" s="455"/>
      <c r="X515" s="455"/>
      <c r="Y515" s="455"/>
      <c r="Z515" s="455"/>
      <c r="AA515" s="455"/>
      <c r="AB515" s="455"/>
      <c r="AC515" s="455"/>
      <c r="AD515" s="455"/>
      <c r="AE515" s="455"/>
      <c r="AF515" s="455"/>
      <c r="AG515" s="455"/>
      <c r="AH515" s="455"/>
      <c r="AI515" s="455"/>
      <c r="AJ515" s="455"/>
      <c r="AK515" s="455"/>
      <c r="AL515" s="455"/>
      <c r="AM515" s="455"/>
      <c r="AN515" s="455"/>
      <c r="AO515" s="455"/>
      <c r="AP515" s="455"/>
      <c r="AQ515" s="455"/>
      <c r="AR515" s="455"/>
      <c r="AS515" s="455"/>
      <c r="AT515" s="455"/>
      <c r="AU515" s="455"/>
      <c r="AV515" s="455"/>
      <c r="AW515" s="455"/>
      <c r="AX515" s="455"/>
      <c r="AY515" s="455"/>
      <c r="AZ515" s="455"/>
      <c r="BA515" s="455"/>
      <c r="BB515" s="455"/>
      <c r="BC515" s="455"/>
      <c r="BD515" s="455"/>
      <c r="BE515" s="455"/>
      <c r="BF515" s="455"/>
      <c r="BG515" s="455"/>
      <c r="BH515" s="455"/>
      <c r="BI515" s="455"/>
      <c r="BJ515" s="455"/>
      <c r="BK515" s="455"/>
      <c r="BL515" s="455"/>
      <c r="BM515" s="455"/>
      <c r="BN515" s="455"/>
      <c r="BO515" s="455"/>
      <c r="BP515" s="455"/>
    </row>
    <row r="516" spans="4:68" outlineLevel="1" x14ac:dyDescent="0.2">
      <c r="D516" s="402" t="str">
        <f>$D$282</f>
        <v>Cost of manual intervention</v>
      </c>
      <c r="E516" s="80"/>
      <c r="F516" s="80"/>
      <c r="G516" s="477">
        <f>Assumptions!$H$215</f>
        <v>1</v>
      </c>
      <c r="H516" s="477">
        <f>Assumptions!$I$215</f>
        <v>0</v>
      </c>
      <c r="I516" s="83"/>
      <c r="J516" s="85" t="str">
        <f>Assumptions!$K$215</f>
        <v>ICT/OT hardware or software failure risk</v>
      </c>
      <c r="K516" s="401">
        <f>SUM(K359,K438)</f>
        <v>0</v>
      </c>
      <c r="L516" s="436">
        <f>SUM(L359,L438)</f>
        <v>0</v>
      </c>
      <c r="M516" s="457"/>
      <c r="N516" s="455"/>
      <c r="O516" s="455"/>
      <c r="P516" s="455"/>
      <c r="Q516" s="455"/>
      <c r="R516" s="401">
        <f t="shared" ref="R516:AW516" si="687">SUM(R359,R438)</f>
        <v>0</v>
      </c>
      <c r="S516" s="401">
        <f t="shared" si="687"/>
        <v>0</v>
      </c>
      <c r="T516" s="401">
        <f t="shared" si="687"/>
        <v>0</v>
      </c>
      <c r="U516" s="401">
        <f t="shared" si="687"/>
        <v>0</v>
      </c>
      <c r="V516" s="401">
        <f t="shared" si="687"/>
        <v>0</v>
      </c>
      <c r="W516" s="401">
        <f t="shared" si="687"/>
        <v>0</v>
      </c>
      <c r="X516" s="401">
        <f t="shared" si="687"/>
        <v>0</v>
      </c>
      <c r="Y516" s="401">
        <f t="shared" si="687"/>
        <v>0</v>
      </c>
      <c r="Z516" s="401">
        <f t="shared" si="687"/>
        <v>0</v>
      </c>
      <c r="AA516" s="401">
        <f t="shared" si="687"/>
        <v>0</v>
      </c>
      <c r="AB516" s="401">
        <f t="shared" si="687"/>
        <v>0</v>
      </c>
      <c r="AC516" s="401">
        <f t="shared" si="687"/>
        <v>0</v>
      </c>
      <c r="AD516" s="401">
        <f t="shared" si="687"/>
        <v>0</v>
      </c>
      <c r="AE516" s="401">
        <f t="shared" si="687"/>
        <v>0</v>
      </c>
      <c r="AF516" s="401">
        <f t="shared" si="687"/>
        <v>0</v>
      </c>
      <c r="AG516" s="401">
        <f t="shared" si="687"/>
        <v>0</v>
      </c>
      <c r="AH516" s="401">
        <f t="shared" si="687"/>
        <v>0</v>
      </c>
      <c r="AI516" s="401">
        <f t="shared" si="687"/>
        <v>0</v>
      </c>
      <c r="AJ516" s="401">
        <f t="shared" si="687"/>
        <v>0</v>
      </c>
      <c r="AK516" s="401">
        <f t="shared" si="687"/>
        <v>0</v>
      </c>
      <c r="AL516" s="401">
        <f t="shared" si="687"/>
        <v>0</v>
      </c>
      <c r="AM516" s="401">
        <f t="shared" si="687"/>
        <v>0</v>
      </c>
      <c r="AN516" s="401">
        <f t="shared" si="687"/>
        <v>0</v>
      </c>
      <c r="AO516" s="401">
        <f t="shared" si="687"/>
        <v>0</v>
      </c>
      <c r="AP516" s="401">
        <f t="shared" si="687"/>
        <v>0</v>
      </c>
      <c r="AQ516" s="401">
        <f t="shared" si="687"/>
        <v>0</v>
      </c>
      <c r="AR516" s="401">
        <f t="shared" si="687"/>
        <v>0</v>
      </c>
      <c r="AS516" s="401">
        <f t="shared" si="687"/>
        <v>0</v>
      </c>
      <c r="AT516" s="401">
        <f t="shared" si="687"/>
        <v>0</v>
      </c>
      <c r="AU516" s="401">
        <f t="shared" si="687"/>
        <v>0</v>
      </c>
      <c r="AV516" s="401">
        <f t="shared" si="687"/>
        <v>0</v>
      </c>
      <c r="AW516" s="401">
        <f t="shared" si="687"/>
        <v>0</v>
      </c>
      <c r="AX516" s="401">
        <f t="shared" ref="AX516:BP516" si="688">SUM(AX359,AX438)</f>
        <v>0</v>
      </c>
      <c r="AY516" s="401">
        <f t="shared" si="688"/>
        <v>0</v>
      </c>
      <c r="AZ516" s="401">
        <f t="shared" si="688"/>
        <v>0</v>
      </c>
      <c r="BA516" s="401">
        <f t="shared" si="688"/>
        <v>0</v>
      </c>
      <c r="BB516" s="401">
        <f t="shared" si="688"/>
        <v>0</v>
      </c>
      <c r="BC516" s="401">
        <f t="shared" si="688"/>
        <v>0</v>
      </c>
      <c r="BD516" s="401">
        <f t="shared" si="688"/>
        <v>0</v>
      </c>
      <c r="BE516" s="401">
        <f t="shared" si="688"/>
        <v>0</v>
      </c>
      <c r="BF516" s="401">
        <f t="shared" si="688"/>
        <v>0</v>
      </c>
      <c r="BG516" s="401">
        <f t="shared" si="688"/>
        <v>0</v>
      </c>
      <c r="BH516" s="401">
        <f t="shared" si="688"/>
        <v>0</v>
      </c>
      <c r="BI516" s="401">
        <f t="shared" si="688"/>
        <v>0</v>
      </c>
      <c r="BJ516" s="401">
        <f t="shared" si="688"/>
        <v>0</v>
      </c>
      <c r="BK516" s="401">
        <f t="shared" si="688"/>
        <v>0</v>
      </c>
      <c r="BL516" s="401">
        <f t="shared" si="688"/>
        <v>0</v>
      </c>
      <c r="BM516" s="401">
        <f t="shared" si="688"/>
        <v>0</v>
      </c>
      <c r="BN516" s="401">
        <f t="shared" si="688"/>
        <v>0</v>
      </c>
      <c r="BO516" s="401">
        <f t="shared" si="688"/>
        <v>0</v>
      </c>
      <c r="BP516" s="401">
        <f t="shared" si="688"/>
        <v>0</v>
      </c>
    </row>
    <row r="517" spans="4:68" outlineLevel="1" x14ac:dyDescent="0.2">
      <c r="D517" s="402" t="str">
        <f>$D$283</f>
        <v>Loss productive time</v>
      </c>
      <c r="E517" s="80"/>
      <c r="F517" s="80"/>
      <c r="G517" s="83"/>
      <c r="H517" s="83"/>
      <c r="I517" s="83"/>
      <c r="J517" s="85"/>
      <c r="K517" s="401"/>
      <c r="L517" s="436"/>
      <c r="M517" s="457"/>
      <c r="N517" s="455"/>
      <c r="O517" s="455"/>
      <c r="P517" s="455"/>
      <c r="Q517" s="455"/>
      <c r="R517" s="455"/>
      <c r="S517" s="455"/>
      <c r="T517" s="455"/>
      <c r="U517" s="455"/>
      <c r="V517" s="455"/>
      <c r="W517" s="455"/>
      <c r="X517" s="455"/>
      <c r="Y517" s="455"/>
      <c r="Z517" s="455"/>
      <c r="AA517" s="455"/>
      <c r="AB517" s="455"/>
      <c r="AC517" s="455"/>
      <c r="AD517" s="455"/>
      <c r="AE517" s="455"/>
      <c r="AF517" s="455"/>
      <c r="AG517" s="455"/>
      <c r="AH517" s="455"/>
      <c r="AI517" s="455"/>
      <c r="AJ517" s="455"/>
      <c r="AK517" s="455"/>
      <c r="AL517" s="455"/>
      <c r="AM517" s="455"/>
      <c r="AN517" s="455"/>
      <c r="AO517" s="455"/>
      <c r="AP517" s="455"/>
      <c r="AQ517" s="455"/>
      <c r="AR517" s="455"/>
      <c r="AS517" s="455"/>
      <c r="AT517" s="455"/>
      <c r="AU517" s="455"/>
      <c r="AV517" s="455"/>
      <c r="AW517" s="455"/>
      <c r="AX517" s="455"/>
      <c r="AY517" s="455"/>
      <c r="AZ517" s="455"/>
      <c r="BA517" s="455"/>
      <c r="BB517" s="455"/>
      <c r="BC517" s="455"/>
      <c r="BD517" s="455"/>
      <c r="BE517" s="455"/>
      <c r="BF517" s="455"/>
      <c r="BG517" s="455"/>
      <c r="BH517" s="455"/>
      <c r="BI517" s="455"/>
      <c r="BJ517" s="455"/>
      <c r="BK517" s="455"/>
      <c r="BL517" s="455"/>
      <c r="BM517" s="455"/>
      <c r="BN517" s="455"/>
      <c r="BO517" s="455"/>
      <c r="BP517" s="455"/>
    </row>
    <row r="518" spans="4:68" outlineLevel="1" x14ac:dyDescent="0.2">
      <c r="D518" s="403" t="str">
        <f>$D$284</f>
        <v>Additional capex completed without additional labour cost</v>
      </c>
      <c r="E518" s="80"/>
      <c r="F518" s="80"/>
      <c r="G518" s="477">
        <f>Assumptions!$H$217</f>
        <v>1</v>
      </c>
      <c r="H518" s="477">
        <f>Assumptions!$I$217</f>
        <v>0</v>
      </c>
      <c r="I518" s="83"/>
      <c r="J518" s="85" t="str">
        <f>Assumptions!$K$217</f>
        <v>ICT/OT hardware or software failure risk</v>
      </c>
      <c r="K518" s="401">
        <f t="shared" ref="K518:L520" si="689">SUM(K361,K440)</f>
        <v>0</v>
      </c>
      <c r="L518" s="436">
        <f t="shared" si="689"/>
        <v>0</v>
      </c>
      <c r="M518" s="457"/>
      <c r="N518" s="455"/>
      <c r="O518" s="455"/>
      <c r="P518" s="455"/>
      <c r="Q518" s="455"/>
      <c r="R518" s="401">
        <f t="shared" ref="R518:AW518" si="690">SUM(R361,R440)</f>
        <v>0</v>
      </c>
      <c r="S518" s="401">
        <f t="shared" si="690"/>
        <v>0</v>
      </c>
      <c r="T518" s="401">
        <f t="shared" si="690"/>
        <v>0</v>
      </c>
      <c r="U518" s="401">
        <f t="shared" si="690"/>
        <v>0</v>
      </c>
      <c r="V518" s="401">
        <f t="shared" si="690"/>
        <v>0</v>
      </c>
      <c r="W518" s="401">
        <f t="shared" si="690"/>
        <v>0</v>
      </c>
      <c r="X518" s="401">
        <f t="shared" si="690"/>
        <v>0</v>
      </c>
      <c r="Y518" s="401">
        <f t="shared" si="690"/>
        <v>0</v>
      </c>
      <c r="Z518" s="401">
        <f t="shared" si="690"/>
        <v>0</v>
      </c>
      <c r="AA518" s="401">
        <f t="shared" si="690"/>
        <v>0</v>
      </c>
      <c r="AB518" s="401">
        <f t="shared" si="690"/>
        <v>0</v>
      </c>
      <c r="AC518" s="401">
        <f t="shared" si="690"/>
        <v>0</v>
      </c>
      <c r="AD518" s="401">
        <f t="shared" si="690"/>
        <v>0</v>
      </c>
      <c r="AE518" s="401">
        <f t="shared" si="690"/>
        <v>0</v>
      </c>
      <c r="AF518" s="401">
        <f t="shared" si="690"/>
        <v>0</v>
      </c>
      <c r="AG518" s="401">
        <f t="shared" si="690"/>
        <v>0</v>
      </c>
      <c r="AH518" s="401">
        <f t="shared" si="690"/>
        <v>0</v>
      </c>
      <c r="AI518" s="401">
        <f t="shared" si="690"/>
        <v>0</v>
      </c>
      <c r="AJ518" s="401">
        <f t="shared" si="690"/>
        <v>0</v>
      </c>
      <c r="AK518" s="401">
        <f t="shared" si="690"/>
        <v>0</v>
      </c>
      <c r="AL518" s="401">
        <f t="shared" si="690"/>
        <v>0</v>
      </c>
      <c r="AM518" s="401">
        <f t="shared" si="690"/>
        <v>0</v>
      </c>
      <c r="AN518" s="401">
        <f t="shared" si="690"/>
        <v>0</v>
      </c>
      <c r="AO518" s="401">
        <f t="shared" si="690"/>
        <v>0</v>
      </c>
      <c r="AP518" s="401">
        <f t="shared" si="690"/>
        <v>0</v>
      </c>
      <c r="AQ518" s="401">
        <f t="shared" si="690"/>
        <v>0</v>
      </c>
      <c r="AR518" s="401">
        <f t="shared" si="690"/>
        <v>0</v>
      </c>
      <c r="AS518" s="401">
        <f t="shared" si="690"/>
        <v>0</v>
      </c>
      <c r="AT518" s="401">
        <f t="shared" si="690"/>
        <v>0</v>
      </c>
      <c r="AU518" s="401">
        <f t="shared" si="690"/>
        <v>0</v>
      </c>
      <c r="AV518" s="401">
        <f t="shared" si="690"/>
        <v>0</v>
      </c>
      <c r="AW518" s="401">
        <f t="shared" si="690"/>
        <v>0</v>
      </c>
      <c r="AX518" s="401">
        <f t="shared" ref="AX518:BP518" si="691">SUM(AX361,AX440)</f>
        <v>0</v>
      </c>
      <c r="AY518" s="401">
        <f t="shared" si="691"/>
        <v>0</v>
      </c>
      <c r="AZ518" s="401">
        <f t="shared" si="691"/>
        <v>0</v>
      </c>
      <c r="BA518" s="401">
        <f t="shared" si="691"/>
        <v>0</v>
      </c>
      <c r="BB518" s="401">
        <f t="shared" si="691"/>
        <v>0</v>
      </c>
      <c r="BC518" s="401">
        <f t="shared" si="691"/>
        <v>0</v>
      </c>
      <c r="BD518" s="401">
        <f t="shared" si="691"/>
        <v>0</v>
      </c>
      <c r="BE518" s="401">
        <f t="shared" si="691"/>
        <v>0</v>
      </c>
      <c r="BF518" s="401">
        <f t="shared" si="691"/>
        <v>0</v>
      </c>
      <c r="BG518" s="401">
        <f t="shared" si="691"/>
        <v>0</v>
      </c>
      <c r="BH518" s="401">
        <f t="shared" si="691"/>
        <v>0</v>
      </c>
      <c r="BI518" s="401">
        <f t="shared" si="691"/>
        <v>0</v>
      </c>
      <c r="BJ518" s="401">
        <f t="shared" si="691"/>
        <v>0</v>
      </c>
      <c r="BK518" s="401">
        <f t="shared" si="691"/>
        <v>0</v>
      </c>
      <c r="BL518" s="401">
        <f t="shared" si="691"/>
        <v>0</v>
      </c>
      <c r="BM518" s="401">
        <f t="shared" si="691"/>
        <v>0</v>
      </c>
      <c r="BN518" s="401">
        <f t="shared" si="691"/>
        <v>0</v>
      </c>
      <c r="BO518" s="401">
        <f t="shared" si="691"/>
        <v>0</v>
      </c>
      <c r="BP518" s="401">
        <f t="shared" si="691"/>
        <v>0</v>
      </c>
    </row>
    <row r="519" spans="4:68" outlineLevel="1" x14ac:dyDescent="0.2">
      <c r="D519" s="403" t="str">
        <f>$D$285</f>
        <v>Decrease in opex costs</v>
      </c>
      <c r="E519" s="80"/>
      <c r="F519" s="80"/>
      <c r="G519" s="477">
        <f>Assumptions!$H$218</f>
        <v>1</v>
      </c>
      <c r="H519" s="477">
        <f>Assumptions!$I$218</f>
        <v>1</v>
      </c>
      <c r="I519" s="83"/>
      <c r="J519" s="85" t="str">
        <f>Assumptions!$K$218</f>
        <v>ICT/OT hardware or software failure risk</v>
      </c>
      <c r="K519" s="401">
        <f t="shared" si="689"/>
        <v>0</v>
      </c>
      <c r="L519" s="436">
        <f t="shared" si="689"/>
        <v>0</v>
      </c>
      <c r="M519" s="457"/>
      <c r="N519" s="455"/>
      <c r="O519" s="455"/>
      <c r="P519" s="455"/>
      <c r="Q519" s="455"/>
      <c r="R519" s="401">
        <f t="shared" ref="R519:AW519" si="692">SUM(R362,R441)</f>
        <v>0</v>
      </c>
      <c r="S519" s="401">
        <f t="shared" si="692"/>
        <v>0</v>
      </c>
      <c r="T519" s="401">
        <f t="shared" si="692"/>
        <v>0</v>
      </c>
      <c r="U519" s="401">
        <f t="shared" si="692"/>
        <v>0</v>
      </c>
      <c r="V519" s="401">
        <f t="shared" si="692"/>
        <v>0</v>
      </c>
      <c r="W519" s="401">
        <f t="shared" si="692"/>
        <v>0</v>
      </c>
      <c r="X519" s="401">
        <f t="shared" si="692"/>
        <v>0</v>
      </c>
      <c r="Y519" s="401">
        <f t="shared" si="692"/>
        <v>0</v>
      </c>
      <c r="Z519" s="401">
        <f t="shared" si="692"/>
        <v>0</v>
      </c>
      <c r="AA519" s="401">
        <f t="shared" si="692"/>
        <v>0</v>
      </c>
      <c r="AB519" s="401">
        <f t="shared" si="692"/>
        <v>0</v>
      </c>
      <c r="AC519" s="401">
        <f t="shared" si="692"/>
        <v>0</v>
      </c>
      <c r="AD519" s="401">
        <f t="shared" si="692"/>
        <v>0</v>
      </c>
      <c r="AE519" s="401">
        <f t="shared" si="692"/>
        <v>0</v>
      </c>
      <c r="AF519" s="401">
        <f t="shared" si="692"/>
        <v>0</v>
      </c>
      <c r="AG519" s="401">
        <f t="shared" si="692"/>
        <v>0</v>
      </c>
      <c r="AH519" s="401">
        <f t="shared" si="692"/>
        <v>0</v>
      </c>
      <c r="AI519" s="401">
        <f t="shared" si="692"/>
        <v>0</v>
      </c>
      <c r="AJ519" s="401">
        <f t="shared" si="692"/>
        <v>0</v>
      </c>
      <c r="AK519" s="401">
        <f t="shared" si="692"/>
        <v>0</v>
      </c>
      <c r="AL519" s="401">
        <f t="shared" si="692"/>
        <v>0</v>
      </c>
      <c r="AM519" s="401">
        <f t="shared" si="692"/>
        <v>0</v>
      </c>
      <c r="AN519" s="401">
        <f t="shared" si="692"/>
        <v>0</v>
      </c>
      <c r="AO519" s="401">
        <f t="shared" si="692"/>
        <v>0</v>
      </c>
      <c r="AP519" s="401">
        <f t="shared" si="692"/>
        <v>0</v>
      </c>
      <c r="AQ519" s="401">
        <f t="shared" si="692"/>
        <v>0</v>
      </c>
      <c r="AR519" s="401">
        <f t="shared" si="692"/>
        <v>0</v>
      </c>
      <c r="AS519" s="401">
        <f t="shared" si="692"/>
        <v>0</v>
      </c>
      <c r="AT519" s="401">
        <f t="shared" si="692"/>
        <v>0</v>
      </c>
      <c r="AU519" s="401">
        <f t="shared" si="692"/>
        <v>0</v>
      </c>
      <c r="AV519" s="401">
        <f t="shared" si="692"/>
        <v>0</v>
      </c>
      <c r="AW519" s="401">
        <f t="shared" si="692"/>
        <v>0</v>
      </c>
      <c r="AX519" s="401">
        <f t="shared" ref="AX519:BP519" si="693">SUM(AX362,AX441)</f>
        <v>0</v>
      </c>
      <c r="AY519" s="401">
        <f t="shared" si="693"/>
        <v>0</v>
      </c>
      <c r="AZ519" s="401">
        <f t="shared" si="693"/>
        <v>0</v>
      </c>
      <c r="BA519" s="401">
        <f t="shared" si="693"/>
        <v>0</v>
      </c>
      <c r="BB519" s="401">
        <f t="shared" si="693"/>
        <v>0</v>
      </c>
      <c r="BC519" s="401">
        <f t="shared" si="693"/>
        <v>0</v>
      </c>
      <c r="BD519" s="401">
        <f t="shared" si="693"/>
        <v>0</v>
      </c>
      <c r="BE519" s="401">
        <f t="shared" si="693"/>
        <v>0</v>
      </c>
      <c r="BF519" s="401">
        <f t="shared" si="693"/>
        <v>0</v>
      </c>
      <c r="BG519" s="401">
        <f t="shared" si="693"/>
        <v>0</v>
      </c>
      <c r="BH519" s="401">
        <f t="shared" si="693"/>
        <v>0</v>
      </c>
      <c r="BI519" s="401">
        <f t="shared" si="693"/>
        <v>0</v>
      </c>
      <c r="BJ519" s="401">
        <f t="shared" si="693"/>
        <v>0</v>
      </c>
      <c r="BK519" s="401">
        <f t="shared" si="693"/>
        <v>0</v>
      </c>
      <c r="BL519" s="401">
        <f t="shared" si="693"/>
        <v>0</v>
      </c>
      <c r="BM519" s="401">
        <f t="shared" si="693"/>
        <v>0</v>
      </c>
      <c r="BN519" s="401">
        <f t="shared" si="693"/>
        <v>0</v>
      </c>
      <c r="BO519" s="401">
        <f t="shared" si="693"/>
        <v>0</v>
      </c>
      <c r="BP519" s="401">
        <f t="shared" si="693"/>
        <v>0</v>
      </c>
    </row>
    <row r="520" spans="4:68" outlineLevel="1" x14ac:dyDescent="0.2">
      <c r="D520" s="402" t="str">
        <f>$D$286</f>
        <v>Safety risk</v>
      </c>
      <c r="E520" s="80"/>
      <c r="F520" s="80"/>
      <c r="G520" s="477">
        <f>Assumptions!$H$219</f>
        <v>0</v>
      </c>
      <c r="H520" s="477">
        <f>Assumptions!$I$219</f>
        <v>1</v>
      </c>
      <c r="I520" s="83"/>
      <c r="J520" s="85" t="str">
        <f>Assumptions!$K$219</f>
        <v>ICT/OT hardware or software failure risk</v>
      </c>
      <c r="K520" s="401">
        <f t="shared" si="689"/>
        <v>0</v>
      </c>
      <c r="L520" s="436">
        <f t="shared" si="689"/>
        <v>0</v>
      </c>
      <c r="M520" s="457"/>
      <c r="N520" s="455"/>
      <c r="O520" s="455"/>
      <c r="P520" s="455"/>
      <c r="Q520" s="455"/>
      <c r="R520" s="401">
        <f t="shared" ref="R520:AW520" si="694">SUM(R363,R442)</f>
        <v>0</v>
      </c>
      <c r="S520" s="401">
        <f t="shared" si="694"/>
        <v>0</v>
      </c>
      <c r="T520" s="401">
        <f t="shared" si="694"/>
        <v>0</v>
      </c>
      <c r="U520" s="401">
        <f t="shared" si="694"/>
        <v>0</v>
      </c>
      <c r="V520" s="401">
        <f t="shared" si="694"/>
        <v>0</v>
      </c>
      <c r="W520" s="401">
        <f t="shared" si="694"/>
        <v>0</v>
      </c>
      <c r="X520" s="401">
        <f t="shared" si="694"/>
        <v>0</v>
      </c>
      <c r="Y520" s="401">
        <f t="shared" si="694"/>
        <v>0</v>
      </c>
      <c r="Z520" s="401">
        <f t="shared" si="694"/>
        <v>0</v>
      </c>
      <c r="AA520" s="401">
        <f t="shared" si="694"/>
        <v>0</v>
      </c>
      <c r="AB520" s="401">
        <f t="shared" si="694"/>
        <v>0</v>
      </c>
      <c r="AC520" s="401">
        <f t="shared" si="694"/>
        <v>0</v>
      </c>
      <c r="AD520" s="401">
        <f t="shared" si="694"/>
        <v>0</v>
      </c>
      <c r="AE520" s="401">
        <f t="shared" si="694"/>
        <v>0</v>
      </c>
      <c r="AF520" s="401">
        <f t="shared" si="694"/>
        <v>0</v>
      </c>
      <c r="AG520" s="401">
        <f t="shared" si="694"/>
        <v>0</v>
      </c>
      <c r="AH520" s="401">
        <f t="shared" si="694"/>
        <v>0</v>
      </c>
      <c r="AI520" s="401">
        <f t="shared" si="694"/>
        <v>0</v>
      </c>
      <c r="AJ520" s="401">
        <f t="shared" si="694"/>
        <v>0</v>
      </c>
      <c r="AK520" s="401">
        <f t="shared" si="694"/>
        <v>0</v>
      </c>
      <c r="AL520" s="401">
        <f t="shared" si="694"/>
        <v>0</v>
      </c>
      <c r="AM520" s="401">
        <f t="shared" si="694"/>
        <v>0</v>
      </c>
      <c r="AN520" s="401">
        <f t="shared" si="694"/>
        <v>0</v>
      </c>
      <c r="AO520" s="401">
        <f t="shared" si="694"/>
        <v>0</v>
      </c>
      <c r="AP520" s="401">
        <f t="shared" si="694"/>
        <v>0</v>
      </c>
      <c r="AQ520" s="401">
        <f t="shared" si="694"/>
        <v>0</v>
      </c>
      <c r="AR520" s="401">
        <f t="shared" si="694"/>
        <v>0</v>
      </c>
      <c r="AS520" s="401">
        <f t="shared" si="694"/>
        <v>0</v>
      </c>
      <c r="AT520" s="401">
        <f t="shared" si="694"/>
        <v>0</v>
      </c>
      <c r="AU520" s="401">
        <f t="shared" si="694"/>
        <v>0</v>
      </c>
      <c r="AV520" s="401">
        <f t="shared" si="694"/>
        <v>0</v>
      </c>
      <c r="AW520" s="401">
        <f t="shared" si="694"/>
        <v>0</v>
      </c>
      <c r="AX520" s="401">
        <f t="shared" ref="AX520:BP520" si="695">SUM(AX363,AX442)</f>
        <v>0</v>
      </c>
      <c r="AY520" s="401">
        <f t="shared" si="695"/>
        <v>0</v>
      </c>
      <c r="AZ520" s="401">
        <f t="shared" si="695"/>
        <v>0</v>
      </c>
      <c r="BA520" s="401">
        <f t="shared" si="695"/>
        <v>0</v>
      </c>
      <c r="BB520" s="401">
        <f t="shared" si="695"/>
        <v>0</v>
      </c>
      <c r="BC520" s="401">
        <f t="shared" si="695"/>
        <v>0</v>
      </c>
      <c r="BD520" s="401">
        <f t="shared" si="695"/>
        <v>0</v>
      </c>
      <c r="BE520" s="401">
        <f t="shared" si="695"/>
        <v>0</v>
      </c>
      <c r="BF520" s="401">
        <f t="shared" si="695"/>
        <v>0</v>
      </c>
      <c r="BG520" s="401">
        <f t="shared" si="695"/>
        <v>0</v>
      </c>
      <c r="BH520" s="401">
        <f t="shared" si="695"/>
        <v>0</v>
      </c>
      <c r="BI520" s="401">
        <f t="shared" si="695"/>
        <v>0</v>
      </c>
      <c r="BJ520" s="401">
        <f t="shared" si="695"/>
        <v>0</v>
      </c>
      <c r="BK520" s="401">
        <f t="shared" si="695"/>
        <v>0</v>
      </c>
      <c r="BL520" s="401">
        <f t="shared" si="695"/>
        <v>0</v>
      </c>
      <c r="BM520" s="401">
        <f t="shared" si="695"/>
        <v>0</v>
      </c>
      <c r="BN520" s="401">
        <f t="shared" si="695"/>
        <v>0</v>
      </c>
      <c r="BO520" s="401">
        <f t="shared" si="695"/>
        <v>0</v>
      </c>
      <c r="BP520" s="401">
        <f t="shared" si="695"/>
        <v>0</v>
      </c>
    </row>
    <row r="521" spans="4:68" outlineLevel="1" x14ac:dyDescent="0.2">
      <c r="D521" s="81" t="str">
        <f>$D$287</f>
        <v>Employee engagement</v>
      </c>
      <c r="E521" s="80"/>
      <c r="F521" s="80"/>
      <c r="G521" s="83"/>
      <c r="H521" s="83"/>
      <c r="I521" s="83"/>
      <c r="J521" s="85"/>
      <c r="K521" s="401"/>
      <c r="L521" s="436"/>
      <c r="M521" s="457"/>
      <c r="N521" s="455"/>
      <c r="O521" s="455"/>
      <c r="P521" s="455"/>
      <c r="Q521" s="455"/>
      <c r="R521" s="455"/>
      <c r="S521" s="455"/>
      <c r="T521" s="455"/>
      <c r="U521" s="455"/>
      <c r="V521" s="455"/>
      <c r="W521" s="455"/>
      <c r="X521" s="455"/>
      <c r="Y521" s="455"/>
      <c r="Z521" s="455"/>
      <c r="AA521" s="455"/>
      <c r="AB521" s="455"/>
      <c r="AC521" s="455"/>
      <c r="AD521" s="455"/>
      <c r="AE521" s="455"/>
      <c r="AF521" s="455"/>
      <c r="AG521" s="455"/>
      <c r="AH521" s="455"/>
      <c r="AI521" s="455"/>
      <c r="AJ521" s="455"/>
      <c r="AK521" s="455"/>
      <c r="AL521" s="455"/>
      <c r="AM521" s="455"/>
      <c r="AN521" s="455"/>
      <c r="AO521" s="455"/>
      <c r="AP521" s="455"/>
      <c r="AQ521" s="455"/>
      <c r="AR521" s="455"/>
      <c r="AS521" s="455"/>
      <c r="AT521" s="455"/>
      <c r="AU521" s="455"/>
      <c r="AV521" s="455"/>
      <c r="AW521" s="455"/>
      <c r="AX521" s="455"/>
      <c r="AY521" s="455"/>
      <c r="AZ521" s="455"/>
      <c r="BA521" s="455"/>
      <c r="BB521" s="455"/>
      <c r="BC521" s="455"/>
      <c r="BD521" s="455"/>
      <c r="BE521" s="455"/>
      <c r="BF521" s="455"/>
      <c r="BG521" s="455"/>
      <c r="BH521" s="455"/>
      <c r="BI521" s="455"/>
      <c r="BJ521" s="455"/>
      <c r="BK521" s="455"/>
      <c r="BL521" s="455"/>
      <c r="BM521" s="455"/>
      <c r="BN521" s="455"/>
      <c r="BO521" s="455"/>
      <c r="BP521" s="455"/>
    </row>
    <row r="522" spans="4:68" outlineLevel="1" x14ac:dyDescent="0.2">
      <c r="D522" s="403" t="str">
        <f>$D$288</f>
        <v>Additional capex completed without additional labour cost</v>
      </c>
      <c r="E522" s="80"/>
      <c r="F522" s="80"/>
      <c r="G522" s="477">
        <f>Assumptions!$H$221</f>
        <v>1</v>
      </c>
      <c r="H522" s="477">
        <f>Assumptions!$I$221</f>
        <v>0</v>
      </c>
      <c r="I522" s="83"/>
      <c r="J522" s="85" t="str">
        <f>Assumptions!$K$221</f>
        <v>Employee engagement</v>
      </c>
      <c r="K522" s="401">
        <f t="shared" ref="K522:L524" si="696">SUM(K365,K444)</f>
        <v>0</v>
      </c>
      <c r="L522" s="436">
        <f t="shared" si="696"/>
        <v>0</v>
      </c>
      <c r="M522" s="457"/>
      <c r="N522" s="455"/>
      <c r="O522" s="455"/>
      <c r="P522" s="455"/>
      <c r="Q522" s="455"/>
      <c r="R522" s="401">
        <f t="shared" ref="R522:AW522" si="697">SUM(R365,R444)</f>
        <v>0</v>
      </c>
      <c r="S522" s="401">
        <f t="shared" si="697"/>
        <v>0</v>
      </c>
      <c r="T522" s="401">
        <f t="shared" si="697"/>
        <v>0</v>
      </c>
      <c r="U522" s="401">
        <f t="shared" si="697"/>
        <v>0</v>
      </c>
      <c r="V522" s="401">
        <f t="shared" si="697"/>
        <v>0</v>
      </c>
      <c r="W522" s="401">
        <f t="shared" si="697"/>
        <v>0</v>
      </c>
      <c r="X522" s="401">
        <f t="shared" si="697"/>
        <v>0</v>
      </c>
      <c r="Y522" s="401">
        <f t="shared" si="697"/>
        <v>0</v>
      </c>
      <c r="Z522" s="401">
        <f t="shared" si="697"/>
        <v>0</v>
      </c>
      <c r="AA522" s="401">
        <f t="shared" si="697"/>
        <v>0</v>
      </c>
      <c r="AB522" s="401">
        <f t="shared" si="697"/>
        <v>0</v>
      </c>
      <c r="AC522" s="401">
        <f t="shared" si="697"/>
        <v>0</v>
      </c>
      <c r="AD522" s="401">
        <f t="shared" si="697"/>
        <v>0</v>
      </c>
      <c r="AE522" s="401">
        <f t="shared" si="697"/>
        <v>0</v>
      </c>
      <c r="AF522" s="401">
        <f t="shared" si="697"/>
        <v>0</v>
      </c>
      <c r="AG522" s="401">
        <f t="shared" si="697"/>
        <v>0</v>
      </c>
      <c r="AH522" s="401">
        <f t="shared" si="697"/>
        <v>0</v>
      </c>
      <c r="AI522" s="401">
        <f t="shared" si="697"/>
        <v>0</v>
      </c>
      <c r="AJ522" s="401">
        <f t="shared" si="697"/>
        <v>0</v>
      </c>
      <c r="AK522" s="401">
        <f t="shared" si="697"/>
        <v>0</v>
      </c>
      <c r="AL522" s="401">
        <f t="shared" si="697"/>
        <v>0</v>
      </c>
      <c r="AM522" s="401">
        <f t="shared" si="697"/>
        <v>0</v>
      </c>
      <c r="AN522" s="401">
        <f t="shared" si="697"/>
        <v>0</v>
      </c>
      <c r="AO522" s="401">
        <f t="shared" si="697"/>
        <v>0</v>
      </c>
      <c r="AP522" s="401">
        <f t="shared" si="697"/>
        <v>0</v>
      </c>
      <c r="AQ522" s="401">
        <f t="shared" si="697"/>
        <v>0</v>
      </c>
      <c r="AR522" s="401">
        <f t="shared" si="697"/>
        <v>0</v>
      </c>
      <c r="AS522" s="401">
        <f t="shared" si="697"/>
        <v>0</v>
      </c>
      <c r="AT522" s="401">
        <f t="shared" si="697"/>
        <v>0</v>
      </c>
      <c r="AU522" s="401">
        <f t="shared" si="697"/>
        <v>0</v>
      </c>
      <c r="AV522" s="401">
        <f t="shared" si="697"/>
        <v>0</v>
      </c>
      <c r="AW522" s="401">
        <f t="shared" si="697"/>
        <v>0</v>
      </c>
      <c r="AX522" s="401">
        <f t="shared" ref="AX522:BP522" si="698">SUM(AX365,AX444)</f>
        <v>0</v>
      </c>
      <c r="AY522" s="401">
        <f t="shared" si="698"/>
        <v>0</v>
      </c>
      <c r="AZ522" s="401">
        <f t="shared" si="698"/>
        <v>0</v>
      </c>
      <c r="BA522" s="401">
        <f t="shared" si="698"/>
        <v>0</v>
      </c>
      <c r="BB522" s="401">
        <f t="shared" si="698"/>
        <v>0</v>
      </c>
      <c r="BC522" s="401">
        <f t="shared" si="698"/>
        <v>0</v>
      </c>
      <c r="BD522" s="401">
        <f t="shared" si="698"/>
        <v>0</v>
      </c>
      <c r="BE522" s="401">
        <f t="shared" si="698"/>
        <v>0</v>
      </c>
      <c r="BF522" s="401">
        <f t="shared" si="698"/>
        <v>0</v>
      </c>
      <c r="BG522" s="401">
        <f t="shared" si="698"/>
        <v>0</v>
      </c>
      <c r="BH522" s="401">
        <f t="shared" si="698"/>
        <v>0</v>
      </c>
      <c r="BI522" s="401">
        <f t="shared" si="698"/>
        <v>0</v>
      </c>
      <c r="BJ522" s="401">
        <f t="shared" si="698"/>
        <v>0</v>
      </c>
      <c r="BK522" s="401">
        <f t="shared" si="698"/>
        <v>0</v>
      </c>
      <c r="BL522" s="401">
        <f t="shared" si="698"/>
        <v>0</v>
      </c>
      <c r="BM522" s="401">
        <f t="shared" si="698"/>
        <v>0</v>
      </c>
      <c r="BN522" s="401">
        <f t="shared" si="698"/>
        <v>0</v>
      </c>
      <c r="BO522" s="401">
        <f t="shared" si="698"/>
        <v>0</v>
      </c>
      <c r="BP522" s="401">
        <f t="shared" si="698"/>
        <v>0</v>
      </c>
    </row>
    <row r="523" spans="4:68" outlineLevel="1" x14ac:dyDescent="0.2">
      <c r="D523" s="403" t="str">
        <f>$D$289</f>
        <v>Decrease in opex costs</v>
      </c>
      <c r="E523" s="80"/>
      <c r="F523" s="80"/>
      <c r="G523" s="477">
        <f>Assumptions!$H$222</f>
        <v>1</v>
      </c>
      <c r="H523" s="477">
        <f>Assumptions!$I$222</f>
        <v>1</v>
      </c>
      <c r="I523" s="83"/>
      <c r="J523" s="85" t="str">
        <f>Assumptions!$K$222</f>
        <v>Employee engagement</v>
      </c>
      <c r="K523" s="401">
        <f t="shared" si="696"/>
        <v>0</v>
      </c>
      <c r="L523" s="436">
        <f t="shared" si="696"/>
        <v>0</v>
      </c>
      <c r="M523" s="457"/>
      <c r="N523" s="455"/>
      <c r="O523" s="455"/>
      <c r="P523" s="455"/>
      <c r="Q523" s="455"/>
      <c r="R523" s="401">
        <f t="shared" ref="R523:AW523" si="699">SUM(R366,R445)</f>
        <v>0</v>
      </c>
      <c r="S523" s="401">
        <f t="shared" si="699"/>
        <v>0</v>
      </c>
      <c r="T523" s="401">
        <f t="shared" si="699"/>
        <v>0</v>
      </c>
      <c r="U523" s="401">
        <f t="shared" si="699"/>
        <v>0</v>
      </c>
      <c r="V523" s="401">
        <f t="shared" si="699"/>
        <v>0</v>
      </c>
      <c r="W523" s="401">
        <f t="shared" si="699"/>
        <v>0</v>
      </c>
      <c r="X523" s="401">
        <f t="shared" si="699"/>
        <v>0</v>
      </c>
      <c r="Y523" s="401">
        <f t="shared" si="699"/>
        <v>0</v>
      </c>
      <c r="Z523" s="401">
        <f t="shared" si="699"/>
        <v>0</v>
      </c>
      <c r="AA523" s="401">
        <f t="shared" si="699"/>
        <v>0</v>
      </c>
      <c r="AB523" s="401">
        <f t="shared" si="699"/>
        <v>0</v>
      </c>
      <c r="AC523" s="401">
        <f t="shared" si="699"/>
        <v>0</v>
      </c>
      <c r="AD523" s="401">
        <f t="shared" si="699"/>
        <v>0</v>
      </c>
      <c r="AE523" s="401">
        <f t="shared" si="699"/>
        <v>0</v>
      </c>
      <c r="AF523" s="401">
        <f t="shared" si="699"/>
        <v>0</v>
      </c>
      <c r="AG523" s="401">
        <f t="shared" si="699"/>
        <v>0</v>
      </c>
      <c r="AH523" s="401">
        <f t="shared" si="699"/>
        <v>0</v>
      </c>
      <c r="AI523" s="401">
        <f t="shared" si="699"/>
        <v>0</v>
      </c>
      <c r="AJ523" s="401">
        <f t="shared" si="699"/>
        <v>0</v>
      </c>
      <c r="AK523" s="401">
        <f t="shared" si="699"/>
        <v>0</v>
      </c>
      <c r="AL523" s="401">
        <f t="shared" si="699"/>
        <v>0</v>
      </c>
      <c r="AM523" s="401">
        <f t="shared" si="699"/>
        <v>0</v>
      </c>
      <c r="AN523" s="401">
        <f t="shared" si="699"/>
        <v>0</v>
      </c>
      <c r="AO523" s="401">
        <f t="shared" si="699"/>
        <v>0</v>
      </c>
      <c r="AP523" s="401">
        <f t="shared" si="699"/>
        <v>0</v>
      </c>
      <c r="AQ523" s="401">
        <f t="shared" si="699"/>
        <v>0</v>
      </c>
      <c r="AR523" s="401">
        <f t="shared" si="699"/>
        <v>0</v>
      </c>
      <c r="AS523" s="401">
        <f t="shared" si="699"/>
        <v>0</v>
      </c>
      <c r="AT523" s="401">
        <f t="shared" si="699"/>
        <v>0</v>
      </c>
      <c r="AU523" s="401">
        <f t="shared" si="699"/>
        <v>0</v>
      </c>
      <c r="AV523" s="401">
        <f t="shared" si="699"/>
        <v>0</v>
      </c>
      <c r="AW523" s="401">
        <f t="shared" si="699"/>
        <v>0</v>
      </c>
      <c r="AX523" s="401">
        <f t="shared" ref="AX523:BP523" si="700">SUM(AX366,AX445)</f>
        <v>0</v>
      </c>
      <c r="AY523" s="401">
        <f t="shared" si="700"/>
        <v>0</v>
      </c>
      <c r="AZ523" s="401">
        <f t="shared" si="700"/>
        <v>0</v>
      </c>
      <c r="BA523" s="401">
        <f t="shared" si="700"/>
        <v>0</v>
      </c>
      <c r="BB523" s="401">
        <f t="shared" si="700"/>
        <v>0</v>
      </c>
      <c r="BC523" s="401">
        <f t="shared" si="700"/>
        <v>0</v>
      </c>
      <c r="BD523" s="401">
        <f t="shared" si="700"/>
        <v>0</v>
      </c>
      <c r="BE523" s="401">
        <f t="shared" si="700"/>
        <v>0</v>
      </c>
      <c r="BF523" s="401">
        <f t="shared" si="700"/>
        <v>0</v>
      </c>
      <c r="BG523" s="401">
        <f t="shared" si="700"/>
        <v>0</v>
      </c>
      <c r="BH523" s="401">
        <f t="shared" si="700"/>
        <v>0</v>
      </c>
      <c r="BI523" s="401">
        <f t="shared" si="700"/>
        <v>0</v>
      </c>
      <c r="BJ523" s="401">
        <f t="shared" si="700"/>
        <v>0</v>
      </c>
      <c r="BK523" s="401">
        <f t="shared" si="700"/>
        <v>0</v>
      </c>
      <c r="BL523" s="401">
        <f t="shared" si="700"/>
        <v>0</v>
      </c>
      <c r="BM523" s="401">
        <f t="shared" si="700"/>
        <v>0</v>
      </c>
      <c r="BN523" s="401">
        <f t="shared" si="700"/>
        <v>0</v>
      </c>
      <c r="BO523" s="401">
        <f t="shared" si="700"/>
        <v>0</v>
      </c>
      <c r="BP523" s="401">
        <f t="shared" si="700"/>
        <v>0</v>
      </c>
    </row>
    <row r="524" spans="4:68" outlineLevel="1" x14ac:dyDescent="0.2">
      <c r="D524" s="81" t="str">
        <f>$D$290</f>
        <v>Customer value</v>
      </c>
      <c r="E524" s="80"/>
      <c r="F524" s="80"/>
      <c r="G524" s="477">
        <f>Assumptions!$H$223</f>
        <v>0</v>
      </c>
      <c r="H524" s="477">
        <f>Assumptions!$I$223</f>
        <v>1</v>
      </c>
      <c r="I524" s="83"/>
      <c r="J524" s="85" t="str">
        <f>Assumptions!$K$223</f>
        <v>Customer value</v>
      </c>
      <c r="K524" s="401">
        <f t="shared" si="696"/>
        <v>3969253.7729400867</v>
      </c>
      <c r="L524" s="436">
        <f t="shared" si="696"/>
        <v>4792464.8588140327</v>
      </c>
      <c r="M524" s="457"/>
      <c r="N524" s="455"/>
      <c r="O524" s="455"/>
      <c r="P524" s="455"/>
      <c r="Q524" s="455"/>
      <c r="R524" s="401">
        <f t="shared" ref="R524:AW524" si="701">SUM(R367,R446)</f>
        <v>0</v>
      </c>
      <c r="S524" s="401">
        <f t="shared" si="701"/>
        <v>0</v>
      </c>
      <c r="T524" s="401">
        <f t="shared" si="701"/>
        <v>0</v>
      </c>
      <c r="U524" s="401">
        <f t="shared" si="701"/>
        <v>760493.3714148876</v>
      </c>
      <c r="V524" s="401">
        <f t="shared" si="701"/>
        <v>771622.35841197695</v>
      </c>
      <c r="W524" s="401">
        <f t="shared" si="701"/>
        <v>776831.45331736619</v>
      </c>
      <c r="X524" s="401">
        <f t="shared" si="701"/>
        <v>777369.37650212168</v>
      </c>
      <c r="Y524" s="401">
        <f t="shared" si="701"/>
        <v>789093.58836505224</v>
      </c>
      <c r="Z524" s="401">
        <f t="shared" si="701"/>
        <v>789093.58836505224</v>
      </c>
      <c r="AA524" s="401">
        <f t="shared" si="701"/>
        <v>63980.561218788018</v>
      </c>
      <c r="AB524" s="401">
        <f t="shared" si="701"/>
        <v>63980.561218788018</v>
      </c>
      <c r="AC524" s="401">
        <f t="shared" si="701"/>
        <v>0</v>
      </c>
      <c r="AD524" s="401">
        <f t="shared" si="701"/>
        <v>0</v>
      </c>
      <c r="AE524" s="401">
        <f t="shared" si="701"/>
        <v>0</v>
      </c>
      <c r="AF524" s="401">
        <f t="shared" si="701"/>
        <v>0</v>
      </c>
      <c r="AG524" s="401">
        <f t="shared" si="701"/>
        <v>0</v>
      </c>
      <c r="AH524" s="401">
        <f t="shared" si="701"/>
        <v>0</v>
      </c>
      <c r="AI524" s="401">
        <f t="shared" si="701"/>
        <v>0</v>
      </c>
      <c r="AJ524" s="401">
        <f t="shared" si="701"/>
        <v>0</v>
      </c>
      <c r="AK524" s="401">
        <f t="shared" si="701"/>
        <v>0</v>
      </c>
      <c r="AL524" s="401">
        <f t="shared" si="701"/>
        <v>0</v>
      </c>
      <c r="AM524" s="401">
        <f t="shared" si="701"/>
        <v>0</v>
      </c>
      <c r="AN524" s="401">
        <f t="shared" si="701"/>
        <v>0</v>
      </c>
      <c r="AO524" s="401">
        <f t="shared" si="701"/>
        <v>0</v>
      </c>
      <c r="AP524" s="401">
        <f t="shared" si="701"/>
        <v>0</v>
      </c>
      <c r="AQ524" s="401">
        <f t="shared" si="701"/>
        <v>0</v>
      </c>
      <c r="AR524" s="401">
        <f t="shared" si="701"/>
        <v>0</v>
      </c>
      <c r="AS524" s="401">
        <f t="shared" si="701"/>
        <v>0</v>
      </c>
      <c r="AT524" s="401">
        <f t="shared" si="701"/>
        <v>0</v>
      </c>
      <c r="AU524" s="401">
        <f t="shared" si="701"/>
        <v>0</v>
      </c>
      <c r="AV524" s="401">
        <f t="shared" si="701"/>
        <v>0</v>
      </c>
      <c r="AW524" s="401">
        <f t="shared" si="701"/>
        <v>0</v>
      </c>
      <c r="AX524" s="401">
        <f t="shared" ref="AX524:BP524" si="702">SUM(AX367,AX446)</f>
        <v>0</v>
      </c>
      <c r="AY524" s="401">
        <f t="shared" si="702"/>
        <v>0</v>
      </c>
      <c r="AZ524" s="401">
        <f t="shared" si="702"/>
        <v>0</v>
      </c>
      <c r="BA524" s="401">
        <f t="shared" si="702"/>
        <v>0</v>
      </c>
      <c r="BB524" s="401">
        <f t="shared" si="702"/>
        <v>0</v>
      </c>
      <c r="BC524" s="401">
        <f t="shared" si="702"/>
        <v>0</v>
      </c>
      <c r="BD524" s="401">
        <f t="shared" si="702"/>
        <v>0</v>
      </c>
      <c r="BE524" s="401">
        <f t="shared" si="702"/>
        <v>0</v>
      </c>
      <c r="BF524" s="401">
        <f t="shared" si="702"/>
        <v>0</v>
      </c>
      <c r="BG524" s="401">
        <f t="shared" si="702"/>
        <v>0</v>
      </c>
      <c r="BH524" s="401">
        <f t="shared" si="702"/>
        <v>0</v>
      </c>
      <c r="BI524" s="401">
        <f t="shared" si="702"/>
        <v>0</v>
      </c>
      <c r="BJ524" s="401">
        <f t="shared" si="702"/>
        <v>0</v>
      </c>
      <c r="BK524" s="401">
        <f t="shared" si="702"/>
        <v>0</v>
      </c>
      <c r="BL524" s="401">
        <f t="shared" si="702"/>
        <v>0</v>
      </c>
      <c r="BM524" s="401">
        <f t="shared" si="702"/>
        <v>0</v>
      </c>
      <c r="BN524" s="401">
        <f t="shared" si="702"/>
        <v>0</v>
      </c>
      <c r="BO524" s="401">
        <f t="shared" si="702"/>
        <v>0</v>
      </c>
      <c r="BP524" s="401">
        <f t="shared" si="702"/>
        <v>0</v>
      </c>
    </row>
    <row r="525" spans="4:68" ht="10.8" outlineLevel="1" thickBot="1" x14ac:dyDescent="0.25">
      <c r="D525" s="10"/>
      <c r="E525" s="80"/>
      <c r="F525" s="80"/>
      <c r="G525" s="80"/>
      <c r="H525" s="80"/>
      <c r="I525" s="80"/>
      <c r="J525" s="80"/>
      <c r="K525" s="80"/>
      <c r="L525" s="412"/>
      <c r="M525" s="413"/>
      <c r="N525" s="80"/>
      <c r="O525" s="80"/>
      <c r="P525" s="80"/>
      <c r="Q525" s="80"/>
      <c r="R525" s="80"/>
      <c r="S525" s="80"/>
      <c r="T525" s="83"/>
      <c r="U525" s="80"/>
      <c r="V525" s="80"/>
      <c r="W525" s="80"/>
      <c r="X525" s="80"/>
      <c r="Y525" s="80"/>
      <c r="Z525" s="80"/>
      <c r="AA525" s="80"/>
      <c r="AB525" s="80"/>
      <c r="AC525" s="80"/>
      <c r="AD525" s="80"/>
      <c r="AE525" s="80"/>
      <c r="AF525" s="80"/>
      <c r="AG525" s="80"/>
      <c r="AH525" s="80"/>
      <c r="AI525" s="80"/>
      <c r="AJ525" s="80"/>
      <c r="AK525" s="80"/>
      <c r="AL525" s="80"/>
      <c r="AM525" s="80"/>
      <c r="AN525" s="80"/>
      <c r="AO525" s="80"/>
      <c r="AP525" s="80"/>
      <c r="AQ525" s="80"/>
      <c r="AR525" s="80"/>
      <c r="AS525" s="80"/>
      <c r="AT525" s="80"/>
      <c r="AU525" s="80"/>
      <c r="AV525" s="80"/>
      <c r="AW525" s="80"/>
      <c r="AX525" s="80"/>
      <c r="AY525" s="80"/>
      <c r="AZ525" s="80"/>
      <c r="BA525" s="80"/>
      <c r="BB525" s="80"/>
      <c r="BC525" s="80"/>
      <c r="BD525" s="80"/>
      <c r="BE525" s="80"/>
      <c r="BF525" s="80"/>
      <c r="BG525" s="80"/>
      <c r="BH525" s="80"/>
      <c r="BI525" s="80"/>
      <c r="BJ525" s="80"/>
      <c r="BK525" s="80"/>
      <c r="BL525" s="80"/>
      <c r="BM525" s="80"/>
      <c r="BN525" s="80"/>
      <c r="BO525" s="80"/>
      <c r="BP525" s="80"/>
    </row>
    <row r="526" spans="4:68" ht="10.8" outlineLevel="1" thickTop="1" x14ac:dyDescent="0.2">
      <c r="D526" s="40" t="s">
        <v>405</v>
      </c>
      <c r="E526" s="487"/>
      <c r="F526" s="487"/>
      <c r="G526" s="487"/>
      <c r="H526" s="487"/>
      <c r="I526" s="487"/>
      <c r="J526" s="487"/>
      <c r="K526" s="41">
        <f>SUM(K471:K524,K465,K460,K468)</f>
        <v>26479600.106396303</v>
      </c>
      <c r="L526" s="41">
        <f>SUM(L471:L524,L465,L460,L468)</f>
        <v>32169669.527512752</v>
      </c>
      <c r="M526" s="132"/>
      <c r="N526" s="41"/>
      <c r="O526" s="41"/>
      <c r="P526" s="41"/>
      <c r="Q526" s="41"/>
      <c r="R526" s="41">
        <f>R448+R369</f>
        <v>0</v>
      </c>
      <c r="S526" s="41">
        <f t="shared" ref="S526:AW526" si="703">S448+S369</f>
        <v>0</v>
      </c>
      <c r="T526" s="41">
        <f t="shared" si="703"/>
        <v>0</v>
      </c>
      <c r="U526" s="41">
        <f t="shared" si="703"/>
        <v>5071726.8487363793</v>
      </c>
      <c r="V526" s="41">
        <f t="shared" si="703"/>
        <v>4638812.842628872</v>
      </c>
      <c r="W526" s="41">
        <f t="shared" si="703"/>
        <v>4678893.6913367175</v>
      </c>
      <c r="X526" s="41">
        <f t="shared" si="703"/>
        <v>5228131.0661161896</v>
      </c>
      <c r="Y526" s="41">
        <f t="shared" si="703"/>
        <v>4715812.596664465</v>
      </c>
      <c r="Z526" s="41">
        <f t="shared" si="703"/>
        <v>5876141.3548238594</v>
      </c>
      <c r="AA526" s="41">
        <f t="shared" si="703"/>
        <v>980075.56360313483</v>
      </c>
      <c r="AB526" s="41">
        <f t="shared" si="703"/>
        <v>980075.56360313436</v>
      </c>
      <c r="AC526" s="41">
        <f t="shared" si="703"/>
        <v>0</v>
      </c>
      <c r="AD526" s="41">
        <f t="shared" si="703"/>
        <v>0</v>
      </c>
      <c r="AE526" s="41">
        <f t="shared" si="703"/>
        <v>0</v>
      </c>
      <c r="AF526" s="41">
        <f t="shared" si="703"/>
        <v>0</v>
      </c>
      <c r="AG526" s="41">
        <f t="shared" si="703"/>
        <v>0</v>
      </c>
      <c r="AH526" s="41">
        <f t="shared" si="703"/>
        <v>0</v>
      </c>
      <c r="AI526" s="41">
        <f t="shared" si="703"/>
        <v>0</v>
      </c>
      <c r="AJ526" s="41">
        <f t="shared" si="703"/>
        <v>0</v>
      </c>
      <c r="AK526" s="41">
        <f t="shared" si="703"/>
        <v>0</v>
      </c>
      <c r="AL526" s="41">
        <f t="shared" si="703"/>
        <v>0</v>
      </c>
      <c r="AM526" s="41">
        <f t="shared" si="703"/>
        <v>0</v>
      </c>
      <c r="AN526" s="41">
        <f t="shared" si="703"/>
        <v>0</v>
      </c>
      <c r="AO526" s="41">
        <f t="shared" si="703"/>
        <v>0</v>
      </c>
      <c r="AP526" s="41">
        <f t="shared" si="703"/>
        <v>0</v>
      </c>
      <c r="AQ526" s="41">
        <f t="shared" si="703"/>
        <v>0</v>
      </c>
      <c r="AR526" s="41">
        <f t="shared" si="703"/>
        <v>0</v>
      </c>
      <c r="AS526" s="41">
        <f t="shared" si="703"/>
        <v>0</v>
      </c>
      <c r="AT526" s="41">
        <f t="shared" si="703"/>
        <v>0</v>
      </c>
      <c r="AU526" s="41">
        <f t="shared" si="703"/>
        <v>0</v>
      </c>
      <c r="AV526" s="41">
        <f t="shared" si="703"/>
        <v>0</v>
      </c>
      <c r="AW526" s="41">
        <f t="shared" si="703"/>
        <v>0</v>
      </c>
      <c r="AX526" s="41">
        <f t="shared" ref="AX526:BP526" si="704">AX448+AX369</f>
        <v>0</v>
      </c>
      <c r="AY526" s="41">
        <f t="shared" si="704"/>
        <v>0</v>
      </c>
      <c r="AZ526" s="41">
        <f t="shared" si="704"/>
        <v>0</v>
      </c>
      <c r="BA526" s="41">
        <f t="shared" si="704"/>
        <v>0</v>
      </c>
      <c r="BB526" s="41">
        <f t="shared" si="704"/>
        <v>0</v>
      </c>
      <c r="BC526" s="41">
        <f t="shared" si="704"/>
        <v>0</v>
      </c>
      <c r="BD526" s="41">
        <f t="shared" si="704"/>
        <v>0</v>
      </c>
      <c r="BE526" s="41">
        <f t="shared" si="704"/>
        <v>0</v>
      </c>
      <c r="BF526" s="41">
        <f t="shared" si="704"/>
        <v>0</v>
      </c>
      <c r="BG526" s="41">
        <f t="shared" si="704"/>
        <v>0</v>
      </c>
      <c r="BH526" s="41">
        <f t="shared" si="704"/>
        <v>0</v>
      </c>
      <c r="BI526" s="41">
        <f t="shared" si="704"/>
        <v>0</v>
      </c>
      <c r="BJ526" s="41">
        <f t="shared" si="704"/>
        <v>0</v>
      </c>
      <c r="BK526" s="41">
        <f t="shared" si="704"/>
        <v>0</v>
      </c>
      <c r="BL526" s="41">
        <f t="shared" si="704"/>
        <v>0</v>
      </c>
      <c r="BM526" s="41">
        <f t="shared" si="704"/>
        <v>0</v>
      </c>
      <c r="BN526" s="41">
        <f t="shared" si="704"/>
        <v>0</v>
      </c>
      <c r="BO526" s="41">
        <f t="shared" si="704"/>
        <v>0</v>
      </c>
      <c r="BP526" s="41">
        <f t="shared" si="704"/>
        <v>0</v>
      </c>
    </row>
    <row r="527" spans="4:68" outlineLevel="1" x14ac:dyDescent="0.2">
      <c r="D527" s="96" t="s">
        <v>403</v>
      </c>
      <c r="E527" s="80"/>
      <c r="F527" s="80"/>
      <c r="G527" s="80"/>
      <c r="H527" s="80"/>
      <c r="I527" s="80"/>
      <c r="J527" s="80"/>
      <c r="K527" s="95">
        <f>K448+K369</f>
        <v>26479600.106396291</v>
      </c>
      <c r="L527" s="131">
        <f>L448+L369</f>
        <v>32169669.527512763</v>
      </c>
      <c r="M527" s="413"/>
      <c r="N527" s="80"/>
      <c r="O527" s="80"/>
      <c r="P527" s="80"/>
      <c r="Q527" s="80"/>
      <c r="R527" s="80"/>
      <c r="S527" s="80"/>
      <c r="T527" s="83"/>
      <c r="U527" s="80"/>
      <c r="V527" s="80"/>
      <c r="W527" s="80"/>
      <c r="X527" s="80"/>
      <c r="Y527" s="80"/>
      <c r="Z527" s="80"/>
      <c r="AA527" s="80"/>
      <c r="AB527" s="80"/>
      <c r="AC527" s="80"/>
      <c r="AD527" s="80"/>
      <c r="AE527" s="80"/>
      <c r="AF527" s="80"/>
      <c r="AG527" s="80"/>
      <c r="AH527" s="80"/>
      <c r="AI527" s="80"/>
      <c r="AJ527" s="80"/>
      <c r="AK527" s="80"/>
      <c r="AL527" s="80"/>
      <c r="AM527" s="80"/>
      <c r="AN527" s="80"/>
      <c r="AO527" s="80"/>
      <c r="AP527" s="80"/>
      <c r="AQ527" s="80"/>
      <c r="AR527" s="80"/>
      <c r="AS527" s="80"/>
      <c r="AT527" s="80"/>
      <c r="AU527" s="80"/>
      <c r="AV527" s="80"/>
      <c r="AW527" s="80"/>
      <c r="AX527" s="80"/>
      <c r="AY527" s="80"/>
      <c r="AZ527" s="80"/>
      <c r="BA527" s="80"/>
      <c r="BB527" s="80"/>
      <c r="BC527" s="80"/>
      <c r="BD527" s="80"/>
      <c r="BE527" s="80"/>
      <c r="BF527" s="80"/>
      <c r="BG527" s="80"/>
      <c r="BH527" s="80"/>
      <c r="BI527" s="80"/>
      <c r="BJ527" s="80"/>
      <c r="BK527" s="80"/>
      <c r="BL527" s="80"/>
      <c r="BM527" s="80"/>
      <c r="BN527" s="80"/>
      <c r="BO527" s="80"/>
      <c r="BP527" s="80"/>
    </row>
    <row r="528" spans="4:68" outlineLevel="1" x14ac:dyDescent="0.2">
      <c r="D528" s="96"/>
      <c r="E528" s="80"/>
      <c r="F528" s="80"/>
      <c r="G528" s="80"/>
      <c r="H528" s="80"/>
      <c r="I528" s="80"/>
      <c r="J528" s="80"/>
      <c r="K528" s="95"/>
      <c r="L528" s="131"/>
      <c r="M528" s="413"/>
      <c r="N528" s="80"/>
      <c r="O528" s="80"/>
      <c r="P528" s="80"/>
      <c r="Q528" s="80"/>
      <c r="R528" s="80"/>
      <c r="S528" s="80"/>
      <c r="T528" s="83"/>
      <c r="U528" s="80"/>
      <c r="V528" s="80"/>
      <c r="W528" s="80"/>
      <c r="X528" s="80"/>
      <c r="Y528" s="80"/>
      <c r="Z528" s="80"/>
      <c r="AA528" s="80"/>
      <c r="AB528" s="80"/>
      <c r="AC528" s="80"/>
      <c r="AD528" s="80"/>
      <c r="AE528" s="80"/>
      <c r="AF528" s="80"/>
      <c r="AG528" s="80"/>
      <c r="AH528" s="80"/>
      <c r="AI528" s="80"/>
      <c r="AJ528" s="80"/>
      <c r="AK528" s="80"/>
      <c r="AL528" s="80"/>
      <c r="AM528" s="80"/>
      <c r="AN528" s="80"/>
      <c r="AO528" s="80"/>
      <c r="AP528" s="80"/>
      <c r="AQ528" s="80"/>
      <c r="AR528" s="80"/>
      <c r="AS528" s="80"/>
      <c r="AT528" s="80"/>
      <c r="AU528" s="80"/>
      <c r="AV528" s="80"/>
      <c r="AW528" s="80"/>
      <c r="AX528" s="80"/>
      <c r="AY528" s="80"/>
      <c r="AZ528" s="80"/>
      <c r="BA528" s="80"/>
      <c r="BB528" s="80"/>
      <c r="BC528" s="80"/>
      <c r="BD528" s="80"/>
      <c r="BE528" s="80"/>
      <c r="BF528" s="80"/>
      <c r="BG528" s="80"/>
      <c r="BH528" s="80"/>
      <c r="BI528" s="80"/>
      <c r="BJ528" s="80"/>
      <c r="BK528" s="80"/>
      <c r="BL528" s="80"/>
      <c r="BM528" s="80"/>
      <c r="BN528" s="80"/>
      <c r="BO528" s="80"/>
      <c r="BP528" s="80"/>
    </row>
    <row r="529" spans="2:68" s="14" customFormat="1" collapsed="1" x14ac:dyDescent="0.2">
      <c r="B529" s="16" t="s">
        <v>406</v>
      </c>
      <c r="C529" s="398"/>
      <c r="D529" s="496"/>
      <c r="E529" s="398"/>
      <c r="F529" s="398"/>
      <c r="G529" s="398"/>
      <c r="H529" s="398"/>
      <c r="I529" s="398"/>
      <c r="J529" s="398"/>
      <c r="K529" s="398"/>
      <c r="L529" s="497"/>
      <c r="M529" s="498"/>
      <c r="N529" s="499"/>
      <c r="O529" s="499"/>
      <c r="P529" s="499"/>
      <c r="Q529" s="499"/>
      <c r="R529" s="499"/>
      <c r="S529" s="499"/>
      <c r="T529" s="499"/>
      <c r="U529" s="499"/>
      <c r="V529" s="499"/>
      <c r="W529" s="499"/>
      <c r="X529" s="499"/>
      <c r="Y529" s="499"/>
      <c r="Z529" s="499"/>
      <c r="AA529" s="499"/>
      <c r="AB529" s="499"/>
      <c r="AC529" s="499"/>
      <c r="AD529" s="499"/>
      <c r="AE529" s="499"/>
      <c r="AF529" s="499"/>
      <c r="AG529" s="499"/>
      <c r="AH529" s="499"/>
      <c r="AI529" s="499"/>
      <c r="AJ529" s="499"/>
      <c r="AK529" s="499"/>
      <c r="AL529" s="499"/>
      <c r="AM529" s="499"/>
      <c r="AN529" s="499"/>
      <c r="AO529" s="499"/>
      <c r="AP529" s="499"/>
      <c r="AQ529" s="499"/>
      <c r="AR529" s="499"/>
      <c r="AS529" s="499"/>
      <c r="AT529" s="499"/>
      <c r="AU529" s="499"/>
      <c r="AV529" s="499"/>
      <c r="AW529" s="499"/>
      <c r="AX529" s="499"/>
      <c r="AY529" s="499"/>
      <c r="AZ529" s="499"/>
      <c r="BA529" s="499"/>
      <c r="BB529" s="499"/>
      <c r="BC529" s="499"/>
      <c r="BD529" s="499"/>
      <c r="BE529" s="499"/>
      <c r="BF529" s="499"/>
      <c r="BG529" s="499"/>
      <c r="BH529" s="499"/>
      <c r="BI529" s="499"/>
      <c r="BJ529" s="499"/>
      <c r="BK529" s="499"/>
      <c r="BL529" s="499"/>
      <c r="BM529" s="499"/>
      <c r="BN529" s="499"/>
      <c r="BO529" s="499"/>
      <c r="BP529" s="499"/>
    </row>
    <row r="530" spans="2:68" hidden="1" outlineLevel="1" x14ac:dyDescent="0.2">
      <c r="B530" s="20"/>
      <c r="C530" s="80"/>
      <c r="D530" s="81"/>
      <c r="E530" s="80"/>
      <c r="F530" s="80"/>
      <c r="G530" s="80"/>
      <c r="H530" s="80"/>
      <c r="I530" s="80"/>
      <c r="J530" s="80"/>
      <c r="K530" s="80"/>
      <c r="L530" s="436"/>
      <c r="M530" s="437"/>
      <c r="N530" s="401"/>
      <c r="O530" s="401"/>
      <c r="P530" s="401"/>
      <c r="Q530" s="401"/>
      <c r="R530" s="401"/>
      <c r="S530" s="401"/>
      <c r="T530" s="401"/>
      <c r="U530" s="401"/>
      <c r="V530" s="401"/>
      <c r="W530" s="401"/>
      <c r="X530" s="401"/>
      <c r="Y530" s="401"/>
      <c r="Z530" s="401"/>
      <c r="AA530" s="401"/>
      <c r="AB530" s="401"/>
      <c r="AC530" s="401"/>
      <c r="AD530" s="401"/>
      <c r="AE530" s="401"/>
      <c r="AF530" s="401"/>
      <c r="AG530" s="401"/>
      <c r="AH530" s="401"/>
      <c r="AI530" s="401"/>
      <c r="AJ530" s="401"/>
      <c r="AK530" s="401"/>
      <c r="AL530" s="401"/>
      <c r="AM530" s="401"/>
      <c r="AN530" s="401"/>
      <c r="AO530" s="401"/>
      <c r="AP530" s="401"/>
      <c r="AQ530" s="401"/>
      <c r="AR530" s="401"/>
      <c r="AS530" s="401"/>
      <c r="AT530" s="401"/>
      <c r="AU530" s="401"/>
      <c r="AV530" s="401"/>
      <c r="AW530" s="401"/>
      <c r="AX530" s="401"/>
      <c r="AY530" s="401"/>
      <c r="AZ530" s="401"/>
      <c r="BA530" s="401"/>
      <c r="BB530" s="401"/>
      <c r="BC530" s="401"/>
      <c r="BD530" s="401"/>
      <c r="BE530" s="401"/>
      <c r="BF530" s="401"/>
      <c r="BG530" s="401"/>
      <c r="BH530" s="401"/>
      <c r="BI530" s="401"/>
      <c r="BJ530" s="401"/>
      <c r="BK530" s="401"/>
      <c r="BL530" s="401"/>
      <c r="BM530" s="401"/>
      <c r="BN530" s="401"/>
      <c r="BO530" s="401"/>
      <c r="BP530" s="401"/>
    </row>
    <row r="531" spans="2:68" hidden="1" outlineLevel="1" x14ac:dyDescent="0.2">
      <c r="B531" s="20"/>
      <c r="C531" s="80"/>
      <c r="D531" s="81"/>
      <c r="E531" s="80"/>
      <c r="F531" s="80"/>
      <c r="G531" s="80"/>
      <c r="H531" s="80"/>
      <c r="I531" s="80"/>
      <c r="J531" s="80"/>
      <c r="K531" s="80"/>
      <c r="L531" s="436"/>
      <c r="M531" s="437"/>
      <c r="N531" s="401"/>
      <c r="O531" s="401"/>
      <c r="P531" s="401"/>
      <c r="Q531" s="401"/>
      <c r="R531" s="401"/>
      <c r="S531" s="500"/>
      <c r="T531" s="401"/>
      <c r="U531" s="401"/>
      <c r="V531" s="401"/>
      <c r="W531" s="401"/>
      <c r="X531" s="401"/>
      <c r="Y531" s="401"/>
      <c r="Z531" s="401"/>
      <c r="AA531" s="401"/>
      <c r="AB531" s="401"/>
      <c r="AC531" s="401"/>
      <c r="AD531" s="401"/>
      <c r="AE531" s="401"/>
      <c r="AF531" s="401"/>
      <c r="AG531" s="401"/>
      <c r="AH531" s="401"/>
      <c r="AI531" s="401"/>
      <c r="AJ531" s="401"/>
      <c r="AK531" s="401"/>
      <c r="AL531" s="401"/>
      <c r="AM531" s="401"/>
      <c r="AN531" s="401"/>
      <c r="AO531" s="401"/>
      <c r="AP531" s="401"/>
      <c r="AQ531" s="401"/>
      <c r="AR531" s="401"/>
      <c r="AS531" s="401"/>
      <c r="AT531" s="401"/>
      <c r="AU531" s="401"/>
      <c r="AV531" s="401"/>
      <c r="AW531" s="401"/>
      <c r="AX531" s="401"/>
      <c r="AY531" s="401"/>
      <c r="AZ531" s="401"/>
      <c r="BA531" s="401"/>
      <c r="BB531" s="401"/>
      <c r="BC531" s="401"/>
      <c r="BD531" s="401"/>
      <c r="BE531" s="401"/>
      <c r="BF531" s="401"/>
      <c r="BG531" s="401"/>
      <c r="BH531" s="401"/>
      <c r="BI531" s="401"/>
      <c r="BJ531" s="401"/>
      <c r="BK531" s="401"/>
      <c r="BL531" s="401"/>
      <c r="BM531" s="401"/>
      <c r="BN531" s="401"/>
      <c r="BO531" s="401"/>
      <c r="BP531" s="401"/>
    </row>
    <row r="532" spans="2:68" hidden="1" outlineLevel="1" x14ac:dyDescent="0.2">
      <c r="B532" s="20"/>
      <c r="C532" s="80"/>
      <c r="D532" s="81"/>
      <c r="E532" s="80"/>
      <c r="F532" s="80"/>
      <c r="G532" s="80"/>
      <c r="H532" s="80"/>
      <c r="I532" s="80"/>
      <c r="J532" s="80"/>
      <c r="K532" s="80"/>
      <c r="L532" s="436"/>
      <c r="M532" s="437"/>
      <c r="N532" s="401"/>
      <c r="O532" s="401"/>
      <c r="P532" s="401"/>
      <c r="Q532" s="401"/>
      <c r="R532" s="401"/>
      <c r="S532" s="401"/>
      <c r="T532" s="401"/>
      <c r="U532" s="401"/>
      <c r="V532" s="401"/>
      <c r="W532" s="401"/>
      <c r="X532" s="401"/>
      <c r="Y532" s="401"/>
      <c r="Z532" s="401"/>
      <c r="AA532" s="401"/>
      <c r="AB532" s="401"/>
      <c r="AC532" s="401"/>
      <c r="AD532" s="401"/>
      <c r="AE532" s="401"/>
      <c r="AF532" s="401"/>
      <c r="AG532" s="401"/>
      <c r="AH532" s="401"/>
      <c r="AI532" s="401"/>
      <c r="AJ532" s="401"/>
      <c r="AK532" s="401"/>
      <c r="AL532" s="401"/>
      <c r="AM532" s="401"/>
      <c r="AN532" s="401"/>
      <c r="AO532" s="401"/>
      <c r="AP532" s="401"/>
      <c r="AQ532" s="401"/>
      <c r="AR532" s="401"/>
      <c r="AS532" s="401"/>
      <c r="AT532" s="401"/>
      <c r="AU532" s="401"/>
      <c r="AV532" s="401"/>
      <c r="AW532" s="401"/>
      <c r="AX532" s="401"/>
      <c r="AY532" s="401"/>
      <c r="AZ532" s="401"/>
      <c r="BA532" s="401"/>
      <c r="BB532" s="401"/>
      <c r="BC532" s="401"/>
      <c r="BD532" s="401"/>
      <c r="BE532" s="401"/>
      <c r="BF532" s="401"/>
      <c r="BG532" s="401"/>
      <c r="BH532" s="401"/>
      <c r="BI532" s="401"/>
      <c r="BJ532" s="401"/>
      <c r="BK532" s="401"/>
      <c r="BL532" s="401"/>
      <c r="BM532" s="401"/>
      <c r="BN532" s="401"/>
      <c r="BO532" s="401"/>
      <c r="BP532" s="401"/>
    </row>
    <row r="533" spans="2:68" hidden="1" outlineLevel="1" x14ac:dyDescent="0.2">
      <c r="B533" s="20"/>
      <c r="C533" s="80"/>
      <c r="D533" s="81"/>
      <c r="E533" s="80"/>
      <c r="F533" s="80"/>
      <c r="G533" s="80"/>
      <c r="H533" s="80"/>
      <c r="I533" s="80"/>
      <c r="J533" s="80"/>
      <c r="K533" s="80"/>
      <c r="L533" s="436"/>
      <c r="M533" s="437"/>
      <c r="N533" s="401"/>
      <c r="O533" s="401"/>
      <c r="P533" s="401"/>
      <c r="Q533" s="401"/>
      <c r="R533" s="401"/>
      <c r="S533" s="401"/>
      <c r="T533" s="401"/>
      <c r="U533" s="401"/>
      <c r="V533" s="401"/>
      <c r="W533" s="401"/>
      <c r="X533" s="401"/>
      <c r="Y533" s="401"/>
      <c r="Z533" s="401"/>
      <c r="AA533" s="401"/>
      <c r="AB533" s="401"/>
      <c r="AC533" s="401"/>
      <c r="AD533" s="401"/>
      <c r="AE533" s="401"/>
      <c r="AF533" s="401"/>
      <c r="AG533" s="401"/>
      <c r="AH533" s="401"/>
      <c r="AI533" s="401"/>
      <c r="AJ533" s="401"/>
      <c r="AK533" s="401"/>
      <c r="AL533" s="401"/>
      <c r="AM533" s="401"/>
      <c r="AN533" s="401"/>
      <c r="AO533" s="401"/>
      <c r="AP533" s="401"/>
      <c r="AQ533" s="401"/>
      <c r="AR533" s="401"/>
      <c r="AS533" s="401"/>
      <c r="AT533" s="401"/>
      <c r="AU533" s="401"/>
      <c r="AV533" s="401"/>
      <c r="AW533" s="401"/>
      <c r="AX533" s="401"/>
      <c r="AY533" s="401"/>
      <c r="AZ533" s="401"/>
      <c r="BA533" s="401"/>
      <c r="BB533" s="401"/>
      <c r="BC533" s="401"/>
      <c r="BD533" s="401"/>
      <c r="BE533" s="401"/>
      <c r="BF533" s="401"/>
      <c r="BG533" s="401"/>
      <c r="BH533" s="401"/>
      <c r="BI533" s="401"/>
      <c r="BJ533" s="401"/>
      <c r="BK533" s="401"/>
      <c r="BL533" s="401"/>
      <c r="BM533" s="401"/>
      <c r="BN533" s="401"/>
      <c r="BO533" s="401"/>
      <c r="BP533" s="401"/>
    </row>
    <row r="534" spans="2:68" hidden="1" outlineLevel="1" x14ac:dyDescent="0.2">
      <c r="B534" s="20"/>
      <c r="C534" s="80"/>
      <c r="D534" s="81"/>
      <c r="E534" s="80"/>
      <c r="F534" s="80"/>
      <c r="G534" s="80"/>
      <c r="H534" s="80"/>
      <c r="I534" s="80"/>
      <c r="J534" s="80"/>
      <c r="K534" s="80"/>
      <c r="L534" s="436"/>
      <c r="M534" s="437"/>
      <c r="N534" s="401"/>
      <c r="O534" s="401"/>
      <c r="P534" s="401"/>
      <c r="Q534" s="401"/>
      <c r="R534" s="401"/>
      <c r="S534" s="401"/>
      <c r="T534" s="401"/>
      <c r="U534" s="401"/>
      <c r="V534" s="401"/>
      <c r="W534" s="401"/>
      <c r="X534" s="401"/>
      <c r="Y534" s="401"/>
      <c r="Z534" s="401"/>
      <c r="AA534" s="401"/>
      <c r="AB534" s="401"/>
      <c r="AC534" s="401"/>
      <c r="AD534" s="401"/>
      <c r="AE534" s="401"/>
      <c r="AF534" s="401"/>
      <c r="AG534" s="401"/>
      <c r="AH534" s="401"/>
      <c r="AI534" s="401"/>
      <c r="AJ534" s="401"/>
      <c r="AK534" s="401"/>
      <c r="AL534" s="401"/>
      <c r="AM534" s="401"/>
      <c r="AN534" s="401"/>
      <c r="AO534" s="401"/>
      <c r="AP534" s="401"/>
      <c r="AQ534" s="401"/>
      <c r="AR534" s="401"/>
      <c r="AS534" s="401"/>
      <c r="AT534" s="401"/>
      <c r="AU534" s="401"/>
      <c r="AV534" s="401"/>
      <c r="AW534" s="401"/>
      <c r="AX534" s="401"/>
      <c r="AY534" s="401"/>
      <c r="AZ534" s="401"/>
      <c r="BA534" s="401"/>
      <c r="BB534" s="401"/>
      <c r="BC534" s="401"/>
      <c r="BD534" s="401"/>
      <c r="BE534" s="401"/>
      <c r="BF534" s="401"/>
      <c r="BG534" s="401"/>
      <c r="BH534" s="401"/>
      <c r="BI534" s="401"/>
      <c r="BJ534" s="401"/>
      <c r="BK534" s="401"/>
      <c r="BL534" s="401"/>
      <c r="BM534" s="401"/>
      <c r="BN534" s="401"/>
      <c r="BO534" s="401"/>
      <c r="BP534" s="401"/>
    </row>
    <row r="535" spans="2:68" hidden="1" outlineLevel="1" x14ac:dyDescent="0.2">
      <c r="B535" s="80"/>
      <c r="C535" t="s">
        <v>407</v>
      </c>
      <c r="D535" s="80"/>
      <c r="E535" s="80"/>
      <c r="F535" s="80"/>
      <c r="G535" s="80"/>
      <c r="H535" s="80"/>
      <c r="I535" s="80"/>
      <c r="J535" s="80"/>
      <c r="K535" s="80"/>
      <c r="L535" s="412"/>
      <c r="M535" s="413"/>
      <c r="N535" s="80"/>
      <c r="O535" s="80"/>
      <c r="P535" s="80"/>
      <c r="Q535" s="80"/>
      <c r="R535" s="80"/>
      <c r="S535" s="80"/>
      <c r="T535" s="83"/>
      <c r="U535" s="80"/>
      <c r="V535" s="80"/>
      <c r="W535" s="80"/>
      <c r="X535" s="80"/>
      <c r="Y535" s="80"/>
      <c r="Z535" s="80"/>
      <c r="AA535" s="80"/>
      <c r="AB535" s="80"/>
      <c r="AC535" s="80"/>
      <c r="AD535" s="80"/>
      <c r="AE535" s="80"/>
      <c r="AF535" s="80"/>
      <c r="AG535" s="80"/>
      <c r="AH535" s="80"/>
      <c r="AI535" s="80"/>
      <c r="AJ535" s="80"/>
      <c r="AK535" s="80"/>
      <c r="AL535" s="80"/>
      <c r="AM535" s="80"/>
      <c r="AN535" s="80"/>
      <c r="AO535" s="80"/>
      <c r="AP535" s="80"/>
      <c r="AQ535" s="80"/>
      <c r="AR535" s="80"/>
      <c r="AS535" s="80"/>
      <c r="AT535" s="80"/>
      <c r="AU535" s="80"/>
      <c r="AV535" s="80"/>
      <c r="AW535" s="80"/>
      <c r="AX535" s="80"/>
      <c r="AY535" s="80"/>
      <c r="AZ535" s="80"/>
      <c r="BA535" s="80"/>
      <c r="BB535" s="80"/>
      <c r="BC535" s="80"/>
      <c r="BD535" s="80"/>
      <c r="BE535" s="80"/>
      <c r="BF535" s="80"/>
      <c r="BG535" s="80"/>
      <c r="BH535" s="80"/>
      <c r="BI535" s="80"/>
      <c r="BJ535" s="80"/>
      <c r="BK535" s="80"/>
      <c r="BL535" s="80"/>
      <c r="BM535" s="80"/>
      <c r="BN535" s="80"/>
      <c r="BO535" s="80"/>
      <c r="BP535" s="80"/>
    </row>
    <row r="536" spans="2:68" hidden="1" outlineLevel="1" x14ac:dyDescent="0.2">
      <c r="B536" s="80"/>
      <c r="C536" s="80"/>
      <c r="D536" s="80"/>
      <c r="E536" s="80"/>
      <c r="F536" s="80"/>
      <c r="G536" s="80"/>
      <c r="H536" s="80"/>
      <c r="I536" s="80"/>
      <c r="J536" s="80"/>
      <c r="K536" s="80"/>
      <c r="L536" s="412"/>
      <c r="M536" s="413"/>
      <c r="N536" s="80"/>
      <c r="O536" s="80"/>
      <c r="P536" s="80"/>
      <c r="Q536" s="80"/>
      <c r="R536" s="80"/>
      <c r="S536" s="80"/>
      <c r="T536" s="83"/>
      <c r="U536" s="80"/>
      <c r="V536" s="80"/>
      <c r="W536" s="80"/>
      <c r="X536" s="80"/>
      <c r="Y536" s="80"/>
      <c r="Z536" s="80"/>
      <c r="AA536" s="80"/>
      <c r="AB536" s="80"/>
      <c r="AC536" s="80"/>
      <c r="AD536" s="80"/>
      <c r="AE536" s="80"/>
      <c r="AF536" s="80"/>
      <c r="AG536" s="80"/>
      <c r="AH536" s="80"/>
      <c r="AI536" s="80"/>
      <c r="AJ536" s="80"/>
      <c r="AK536" s="80"/>
      <c r="AL536" s="80"/>
      <c r="AM536" s="80"/>
      <c r="AN536" s="80"/>
      <c r="AO536" s="80"/>
      <c r="AP536" s="80"/>
      <c r="AQ536" s="80"/>
      <c r="AR536" s="80"/>
      <c r="AS536" s="80"/>
      <c r="AT536" s="80"/>
      <c r="AU536" s="80"/>
      <c r="AV536" s="80"/>
      <c r="AW536" s="80"/>
      <c r="AX536" s="80"/>
      <c r="AY536" s="80"/>
      <c r="AZ536" s="80"/>
      <c r="BA536" s="80"/>
      <c r="BB536" s="80"/>
      <c r="BC536" s="80"/>
      <c r="BD536" s="80"/>
      <c r="BE536" s="80"/>
      <c r="BF536" s="80"/>
      <c r="BG536" s="80"/>
      <c r="BH536" s="80"/>
      <c r="BI536" s="80"/>
      <c r="BJ536" s="80"/>
      <c r="BK536" s="80"/>
      <c r="BL536" s="80"/>
      <c r="BM536" s="80"/>
      <c r="BN536" s="80"/>
      <c r="BO536" s="80"/>
      <c r="BP536" s="80"/>
    </row>
    <row r="537" spans="2:68" x14ac:dyDescent="0.2">
      <c r="B537" s="80"/>
      <c r="C537" s="80"/>
      <c r="D537" s="80"/>
      <c r="E537" s="80"/>
      <c r="F537" s="80"/>
      <c r="G537" s="80"/>
      <c r="H537" s="80"/>
      <c r="I537" s="80"/>
      <c r="J537" s="80"/>
      <c r="K537" s="80"/>
      <c r="L537" s="412"/>
      <c r="M537" s="413"/>
      <c r="N537" s="80"/>
      <c r="O537" s="80"/>
      <c r="P537" s="80"/>
      <c r="Q537" s="80"/>
      <c r="R537" s="80"/>
      <c r="S537" s="80"/>
      <c r="T537" s="83"/>
      <c r="U537" s="80"/>
      <c r="V537" s="80"/>
      <c r="W537" s="80"/>
      <c r="X537" s="80"/>
      <c r="Y537" s="80"/>
      <c r="Z537" s="80"/>
      <c r="AA537" s="80"/>
      <c r="AB537" s="80"/>
      <c r="AC537" s="80"/>
      <c r="AD537" s="80"/>
      <c r="AE537" s="80"/>
      <c r="AF537" s="80"/>
      <c r="AG537" s="80"/>
      <c r="AH537" s="80"/>
      <c r="AI537" s="80"/>
      <c r="AJ537" s="80"/>
      <c r="AK537" s="80"/>
      <c r="AL537" s="80"/>
      <c r="AM537" s="80"/>
      <c r="AN537" s="80"/>
      <c r="AO537" s="80"/>
      <c r="AP537" s="80"/>
      <c r="AQ537" s="80"/>
      <c r="AR537" s="80"/>
      <c r="AS537" s="80"/>
      <c r="AT537" s="80"/>
      <c r="AU537" s="80"/>
      <c r="AV537" s="80"/>
      <c r="AW537" s="80"/>
      <c r="AX537" s="80"/>
      <c r="AY537" s="80"/>
      <c r="AZ537" s="80"/>
      <c r="BA537" s="80"/>
      <c r="BB537" s="80"/>
      <c r="BC537" s="80"/>
      <c r="BD537" s="80"/>
      <c r="BE537" s="80"/>
      <c r="BF537" s="80"/>
      <c r="BG537" s="80"/>
      <c r="BH537" s="80"/>
      <c r="BI537" s="80"/>
      <c r="BJ537" s="80"/>
      <c r="BK537" s="80"/>
      <c r="BL537" s="80"/>
      <c r="BM537" s="80"/>
      <c r="BN537" s="80"/>
      <c r="BO537" s="80"/>
      <c r="BP537" s="80"/>
    </row>
  </sheetData>
  <mergeCells count="1">
    <mergeCell ref="K4:L4"/>
  </mergeCells>
  <conditionalFormatting sqref="G14">
    <cfRule type="containsText" dxfId="7" priority="1" operator="containsText" text="Ok">
      <formula>NOT(ISERROR(SEARCH("Ok",G14)))</formula>
    </cfRule>
    <cfRule type="containsText" dxfId="6" priority="2" operator="containsText" text="Check">
      <formula>NOT(ISERROR(SEARCH("Check",G14)))</formula>
    </cfRule>
  </conditionalFormatting>
  <pageMargins left="0.7" right="0.7" top="0.75" bottom="0.75" header="0.3" footer="0.3"/>
  <pageSetup paperSize="9" orientation="portrait" r:id="rId1"/>
  <headerFooter>
    <oddFooter>&amp;L&amp;1#&amp;"Calibri"&amp;8&amp;K000000For Official use only</oddFooter>
  </headerFooter>
  <customProperties>
    <customPr name="EpmWorksheetKeyString_GUID" r:id="rId2"/>
  </customProperties>
  <ignoredErrors>
    <ignoredError sqref="R19:V19 R22:V22" formulaRange="1"/>
  </ignoredErrors>
  <drawing r:id="rId3"/>
  <legacyDrawing r:id="rId4"/>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tabColor theme="0" tint="-0.249977111117893"/>
    <outlinePr summaryBelow="0"/>
  </sheetPr>
  <dimension ref="A1:BX233"/>
  <sheetViews>
    <sheetView showGridLines="0" workbookViewId="0">
      <selection activeCell="T36" sqref="T36:BU36"/>
    </sheetView>
  </sheetViews>
  <sheetFormatPr defaultColWidth="10.7109375" defaultRowHeight="10.199999999999999" outlineLevelRow="1" x14ac:dyDescent="0.2"/>
  <cols>
    <col min="1" max="3" width="1.7109375" style="12" customWidth="1"/>
    <col min="4" max="4" width="20.7109375" style="12" customWidth="1"/>
    <col min="5" max="9" width="10.7109375" style="12"/>
    <col min="10" max="10" width="10.7109375" style="13"/>
    <col min="11" max="16384" width="10.7109375" style="12"/>
  </cols>
  <sheetData>
    <row r="1" spans="1:49" s="2" customFormat="1" ht="10.35" customHeight="1" x14ac:dyDescent="0.2">
      <c r="A1" s="1" t="s">
        <v>12</v>
      </c>
      <c r="B1" s="392"/>
      <c r="C1" s="392"/>
      <c r="D1" s="392"/>
      <c r="E1" s="392"/>
      <c r="F1" s="392"/>
      <c r="G1" s="392"/>
      <c r="H1" s="392"/>
      <c r="I1" s="392"/>
      <c r="J1" s="392"/>
      <c r="K1" s="3"/>
      <c r="L1" s="4"/>
      <c r="M1" s="4"/>
      <c r="N1" s="4"/>
      <c r="O1" s="4"/>
      <c r="P1" s="4"/>
      <c r="Q1" s="4"/>
      <c r="R1" s="392"/>
      <c r="S1" s="5"/>
      <c r="T1" s="392"/>
      <c r="U1" s="392"/>
      <c r="V1" s="392"/>
      <c r="W1" s="392"/>
      <c r="X1" s="392"/>
      <c r="Y1" s="392"/>
      <c r="Z1" s="392"/>
      <c r="AA1" s="392"/>
      <c r="AB1" s="392"/>
      <c r="AC1" s="392"/>
      <c r="AD1" s="392"/>
      <c r="AE1" s="1"/>
      <c r="AF1" s="392"/>
      <c r="AG1" s="6"/>
      <c r="AH1" s="392"/>
      <c r="AI1" s="392"/>
      <c r="AJ1" s="392"/>
      <c r="AK1" s="392"/>
      <c r="AL1" s="392"/>
      <c r="AM1" s="392"/>
      <c r="AN1" s="1"/>
      <c r="AO1" s="392"/>
      <c r="AP1" s="6"/>
      <c r="AQ1" s="392"/>
      <c r="AR1" s="392"/>
      <c r="AS1" s="392"/>
      <c r="AT1" s="392"/>
      <c r="AU1" s="392"/>
      <c r="AV1" s="392"/>
      <c r="AW1" s="392"/>
    </row>
    <row r="2" spans="1:49" s="2" customFormat="1" ht="10.35" customHeight="1" x14ac:dyDescent="0.2">
      <c r="A2" s="392"/>
      <c r="B2" s="160" t="str">
        <f ca="1">RIGHT(CELL("filename",A1),LEN(CELL("filename",A1))-FIND("]",CELL("filename",A1)))</f>
        <v>Assumptions</v>
      </c>
      <c r="C2" s="392"/>
      <c r="D2" s="392"/>
      <c r="E2" s="392"/>
      <c r="F2" s="392"/>
      <c r="G2" s="392"/>
      <c r="H2" s="392"/>
      <c r="I2" s="392"/>
      <c r="J2" s="392"/>
      <c r="K2" s="392"/>
      <c r="L2" s="4"/>
      <c r="M2" s="4"/>
      <c r="N2" s="4"/>
      <c r="O2" s="4"/>
      <c r="P2" s="4"/>
      <c r="Q2" s="4"/>
      <c r="R2" s="392"/>
      <c r="S2" s="5"/>
      <c r="T2" s="392"/>
      <c r="U2" s="392"/>
      <c r="V2" s="392"/>
      <c r="W2" s="392"/>
      <c r="X2" s="392"/>
      <c r="Y2" s="392"/>
      <c r="Z2" s="392"/>
      <c r="AA2" s="392"/>
      <c r="AB2" s="392"/>
      <c r="AC2" s="392"/>
      <c r="AD2" s="392"/>
      <c r="AE2" s="1"/>
      <c r="AF2" s="392"/>
      <c r="AG2" s="6"/>
      <c r="AH2" s="392"/>
      <c r="AI2" s="392"/>
      <c r="AJ2" s="392"/>
      <c r="AK2" s="392"/>
      <c r="AL2" s="392"/>
      <c r="AM2" s="392"/>
      <c r="AN2" s="392"/>
      <c r="AO2" s="392"/>
      <c r="AP2" s="392"/>
      <c r="AQ2" s="392"/>
      <c r="AR2" s="392"/>
      <c r="AS2" s="392"/>
      <c r="AT2" s="392"/>
      <c r="AU2" s="392"/>
      <c r="AV2" s="392"/>
      <c r="AW2" s="392"/>
    </row>
    <row r="3" spans="1:49" s="2" customFormat="1" ht="10.35" customHeight="1" x14ac:dyDescent="0.2">
      <c r="A3" s="1"/>
      <c r="B3" s="392"/>
      <c r="C3" s="392"/>
      <c r="D3" s="392"/>
      <c r="E3" s="392"/>
      <c r="F3" s="392"/>
      <c r="G3" s="6"/>
      <c r="H3" s="392"/>
      <c r="I3" s="392"/>
      <c r="J3" s="392"/>
      <c r="K3" s="392"/>
      <c r="L3" s="4"/>
      <c r="M3" s="4"/>
      <c r="N3" s="4"/>
      <c r="O3" s="4"/>
      <c r="P3" s="4"/>
      <c r="Q3" s="4"/>
      <c r="R3" s="392"/>
      <c r="S3" s="5"/>
      <c r="T3" s="392"/>
      <c r="U3" s="392"/>
      <c r="V3" s="392"/>
      <c r="W3" s="392"/>
      <c r="X3" s="392"/>
      <c r="Y3" s="392"/>
      <c r="Z3" s="392"/>
      <c r="AA3" s="392"/>
      <c r="AB3" s="392"/>
      <c r="AC3" s="392"/>
      <c r="AD3" s="392"/>
      <c r="AE3" s="1"/>
      <c r="AF3" s="6"/>
      <c r="AG3" s="6"/>
      <c r="AH3" s="392"/>
      <c r="AI3" s="392"/>
      <c r="AJ3" s="392"/>
      <c r="AK3" s="392"/>
      <c r="AL3" s="392"/>
      <c r="AM3" s="392"/>
      <c r="AN3" s="392"/>
      <c r="AO3" s="392"/>
      <c r="AP3" s="392"/>
      <c r="AQ3" s="392"/>
      <c r="AR3" s="392"/>
      <c r="AS3" s="392"/>
      <c r="AT3" s="392"/>
      <c r="AU3" s="392"/>
      <c r="AV3" s="392"/>
      <c r="AW3" s="392"/>
    </row>
    <row r="4" spans="1:49" s="2" customFormat="1" ht="10.35" customHeight="1" x14ac:dyDescent="0.2">
      <c r="A4" s="7"/>
      <c r="B4" s="392"/>
      <c r="C4" s="392"/>
      <c r="D4" s="11" t="s">
        <v>13</v>
      </c>
      <c r="E4" s="393" t="s">
        <v>14</v>
      </c>
      <c r="F4" s="394" t="s">
        <v>15</v>
      </c>
      <c r="G4" s="133" t="s">
        <v>16</v>
      </c>
      <c r="H4" s="395" t="s">
        <v>17</v>
      </c>
      <c r="I4" s="396" t="s">
        <v>18</v>
      </c>
      <c r="J4" s="397" t="s">
        <v>19</v>
      </c>
      <c r="K4" s="510" t="s">
        <v>20</v>
      </c>
      <c r="L4" s="510"/>
      <c r="M4" s="4"/>
      <c r="N4" s="4"/>
      <c r="O4" s="4"/>
      <c r="P4" s="4"/>
      <c r="Q4" s="4"/>
      <c r="R4" s="392"/>
      <c r="S4" s="5"/>
      <c r="T4" s="392"/>
      <c r="U4" s="392"/>
      <c r="V4" s="392"/>
      <c r="W4" s="392"/>
      <c r="X4" s="392"/>
      <c r="Y4" s="392"/>
      <c r="Z4" s="392"/>
      <c r="AA4" s="392"/>
      <c r="AB4" s="392"/>
      <c r="AC4" s="392"/>
      <c r="AD4" s="392"/>
      <c r="AE4" s="1"/>
      <c r="AF4" s="6"/>
      <c r="AG4" s="6"/>
      <c r="AH4" s="392"/>
      <c r="AI4" s="392"/>
      <c r="AJ4" s="392"/>
      <c r="AK4" s="392"/>
      <c r="AL4" s="392"/>
      <c r="AM4" s="392"/>
      <c r="AN4" s="392"/>
      <c r="AO4" s="392"/>
      <c r="AP4" s="392"/>
      <c r="AQ4" s="392"/>
      <c r="AR4" s="392"/>
      <c r="AS4" s="392"/>
      <c r="AT4" s="392"/>
      <c r="AU4" s="392"/>
      <c r="AV4" s="392"/>
      <c r="AW4" s="392"/>
    </row>
    <row r="5" spans="1:49" s="2" customFormat="1" ht="10.35" customHeight="1" x14ac:dyDescent="0.2">
      <c r="A5" s="392"/>
      <c r="B5" s="392"/>
      <c r="C5" s="392"/>
      <c r="D5" s="392"/>
      <c r="E5" s="392"/>
      <c r="F5" s="392"/>
      <c r="G5" s="392"/>
      <c r="H5" s="392"/>
      <c r="I5" s="392"/>
      <c r="J5" s="392"/>
      <c r="K5" s="392"/>
      <c r="L5" s="1"/>
      <c r="M5" s="1"/>
      <c r="N5" s="1"/>
      <c r="O5" s="1"/>
      <c r="P5" s="1"/>
      <c r="Q5" s="1"/>
      <c r="R5" s="392"/>
      <c r="S5" s="5"/>
      <c r="T5" s="392"/>
      <c r="U5" s="392"/>
      <c r="V5" s="392"/>
      <c r="W5" s="392"/>
      <c r="X5" s="392"/>
      <c r="Y5" s="392"/>
      <c r="Z5" s="392"/>
      <c r="AA5" s="392"/>
      <c r="AB5" s="392"/>
      <c r="AC5" s="392"/>
      <c r="AD5" s="392"/>
      <c r="AE5" s="1"/>
      <c r="AF5" s="6"/>
      <c r="AG5" s="6"/>
      <c r="AH5" s="392"/>
      <c r="AI5" s="392"/>
      <c r="AJ5" s="392"/>
      <c r="AK5" s="392"/>
      <c r="AL5" s="392"/>
      <c r="AM5" s="392"/>
      <c r="AN5" s="392"/>
      <c r="AO5" s="392"/>
      <c r="AP5" s="392"/>
      <c r="AQ5" s="392"/>
      <c r="AR5" s="392"/>
      <c r="AS5" s="392"/>
      <c r="AT5" s="392"/>
      <c r="AU5" s="392"/>
      <c r="AV5" s="392"/>
      <c r="AW5" s="392"/>
    </row>
    <row r="6" spans="1:49" s="8" customFormat="1" ht="10.35" customHeight="1" x14ac:dyDescent="0.2">
      <c r="A6" s="80"/>
      <c r="B6" s="80"/>
      <c r="C6" s="80"/>
      <c r="D6" s="80"/>
      <c r="E6" s="80"/>
      <c r="F6" s="80"/>
      <c r="G6" s="80"/>
      <c r="H6" s="80"/>
      <c r="I6" s="80"/>
      <c r="J6" s="83"/>
      <c r="K6" s="80"/>
      <c r="L6" s="80"/>
      <c r="M6" s="80"/>
      <c r="N6" s="80"/>
      <c r="O6" s="80"/>
      <c r="P6" s="80"/>
      <c r="Q6" s="80"/>
      <c r="R6" s="80"/>
      <c r="S6" s="80"/>
      <c r="T6" s="80"/>
      <c r="U6" s="80"/>
      <c r="V6" s="80"/>
      <c r="W6" s="80"/>
      <c r="X6" s="80"/>
      <c r="Y6" s="80"/>
      <c r="Z6" s="80"/>
      <c r="AA6" s="80"/>
      <c r="AB6" s="80"/>
      <c r="AC6" s="80"/>
      <c r="AD6" s="80"/>
      <c r="AE6" s="80"/>
      <c r="AF6" s="80"/>
      <c r="AG6" s="80"/>
      <c r="AH6" s="80"/>
      <c r="AI6" s="80"/>
      <c r="AJ6" s="80"/>
      <c r="AK6" s="80"/>
      <c r="AL6" s="80"/>
      <c r="AM6" s="80"/>
      <c r="AN6" s="80"/>
      <c r="AO6" s="80"/>
      <c r="AP6" s="80"/>
      <c r="AQ6" s="80"/>
      <c r="AR6" s="80"/>
      <c r="AS6" s="80"/>
      <c r="AT6" s="80"/>
      <c r="AU6" s="80"/>
      <c r="AV6" s="80"/>
      <c r="AW6" s="80"/>
    </row>
    <row r="7" spans="1:49" s="8" customFormat="1" ht="10.35" customHeight="1" x14ac:dyDescent="0.2">
      <c r="A7" s="80"/>
      <c r="B7" s="80"/>
      <c r="C7" s="80"/>
      <c r="D7" s="80"/>
      <c r="E7" s="80"/>
      <c r="F7" s="80"/>
      <c r="G7" s="80"/>
      <c r="H7" s="80"/>
      <c r="I7" s="80"/>
      <c r="J7" s="83"/>
      <c r="K7" s="80"/>
      <c r="L7" s="80"/>
      <c r="M7" s="80"/>
      <c r="N7" s="80"/>
      <c r="O7" s="80"/>
      <c r="P7" s="80"/>
      <c r="Q7" s="80"/>
      <c r="R7" s="80"/>
      <c r="S7" s="80"/>
      <c r="T7" s="80"/>
      <c r="U7" s="80"/>
      <c r="V7" s="80"/>
      <c r="W7" s="80"/>
      <c r="X7" s="80"/>
      <c r="Y7" s="80"/>
      <c r="Z7" s="80"/>
      <c r="AA7" s="80"/>
      <c r="AB7" s="80"/>
      <c r="AC7" s="80"/>
      <c r="AD7" s="80"/>
      <c r="AE7" s="80"/>
      <c r="AF7" s="80"/>
      <c r="AG7" s="80"/>
      <c r="AH7" s="80"/>
      <c r="AI7" s="80"/>
      <c r="AJ7" s="80"/>
      <c r="AK7" s="80"/>
      <c r="AL7" s="80"/>
      <c r="AM7" s="80"/>
      <c r="AN7" s="80"/>
      <c r="AO7" s="80"/>
      <c r="AP7" s="80"/>
      <c r="AQ7" s="80"/>
      <c r="AR7" s="80"/>
      <c r="AS7" s="80"/>
      <c r="AT7" s="80"/>
      <c r="AU7" s="80"/>
      <c r="AV7" s="80"/>
      <c r="AW7" s="80"/>
    </row>
    <row r="8" spans="1:49" s="8" customFormat="1" ht="10.35" customHeight="1" x14ac:dyDescent="0.2">
      <c r="A8" s="80"/>
      <c r="B8" s="80"/>
      <c r="C8" s="80"/>
      <c r="D8" s="80"/>
      <c r="E8" s="80"/>
      <c r="F8" s="80"/>
      <c r="G8" s="80"/>
      <c r="H8" s="80"/>
      <c r="I8" s="80"/>
      <c r="J8" s="83"/>
      <c r="K8" s="80"/>
      <c r="L8" s="80"/>
      <c r="M8" s="80"/>
      <c r="N8" s="80"/>
      <c r="O8" s="80"/>
      <c r="P8" s="80"/>
      <c r="Q8" s="80"/>
      <c r="R8" s="80"/>
      <c r="S8" s="80"/>
      <c r="T8" s="80"/>
      <c r="U8" s="80"/>
      <c r="V8" s="80"/>
      <c r="W8" s="80"/>
      <c r="X8" s="80"/>
      <c r="Y8" s="80"/>
      <c r="Z8" s="80"/>
      <c r="AA8" s="80"/>
      <c r="AB8" s="80"/>
      <c r="AC8" s="80"/>
      <c r="AD8" s="80"/>
      <c r="AE8" s="80"/>
      <c r="AF8" s="80"/>
      <c r="AG8" s="80"/>
      <c r="AH8" s="80"/>
      <c r="AI8" s="80"/>
      <c r="AJ8" s="80"/>
      <c r="AK8" s="80"/>
      <c r="AL8" s="80"/>
      <c r="AM8" s="80"/>
      <c r="AN8" s="80"/>
      <c r="AO8" s="80"/>
      <c r="AP8" s="80"/>
      <c r="AQ8" s="80"/>
      <c r="AR8" s="80"/>
      <c r="AS8" s="80"/>
      <c r="AT8" s="80"/>
      <c r="AU8" s="80"/>
      <c r="AV8" s="80"/>
      <c r="AW8" s="80"/>
    </row>
    <row r="9" spans="1:49" s="8" customFormat="1" ht="10.35" customHeight="1" x14ac:dyDescent="0.2">
      <c r="A9" s="80"/>
      <c r="B9" s="80"/>
      <c r="C9" s="80"/>
      <c r="D9" s="80"/>
      <c r="E9" s="80"/>
      <c r="F9" s="80"/>
      <c r="G9" s="80"/>
      <c r="H9" s="80"/>
      <c r="I9" s="80"/>
      <c r="J9" s="83"/>
      <c r="K9" s="80"/>
      <c r="L9" s="80"/>
      <c r="M9" s="80"/>
      <c r="N9" s="80"/>
      <c r="O9" s="80"/>
      <c r="P9" s="80"/>
      <c r="Q9" s="80"/>
      <c r="R9" s="80"/>
      <c r="S9" s="80"/>
      <c r="T9" s="80"/>
      <c r="U9" s="80"/>
      <c r="V9" s="80"/>
      <c r="W9" s="80"/>
      <c r="X9" s="80"/>
      <c r="Y9" s="80"/>
      <c r="Z9" s="80"/>
      <c r="AA9" s="80"/>
      <c r="AB9" s="80"/>
      <c r="AC9" s="80"/>
      <c r="AD9" s="80"/>
      <c r="AE9" s="80"/>
      <c r="AF9" s="80"/>
      <c r="AG9" s="80"/>
      <c r="AH9" s="80"/>
      <c r="AI9" s="80"/>
      <c r="AJ9" s="80"/>
      <c r="AK9" s="80"/>
      <c r="AL9" s="80"/>
      <c r="AM9" s="80"/>
      <c r="AN9" s="80"/>
      <c r="AO9" s="80"/>
      <c r="AP9" s="80"/>
      <c r="AQ9" s="80"/>
      <c r="AR9" s="80"/>
      <c r="AS9" s="80"/>
      <c r="AT9" s="80"/>
      <c r="AU9" s="80"/>
      <c r="AV9" s="80"/>
      <c r="AW9" s="80"/>
    </row>
    <row r="10" spans="1:49" s="14" customFormat="1" ht="10.35" customHeight="1" x14ac:dyDescent="0.2">
      <c r="A10" s="398"/>
      <c r="B10" s="16" t="s">
        <v>408</v>
      </c>
      <c r="C10" s="398"/>
      <c r="D10" s="398"/>
      <c r="E10" s="398"/>
      <c r="F10" s="398"/>
      <c r="G10" s="398"/>
      <c r="H10" s="398"/>
      <c r="I10" s="398"/>
      <c r="J10" s="399"/>
      <c r="K10" s="398"/>
      <c r="L10" s="398"/>
      <c r="M10" s="398"/>
      <c r="N10" s="398"/>
      <c r="O10" s="398"/>
      <c r="P10" s="398"/>
      <c r="Q10" s="398"/>
      <c r="R10" s="398"/>
      <c r="S10" s="398"/>
      <c r="T10" s="398"/>
      <c r="U10" s="398"/>
      <c r="V10" s="398"/>
      <c r="W10" s="398"/>
      <c r="X10" s="398"/>
      <c r="Y10" s="398"/>
      <c r="Z10" s="398"/>
      <c r="AA10" s="398"/>
      <c r="AB10" s="398"/>
      <c r="AC10" s="398"/>
      <c r="AD10" s="398"/>
      <c r="AE10" s="398"/>
      <c r="AF10" s="398"/>
      <c r="AG10" s="398"/>
      <c r="AH10" s="398"/>
      <c r="AI10" s="398"/>
      <c r="AJ10" s="398"/>
      <c r="AK10" s="398"/>
      <c r="AL10" s="398"/>
      <c r="AM10" s="398"/>
      <c r="AN10" s="398"/>
      <c r="AO10" s="398"/>
      <c r="AP10" s="398"/>
      <c r="AQ10" s="398"/>
      <c r="AR10" s="398"/>
      <c r="AS10" s="398"/>
      <c r="AT10" s="398"/>
      <c r="AU10" s="398"/>
      <c r="AV10" s="398"/>
      <c r="AW10" s="398"/>
    </row>
    <row r="11" spans="1:49" s="8" customFormat="1" ht="10.35" customHeight="1" outlineLevel="1" x14ac:dyDescent="0.2">
      <c r="A11" s="80"/>
      <c r="B11" s="80"/>
      <c r="C11" s="80"/>
      <c r="D11" s="80"/>
      <c r="E11" s="80"/>
      <c r="F11" s="80"/>
      <c r="G11" s="80"/>
      <c r="H11" s="80"/>
      <c r="I11" s="80"/>
      <c r="J11" s="83"/>
      <c r="K11" s="80"/>
      <c r="L11" s="80"/>
      <c r="M11" s="80"/>
      <c r="N11" s="80"/>
      <c r="O11" s="80"/>
      <c r="P11" s="80"/>
      <c r="Q11" s="80"/>
      <c r="R11" s="80"/>
      <c r="S11" s="80"/>
      <c r="T11" s="80"/>
      <c r="U11" s="80"/>
      <c r="V11" s="80"/>
      <c r="W11" s="80"/>
      <c r="X11" s="143"/>
      <c r="Y11" s="144"/>
      <c r="Z11" s="80"/>
      <c r="AA11" s="80"/>
      <c r="AB11" s="80"/>
      <c r="AC11" s="80"/>
      <c r="AD11" s="80"/>
      <c r="AE11" s="80"/>
      <c r="AF11" s="80"/>
      <c r="AG11" s="80"/>
      <c r="AH11" s="80"/>
      <c r="AI11" s="80"/>
      <c r="AJ11" s="80"/>
      <c r="AK11" s="80"/>
      <c r="AL11" s="80"/>
      <c r="AM11" s="80"/>
      <c r="AN11" s="80"/>
      <c r="AO11" s="80"/>
      <c r="AP11" s="80"/>
      <c r="AQ11" s="80"/>
      <c r="AR11" s="80"/>
      <c r="AS11" s="80"/>
      <c r="AT11" s="80"/>
      <c r="AU11" s="80"/>
      <c r="AV11" s="80"/>
      <c r="AW11" s="80"/>
    </row>
    <row r="12" spans="1:49" s="8" customFormat="1" ht="10.35" customHeight="1" outlineLevel="1" x14ac:dyDescent="0.2">
      <c r="A12" s="80"/>
      <c r="B12" s="80"/>
      <c r="C12" s="80"/>
      <c r="D12" s="80"/>
      <c r="E12" s="80"/>
      <c r="F12" s="80"/>
      <c r="G12" s="80"/>
      <c r="H12" s="80"/>
      <c r="I12" s="80"/>
      <c r="J12" s="83"/>
      <c r="K12" s="80"/>
      <c r="L12" s="80"/>
      <c r="M12" s="80"/>
      <c r="N12" s="80"/>
      <c r="O12" s="80"/>
      <c r="P12" s="80"/>
      <c r="Q12" s="80"/>
      <c r="R12" s="80"/>
      <c r="S12" s="80"/>
      <c r="T12" s="80"/>
      <c r="U12" s="80"/>
      <c r="V12" s="80"/>
      <c r="W12" s="80"/>
      <c r="X12" s="143"/>
      <c r="Y12" s="144"/>
      <c r="Z12" s="80"/>
      <c r="AA12" s="80"/>
      <c r="AB12" s="80"/>
      <c r="AC12" s="80"/>
      <c r="AD12" s="80"/>
      <c r="AE12" s="80"/>
      <c r="AF12" s="80"/>
      <c r="AG12" s="80"/>
      <c r="AH12" s="80"/>
      <c r="AI12" s="80"/>
      <c r="AJ12" s="80"/>
      <c r="AK12" s="80"/>
      <c r="AL12" s="80"/>
      <c r="AM12" s="80"/>
      <c r="AN12" s="80"/>
      <c r="AO12" s="80"/>
      <c r="AP12" s="80"/>
      <c r="AQ12" s="80"/>
      <c r="AR12" s="80"/>
      <c r="AS12" s="80"/>
      <c r="AT12" s="80"/>
      <c r="AU12" s="80"/>
      <c r="AV12" s="80"/>
      <c r="AW12" s="80"/>
    </row>
    <row r="13" spans="1:49" s="8" customFormat="1" ht="10.35" customHeight="1" outlineLevel="1" x14ac:dyDescent="0.2">
      <c r="A13" s="80"/>
      <c r="B13" s="80"/>
      <c r="C13" s="80"/>
      <c r="D13" s="80"/>
      <c r="E13" s="80"/>
      <c r="F13" s="80"/>
      <c r="G13" s="80"/>
      <c r="H13" s="80"/>
      <c r="I13" s="80"/>
      <c r="J13" s="83"/>
      <c r="K13" s="80"/>
      <c r="L13" s="80"/>
      <c r="M13" s="80"/>
      <c r="N13" s="80"/>
      <c r="O13" s="80"/>
      <c r="P13" s="80"/>
      <c r="Q13" s="80"/>
      <c r="R13" s="80"/>
      <c r="S13" s="80"/>
      <c r="T13" s="80"/>
      <c r="U13" s="80"/>
      <c r="V13" s="80"/>
      <c r="W13" s="80"/>
      <c r="X13" s="143"/>
      <c r="Y13" s="144"/>
      <c r="Z13" s="80"/>
      <c r="AA13" s="80"/>
      <c r="AB13" s="80"/>
      <c r="AC13" s="80"/>
      <c r="AD13" s="80"/>
      <c r="AE13" s="80"/>
      <c r="AF13" s="80"/>
      <c r="AG13" s="80"/>
      <c r="AH13" s="80"/>
      <c r="AI13" s="80"/>
      <c r="AJ13" s="80"/>
      <c r="AK13" s="80"/>
      <c r="AL13" s="80"/>
      <c r="AM13" s="80"/>
      <c r="AN13" s="80"/>
      <c r="AO13" s="80"/>
      <c r="AP13" s="80"/>
      <c r="AQ13" s="80"/>
      <c r="AR13" s="80"/>
      <c r="AS13" s="80"/>
      <c r="AT13" s="80"/>
      <c r="AU13" s="80"/>
      <c r="AV13" s="80"/>
      <c r="AW13" s="80"/>
    </row>
    <row r="14" spans="1:49" s="8" customFormat="1" ht="10.35" customHeight="1" outlineLevel="1" x14ac:dyDescent="0.2">
      <c r="A14" s="80"/>
      <c r="B14" s="80"/>
      <c r="C14" s="80"/>
      <c r="D14" s="80"/>
      <c r="E14" s="80"/>
      <c r="F14" s="80"/>
      <c r="G14" s="80"/>
      <c r="H14" s="80"/>
      <c r="I14" s="80"/>
      <c r="J14" s="83"/>
      <c r="K14" s="80"/>
      <c r="L14" s="80"/>
      <c r="M14" s="80"/>
      <c r="N14" s="80"/>
      <c r="O14" s="80"/>
      <c r="P14" s="80"/>
      <c r="Q14" s="80"/>
      <c r="R14" s="80"/>
      <c r="S14" s="80"/>
      <c r="T14" s="80"/>
      <c r="U14" s="80"/>
      <c r="V14" s="80"/>
      <c r="W14" s="80"/>
      <c r="X14" s="143"/>
      <c r="Y14" s="144"/>
      <c r="Z14" s="80"/>
      <c r="AA14" s="80"/>
      <c r="AB14" s="80"/>
      <c r="AC14" s="80"/>
      <c r="AD14" s="80"/>
      <c r="AE14" s="80"/>
      <c r="AF14" s="80"/>
      <c r="AG14" s="80"/>
      <c r="AH14" s="80"/>
      <c r="AI14" s="80"/>
      <c r="AJ14" s="80"/>
      <c r="AK14" s="80"/>
      <c r="AL14" s="80"/>
      <c r="AM14" s="80"/>
      <c r="AN14" s="80"/>
      <c r="AO14" s="80"/>
      <c r="AP14" s="80"/>
      <c r="AQ14" s="80"/>
      <c r="AR14" s="80"/>
      <c r="AS14" s="80"/>
      <c r="AT14" s="80"/>
      <c r="AU14" s="80"/>
      <c r="AV14" s="80"/>
      <c r="AW14" s="80"/>
    </row>
    <row r="15" spans="1:49" s="8" customFormat="1" ht="10.35" customHeight="1" outlineLevel="1" x14ac:dyDescent="0.2">
      <c r="A15" s="80"/>
      <c r="B15" s="80"/>
      <c r="C15" s="80"/>
      <c r="D15" s="80"/>
      <c r="E15" s="80"/>
      <c r="F15" s="80"/>
      <c r="G15" s="80"/>
      <c r="H15" s="80"/>
      <c r="I15" s="80"/>
      <c r="J15" s="83"/>
      <c r="K15" s="80"/>
      <c r="L15" s="80"/>
      <c r="M15" s="80"/>
      <c r="N15" s="80"/>
      <c r="O15" s="80"/>
      <c r="P15" s="80"/>
      <c r="Q15" s="80"/>
      <c r="R15" s="80"/>
      <c r="S15" s="80"/>
      <c r="T15" s="80"/>
      <c r="U15" s="80"/>
      <c r="V15" s="80"/>
      <c r="W15" s="80"/>
      <c r="X15" s="143"/>
      <c r="Y15" s="144"/>
      <c r="Z15" s="80"/>
      <c r="AA15" s="80"/>
      <c r="AB15" s="80"/>
      <c r="AC15" s="80"/>
      <c r="AD15" s="80"/>
      <c r="AE15" s="80"/>
      <c r="AF15" s="80"/>
      <c r="AG15" s="80"/>
      <c r="AH15" s="80"/>
      <c r="AI15" s="80"/>
      <c r="AJ15" s="80"/>
      <c r="AK15" s="80"/>
      <c r="AL15" s="80"/>
      <c r="AM15" s="80"/>
      <c r="AN15" s="80"/>
      <c r="AO15" s="80"/>
      <c r="AP15" s="80"/>
      <c r="AQ15" s="80"/>
      <c r="AR15" s="80"/>
      <c r="AS15" s="80"/>
      <c r="AT15" s="80"/>
      <c r="AU15" s="80"/>
      <c r="AV15" s="80"/>
      <c r="AW15" s="80"/>
    </row>
    <row r="16" spans="1:49" s="8" customFormat="1" ht="10.35" customHeight="1" outlineLevel="1" x14ac:dyDescent="0.2">
      <c r="A16" s="80"/>
      <c r="B16" s="80"/>
      <c r="C16" s="80"/>
      <c r="D16" s="80"/>
      <c r="E16" s="80"/>
      <c r="F16" s="80"/>
      <c r="G16" s="80"/>
      <c r="H16" s="80"/>
      <c r="I16" s="80"/>
      <c r="J16" s="83"/>
      <c r="K16" s="80"/>
      <c r="L16" s="80"/>
      <c r="M16" s="80"/>
      <c r="N16" s="80"/>
      <c r="O16" s="80"/>
      <c r="P16" s="80"/>
      <c r="Q16" s="80"/>
      <c r="R16" s="80"/>
      <c r="S16" s="80"/>
      <c r="T16" s="80"/>
      <c r="U16" s="80"/>
      <c r="V16" s="80"/>
      <c r="W16" s="80"/>
      <c r="X16" s="143"/>
      <c r="Y16" s="144"/>
      <c r="Z16" s="80"/>
      <c r="AA16" s="80"/>
      <c r="AB16" s="80"/>
      <c r="AC16" s="80"/>
      <c r="AD16" s="80"/>
      <c r="AE16" s="80"/>
      <c r="AF16" s="80"/>
      <c r="AG16" s="80"/>
      <c r="AH16" s="80"/>
      <c r="AI16" s="80"/>
      <c r="AJ16" s="80"/>
      <c r="AK16" s="80"/>
      <c r="AL16" s="80"/>
      <c r="AM16" s="80"/>
      <c r="AN16" s="80"/>
      <c r="AO16" s="80"/>
      <c r="AP16" s="80"/>
      <c r="AQ16" s="80"/>
      <c r="AR16" s="80"/>
      <c r="AS16" s="80"/>
      <c r="AT16" s="80"/>
      <c r="AU16" s="80"/>
      <c r="AV16" s="80"/>
      <c r="AW16" s="80"/>
    </row>
    <row r="17" spans="3:76" s="8" customFormat="1" ht="10.35" customHeight="1" outlineLevel="1" x14ac:dyDescent="0.2">
      <c r="C17" s="80"/>
      <c r="D17" s="80"/>
      <c r="E17" s="80"/>
      <c r="F17" s="80"/>
      <c r="G17" s="80"/>
      <c r="H17" s="80"/>
      <c r="I17" s="80"/>
      <c r="J17" s="83"/>
      <c r="K17" s="80"/>
      <c r="L17" s="17" t="s">
        <v>409</v>
      </c>
      <c r="M17" s="17"/>
      <c r="N17" s="17"/>
      <c r="O17" s="17"/>
      <c r="P17" s="17"/>
      <c r="Q17" s="17"/>
      <c r="R17" s="80"/>
      <c r="S17" s="39"/>
      <c r="T17" s="39"/>
      <c r="U17" s="39"/>
      <c r="V17" s="80"/>
      <c r="W17" s="80"/>
      <c r="X17" s="80"/>
      <c r="Y17" s="80"/>
      <c r="Z17" s="80"/>
      <c r="AA17" s="80"/>
      <c r="AB17" s="80"/>
      <c r="AC17" s="80"/>
      <c r="AD17" s="80"/>
      <c r="AE17" s="80"/>
      <c r="AF17" s="80"/>
      <c r="AG17" s="80"/>
      <c r="AH17" s="80"/>
      <c r="AI17" s="80"/>
      <c r="AJ17" s="80"/>
      <c r="AK17" s="80"/>
      <c r="AL17" s="80"/>
      <c r="AM17" s="80"/>
      <c r="AN17" s="80"/>
      <c r="AO17" s="80"/>
      <c r="AP17" s="80"/>
      <c r="AQ17" s="80"/>
      <c r="AR17" s="80"/>
      <c r="AS17" s="80"/>
      <c r="AT17" s="80"/>
      <c r="AU17" s="80"/>
      <c r="AV17" s="80"/>
      <c r="AW17" s="80"/>
      <c r="AX17" s="80"/>
      <c r="AY17" s="80"/>
      <c r="AZ17" s="80"/>
      <c r="BA17" s="80"/>
      <c r="BB17" s="80"/>
      <c r="BC17" s="80"/>
      <c r="BD17" s="80"/>
      <c r="BE17" s="80"/>
      <c r="BF17" s="80"/>
      <c r="BG17" s="80"/>
      <c r="BH17" s="80"/>
      <c r="BI17" s="80"/>
      <c r="BJ17" s="80"/>
      <c r="BK17" s="80"/>
      <c r="BL17" s="80"/>
      <c r="BM17" s="80"/>
      <c r="BN17" s="80"/>
      <c r="BO17" s="80"/>
      <c r="BP17" s="80"/>
      <c r="BQ17" s="80"/>
      <c r="BR17" s="80"/>
      <c r="BS17" s="80"/>
      <c r="BT17" s="80"/>
      <c r="BU17" s="80"/>
      <c r="BV17" s="80"/>
      <c r="BW17" s="80"/>
      <c r="BX17" s="80"/>
    </row>
    <row r="18" spans="3:76" s="8" customFormat="1" ht="10.35" customHeight="1" outlineLevel="1" x14ac:dyDescent="0.2">
      <c r="C18" s="80"/>
      <c r="D18" s="80"/>
      <c r="E18" s="80"/>
      <c r="F18" s="80"/>
      <c r="G18" s="80"/>
      <c r="H18" s="80"/>
      <c r="I18" s="80"/>
      <c r="J18" s="83"/>
      <c r="K18" s="80"/>
      <c r="L18" s="80"/>
      <c r="M18" s="80"/>
      <c r="N18" s="80"/>
      <c r="O18" s="80"/>
      <c r="P18" s="80"/>
      <c r="Q18" s="80"/>
      <c r="R18" s="80"/>
      <c r="S18" s="80"/>
      <c r="T18" s="80"/>
      <c r="U18" s="80"/>
      <c r="V18" s="80"/>
      <c r="W18" s="80"/>
      <c r="X18" s="80"/>
      <c r="Y18" s="80"/>
      <c r="Z18" s="80"/>
      <c r="AA18" s="80"/>
      <c r="AB18" s="80"/>
      <c r="AC18" s="80"/>
      <c r="AD18" s="80"/>
      <c r="AE18" s="80"/>
      <c r="AF18" s="80"/>
      <c r="AG18" s="80"/>
      <c r="AH18" s="80"/>
      <c r="AI18" s="80"/>
      <c r="AJ18" s="80"/>
      <c r="AK18" s="80"/>
      <c r="AL18" s="80"/>
      <c r="AM18" s="80"/>
      <c r="AN18" s="80"/>
      <c r="AO18" s="80"/>
      <c r="AP18" s="80"/>
      <c r="AQ18" s="80"/>
      <c r="AR18" s="80"/>
      <c r="AS18" s="80"/>
      <c r="AT18" s="80"/>
      <c r="AU18" s="80"/>
      <c r="AV18" s="80"/>
      <c r="AW18" s="80"/>
      <c r="AX18" s="80"/>
      <c r="AY18" s="80"/>
      <c r="AZ18" s="80"/>
      <c r="BA18" s="80"/>
      <c r="BB18" s="80"/>
      <c r="BC18" s="80"/>
      <c r="BD18" s="80"/>
      <c r="BE18" s="80"/>
      <c r="BF18" s="80"/>
      <c r="BG18" s="80"/>
      <c r="BH18" s="80"/>
      <c r="BI18" s="80"/>
      <c r="BJ18" s="80"/>
      <c r="BK18" s="80"/>
      <c r="BL18" s="80"/>
      <c r="BM18" s="80"/>
      <c r="BN18" s="80"/>
      <c r="BO18" s="80"/>
      <c r="BP18" s="80"/>
      <c r="BQ18" s="80"/>
      <c r="BR18" s="80"/>
      <c r="BS18" s="80"/>
      <c r="BT18" s="80"/>
      <c r="BU18" s="80"/>
      <c r="BV18" s="80"/>
      <c r="BW18" s="80"/>
      <c r="BX18" s="80"/>
    </row>
    <row r="19" spans="3:76" s="8" customFormat="1" ht="10.35" customHeight="1" outlineLevel="1" x14ac:dyDescent="0.2">
      <c r="C19" s="10" t="s">
        <v>410</v>
      </c>
      <c r="D19" s="80"/>
      <c r="E19" s="80"/>
      <c r="F19" s="80"/>
      <c r="G19" s="80"/>
      <c r="H19" s="80"/>
      <c r="I19" s="80"/>
      <c r="J19" s="83"/>
      <c r="K19" s="83" t="s">
        <v>411</v>
      </c>
      <c r="L19" s="396">
        <v>2022</v>
      </c>
      <c r="M19"/>
      <c r="N19"/>
      <c r="O19"/>
      <c r="P19"/>
      <c r="Q19"/>
      <c r="R19" s="80"/>
      <c r="S19" s="80"/>
      <c r="T19" s="80"/>
      <c r="U19" s="80"/>
      <c r="V19" s="80"/>
      <c r="W19" s="80"/>
      <c r="X19" s="80"/>
      <c r="Y19" s="80"/>
      <c r="Z19" s="80"/>
      <c r="AA19" s="80"/>
      <c r="AB19" s="80"/>
      <c r="AC19" s="80"/>
      <c r="AD19" s="80"/>
      <c r="AE19" s="80"/>
      <c r="AF19" s="80"/>
      <c r="AG19" s="80"/>
      <c r="AH19" s="80"/>
      <c r="AI19" s="80"/>
      <c r="AJ19" s="80"/>
      <c r="AK19" s="80"/>
      <c r="AL19" s="80"/>
      <c r="AM19" s="80"/>
      <c r="AN19" s="80"/>
      <c r="AO19" s="80"/>
      <c r="AP19" s="80"/>
      <c r="AQ19" s="80"/>
      <c r="AR19" s="80"/>
      <c r="AS19" s="80"/>
      <c r="AT19" s="80"/>
      <c r="AU19" s="80"/>
      <c r="AV19" s="80"/>
      <c r="AW19" s="80"/>
      <c r="AX19" s="80"/>
      <c r="AY19" s="80"/>
      <c r="AZ19" s="80"/>
      <c r="BA19" s="80"/>
      <c r="BB19" s="80"/>
      <c r="BC19" s="80"/>
      <c r="BD19" s="80"/>
      <c r="BE19" s="80"/>
      <c r="BF19" s="80"/>
      <c r="BG19" s="80"/>
      <c r="BH19" s="80"/>
      <c r="BI19" s="80"/>
      <c r="BJ19" s="80"/>
      <c r="BK19" s="80"/>
      <c r="BL19" s="80"/>
      <c r="BM19" s="80"/>
      <c r="BN19" s="80"/>
      <c r="BO19" s="80"/>
      <c r="BP19" s="80"/>
      <c r="BQ19" s="80"/>
      <c r="BR19" s="80"/>
      <c r="BS19" s="80"/>
      <c r="BT19" s="80"/>
      <c r="BU19" s="80"/>
      <c r="BV19" s="80"/>
      <c r="BW19" s="80"/>
      <c r="BX19" s="80"/>
    </row>
    <row r="20" spans="3:76" customFormat="1" ht="10.35" customHeight="1" outlineLevel="1" x14ac:dyDescent="0.2"/>
    <row r="21" spans="3:76" s="8" customFormat="1" ht="10.35" customHeight="1" outlineLevel="1" x14ac:dyDescent="0.2">
      <c r="C21" s="10" t="s">
        <v>412</v>
      </c>
      <c r="D21" s="80"/>
      <c r="E21" s="27" t="s">
        <v>413</v>
      </c>
      <c r="F21" s="80"/>
      <c r="G21" s="80"/>
      <c r="H21" s="80"/>
      <c r="I21" s="80"/>
      <c r="J21" s="83"/>
      <c r="K21" s="83" t="s">
        <v>414</v>
      </c>
      <c r="L21" s="501">
        <v>0.1</v>
      </c>
      <c r="M21"/>
      <c r="N21"/>
      <c r="O21"/>
      <c r="P21"/>
      <c r="Q21"/>
      <c r="R21" s="450"/>
      <c r="S21" s="80"/>
      <c r="T21" s="80"/>
      <c r="U21" s="80"/>
      <c r="V21" s="450"/>
      <c r="W21" s="450"/>
      <c r="X21" s="450"/>
      <c r="Y21" s="450"/>
      <c r="Z21" s="450"/>
      <c r="AA21" s="450"/>
      <c r="AB21" s="450"/>
      <c r="AC21" s="450"/>
      <c r="AD21" s="450"/>
      <c r="AE21" s="450"/>
      <c r="AF21" s="450"/>
      <c r="AG21" s="450"/>
      <c r="AH21" s="450"/>
      <c r="AI21" s="450"/>
      <c r="AJ21" s="450"/>
      <c r="AK21" s="450"/>
      <c r="AL21" s="450"/>
      <c r="AM21" s="450"/>
      <c r="AN21" s="450"/>
      <c r="AO21" s="80"/>
      <c r="AP21" s="80"/>
      <c r="AQ21" s="80"/>
      <c r="AR21" s="80"/>
      <c r="AS21" s="80"/>
      <c r="AT21" s="80"/>
      <c r="AU21" s="80"/>
      <c r="AV21" s="80"/>
      <c r="AW21" s="80"/>
      <c r="AX21" s="80"/>
      <c r="AY21" s="80"/>
      <c r="AZ21" s="80"/>
      <c r="BA21" s="80"/>
      <c r="BB21" s="80"/>
      <c r="BC21" s="80"/>
      <c r="BD21" s="80"/>
      <c r="BE21" s="80"/>
      <c r="BF21" s="80"/>
      <c r="BG21" s="80"/>
      <c r="BH21" s="80"/>
      <c r="BI21" s="80"/>
      <c r="BJ21" s="80"/>
      <c r="BK21" s="80"/>
      <c r="BL21" s="80"/>
      <c r="BM21" s="80"/>
      <c r="BN21" s="80"/>
      <c r="BO21" s="80"/>
      <c r="BP21" s="80"/>
      <c r="BQ21" s="80"/>
      <c r="BR21" s="80"/>
      <c r="BS21" s="80"/>
      <c r="BT21" s="80"/>
      <c r="BU21" s="80"/>
      <c r="BV21" s="80"/>
      <c r="BW21" s="80"/>
      <c r="BX21" s="80"/>
    </row>
    <row r="22" spans="3:76" s="8" customFormat="1" ht="10.35" customHeight="1" outlineLevel="1" x14ac:dyDescent="0.2">
      <c r="C22" s="10" t="s">
        <v>415</v>
      </c>
      <c r="D22" s="80"/>
      <c r="E22" s="27" t="s">
        <v>416</v>
      </c>
      <c r="F22" s="80"/>
      <c r="G22" s="80"/>
      <c r="H22" s="80"/>
      <c r="I22" s="80"/>
      <c r="J22" s="83"/>
      <c r="K22" s="83" t="s">
        <v>417</v>
      </c>
      <c r="L22" s="502">
        <v>1</v>
      </c>
      <c r="M22"/>
      <c r="N22"/>
      <c r="O22"/>
      <c r="P22"/>
      <c r="Q22"/>
      <c r="R22" s="450"/>
      <c r="S22" s="450"/>
      <c r="T22" s="450"/>
      <c r="U22" s="450"/>
      <c r="V22" s="450"/>
      <c r="W22" s="450"/>
      <c r="X22" s="450"/>
      <c r="Y22" s="450"/>
      <c r="Z22" s="450"/>
      <c r="AA22" s="450"/>
      <c r="AB22" s="450"/>
      <c r="AC22" s="450"/>
      <c r="AD22" s="450"/>
      <c r="AE22" s="450"/>
      <c r="AF22" s="450"/>
      <c r="AG22" s="450"/>
      <c r="AH22" s="450"/>
      <c r="AI22" s="450"/>
      <c r="AJ22" s="450"/>
      <c r="AK22" s="450"/>
      <c r="AL22" s="450"/>
      <c r="AM22" s="450"/>
      <c r="AN22" s="450"/>
      <c r="AO22" s="80"/>
      <c r="AP22" s="80"/>
      <c r="AQ22" s="80"/>
      <c r="AR22" s="80"/>
      <c r="AS22" s="80"/>
      <c r="AT22" s="80"/>
      <c r="AU22" s="80"/>
      <c r="AV22" s="80"/>
      <c r="AW22" s="80"/>
      <c r="AX22" s="80"/>
      <c r="AY22" s="80"/>
      <c r="AZ22" s="80"/>
      <c r="BA22" s="80"/>
      <c r="BB22" s="80"/>
      <c r="BC22" s="80"/>
      <c r="BD22" s="80"/>
      <c r="BE22" s="80"/>
      <c r="BF22" s="80"/>
      <c r="BG22" s="80"/>
      <c r="BH22" s="80"/>
      <c r="BI22" s="80"/>
      <c r="BJ22" s="80"/>
      <c r="BK22" s="80"/>
      <c r="BL22" s="80"/>
      <c r="BM22" s="80"/>
      <c r="BN22" s="80"/>
      <c r="BO22" s="80"/>
      <c r="BP22" s="80"/>
      <c r="BQ22" s="80"/>
      <c r="BR22" s="80"/>
      <c r="BS22" s="80"/>
      <c r="BT22" s="80"/>
      <c r="BU22" s="80"/>
      <c r="BV22" s="80"/>
      <c r="BW22" s="80"/>
      <c r="BX22" s="80"/>
    </row>
    <row r="23" spans="3:76" s="8" customFormat="1" ht="10.35" customHeight="1" outlineLevel="1" x14ac:dyDescent="0.2">
      <c r="C23" s="10"/>
      <c r="D23" s="80"/>
      <c r="E23" s="80"/>
      <c r="F23" s="80"/>
      <c r="G23" s="80"/>
      <c r="H23" s="80"/>
      <c r="I23" s="80"/>
      <c r="J23" s="83"/>
      <c r="K23" s="83"/>
      <c r="L23" s="83"/>
      <c r="M23" s="83"/>
      <c r="N23" s="83"/>
      <c r="O23" s="83"/>
      <c r="P23" s="83"/>
      <c r="Q23" s="83"/>
      <c r="R23" s="450"/>
      <c r="S23" s="450"/>
      <c r="T23" s="450"/>
      <c r="U23" s="450"/>
      <c r="V23" s="450"/>
      <c r="W23" s="450"/>
      <c r="X23" s="450"/>
      <c r="Y23" s="450"/>
      <c r="Z23" s="450"/>
      <c r="AA23" s="450"/>
      <c r="AB23" s="450"/>
      <c r="AC23" s="450"/>
      <c r="AD23" s="450"/>
      <c r="AE23" s="450"/>
      <c r="AF23" s="450"/>
      <c r="AG23" s="450"/>
      <c r="AH23" s="450"/>
      <c r="AI23" s="450"/>
      <c r="AJ23" s="450"/>
      <c r="AK23" s="450"/>
      <c r="AL23" s="450"/>
      <c r="AM23" s="450"/>
      <c r="AN23" s="450"/>
      <c r="AO23" s="80"/>
      <c r="AP23" s="80"/>
      <c r="AQ23" s="80"/>
      <c r="AR23" s="80"/>
      <c r="AS23" s="80"/>
      <c r="AT23" s="80"/>
      <c r="AU23" s="80"/>
      <c r="AV23" s="80"/>
      <c r="AW23" s="80"/>
      <c r="AX23" s="80"/>
      <c r="AY23" s="80"/>
      <c r="AZ23" s="80"/>
      <c r="BA23" s="80"/>
      <c r="BB23" s="80"/>
      <c r="BC23" s="80"/>
      <c r="BD23" s="80"/>
      <c r="BE23" s="80"/>
      <c r="BF23" s="80"/>
      <c r="BG23" s="80"/>
      <c r="BH23" s="80"/>
      <c r="BI23" s="80"/>
      <c r="BJ23" s="80"/>
      <c r="BK23" s="80"/>
      <c r="BL23" s="80"/>
      <c r="BM23" s="80"/>
      <c r="BN23" s="80"/>
      <c r="BO23" s="80"/>
      <c r="BP23" s="80"/>
      <c r="BQ23" s="80"/>
      <c r="BR23" s="80"/>
      <c r="BS23" s="80"/>
      <c r="BT23" s="80"/>
      <c r="BU23" s="80"/>
      <c r="BV23" s="80"/>
      <c r="BW23" s="80"/>
      <c r="BX23" s="80"/>
    </row>
    <row r="24" spans="3:76" s="8" customFormat="1" ht="10.35" customHeight="1" outlineLevel="1" x14ac:dyDescent="0.2">
      <c r="C24" s="10"/>
      <c r="D24" s="80"/>
      <c r="E24" s="80"/>
      <c r="F24" s="80"/>
      <c r="G24" s="80"/>
      <c r="H24" s="80"/>
      <c r="I24" s="80"/>
      <c r="J24" s="83"/>
      <c r="K24" s="83"/>
      <c r="L24" s="83"/>
      <c r="M24" s="17">
        <v>2015</v>
      </c>
      <c r="N24" s="17">
        <v>2016</v>
      </c>
      <c r="O24" s="17">
        <v>2017</v>
      </c>
      <c r="P24" s="17">
        <v>2018</v>
      </c>
      <c r="Q24" s="17">
        <v>2019</v>
      </c>
      <c r="R24" s="17">
        <v>2020</v>
      </c>
      <c r="S24" s="17">
        <v>2021</v>
      </c>
      <c r="T24" s="17">
        <v>2022</v>
      </c>
      <c r="U24" s="17">
        <v>2023</v>
      </c>
      <c r="V24" s="17">
        <v>2024</v>
      </c>
      <c r="W24" s="17">
        <v>2025</v>
      </c>
      <c r="X24" s="17">
        <v>2026</v>
      </c>
      <c r="Y24" s="17">
        <v>2027</v>
      </c>
      <c r="Z24" s="17">
        <v>2028</v>
      </c>
      <c r="AA24" s="17">
        <v>2029</v>
      </c>
      <c r="AB24" s="17">
        <v>2030</v>
      </c>
      <c r="AC24" s="17">
        <v>2031</v>
      </c>
      <c r="AD24" s="17">
        <v>2032</v>
      </c>
      <c r="AE24" s="17">
        <v>2033</v>
      </c>
      <c r="AF24" s="17">
        <v>2034</v>
      </c>
      <c r="AG24" s="17">
        <v>2035</v>
      </c>
      <c r="AH24" s="17">
        <v>2036</v>
      </c>
      <c r="AI24" s="17">
        <v>2037</v>
      </c>
      <c r="AJ24" s="17">
        <v>2038</v>
      </c>
      <c r="AK24" s="17">
        <v>2039</v>
      </c>
      <c r="AL24" s="17">
        <v>2040</v>
      </c>
      <c r="AM24" s="17">
        <v>2041</v>
      </c>
      <c r="AN24" s="17">
        <v>2042</v>
      </c>
      <c r="AO24" s="17">
        <v>2043</v>
      </c>
      <c r="AP24" s="17">
        <v>2044</v>
      </c>
      <c r="AQ24" s="17">
        <v>2045</v>
      </c>
      <c r="AR24" s="17">
        <v>2046</v>
      </c>
      <c r="AS24" s="17">
        <v>2047</v>
      </c>
      <c r="AT24" s="17">
        <v>2048</v>
      </c>
      <c r="AU24" s="17">
        <v>2049</v>
      </c>
      <c r="AV24" s="17">
        <v>2050</v>
      </c>
      <c r="AW24" s="17">
        <v>2051</v>
      </c>
      <c r="AX24" s="17">
        <v>2052</v>
      </c>
      <c r="AY24" s="17">
        <v>2053</v>
      </c>
      <c r="AZ24" s="17">
        <v>2054</v>
      </c>
      <c r="BA24" s="17">
        <v>2055</v>
      </c>
      <c r="BB24" s="17">
        <v>2056</v>
      </c>
      <c r="BC24" s="17">
        <v>2057</v>
      </c>
      <c r="BD24" s="17">
        <v>2058</v>
      </c>
      <c r="BE24" s="17">
        <v>2059</v>
      </c>
      <c r="BF24" s="17">
        <v>2060</v>
      </c>
      <c r="BG24" s="17">
        <v>2061</v>
      </c>
      <c r="BH24" s="17">
        <v>2062</v>
      </c>
      <c r="BI24" s="17">
        <v>2063</v>
      </c>
      <c r="BJ24" s="17">
        <v>2064</v>
      </c>
      <c r="BK24" s="17">
        <v>2065</v>
      </c>
      <c r="BL24" s="17">
        <v>2066</v>
      </c>
      <c r="BM24" s="17">
        <v>2067</v>
      </c>
      <c r="BN24" s="17">
        <v>2068</v>
      </c>
      <c r="BO24" s="17">
        <v>2069</v>
      </c>
      <c r="BP24" s="17">
        <v>2070</v>
      </c>
      <c r="BQ24" s="17">
        <v>2071</v>
      </c>
      <c r="BR24" s="17">
        <v>2072</v>
      </c>
      <c r="BS24" s="17">
        <v>2073</v>
      </c>
      <c r="BT24" s="17">
        <v>2074</v>
      </c>
      <c r="BU24" s="17">
        <v>2075</v>
      </c>
      <c r="BV24" s="80"/>
      <c r="BW24" s="80"/>
      <c r="BX24" s="80"/>
    </row>
    <row r="25" spans="3:76" s="8" customFormat="1" ht="10.35" customHeight="1" outlineLevel="1" x14ac:dyDescent="0.2">
      <c r="C25" s="10"/>
      <c r="D25" s="80"/>
      <c r="E25" s="80"/>
      <c r="F25" s="80"/>
      <c r="G25" s="80"/>
      <c r="H25" s="80"/>
      <c r="I25" s="80"/>
      <c r="J25" s="83"/>
      <c r="K25" s="83"/>
      <c r="L25" s="83"/>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7"/>
      <c r="BK25" s="17"/>
      <c r="BL25" s="17"/>
      <c r="BM25" s="17"/>
      <c r="BN25" s="17"/>
      <c r="BO25" s="17"/>
      <c r="BP25" s="17"/>
      <c r="BQ25" s="17"/>
      <c r="BR25" s="17"/>
      <c r="BS25" s="17"/>
      <c r="BT25" s="17"/>
      <c r="BU25" s="17"/>
      <c r="BV25" s="80"/>
      <c r="BW25" s="80"/>
      <c r="BX25" s="80"/>
    </row>
    <row r="26" spans="3:76" s="8" customFormat="1" ht="10.35" customHeight="1" outlineLevel="1" x14ac:dyDescent="0.2">
      <c r="C26" s="10" t="s">
        <v>418</v>
      </c>
      <c r="D26" s="80"/>
      <c r="E26" s="27" t="s">
        <v>419</v>
      </c>
      <c r="F26" s="80"/>
      <c r="G26" s="80"/>
      <c r="H26" s="80"/>
      <c r="I26" s="80"/>
      <c r="J26" s="83"/>
      <c r="K26" s="83"/>
      <c r="L26" s="83"/>
      <c r="M26" s="503">
        <v>1.5100000000000001E-2</v>
      </c>
      <c r="N26" s="503">
        <v>1.0200000000000001E-2</v>
      </c>
      <c r="O26" s="503">
        <v>1.9300000000000001E-2</v>
      </c>
      <c r="P26" s="503">
        <v>2.0799999999999999E-2</v>
      </c>
      <c r="Q26" s="503">
        <v>1.5900000000000001E-2</v>
      </c>
      <c r="R26" s="503">
        <v>-3.5000000000000001E-3</v>
      </c>
      <c r="S26" s="503">
        <v>3.85E-2</v>
      </c>
      <c r="T26" s="501"/>
      <c r="U26" s="501"/>
      <c r="V26" s="501"/>
      <c r="W26" s="501"/>
      <c r="X26" s="501"/>
      <c r="Y26" s="501"/>
      <c r="Z26" s="501"/>
      <c r="AA26" s="501"/>
      <c r="AB26" s="501"/>
      <c r="AC26" s="501"/>
      <c r="AD26" s="501"/>
      <c r="AE26" s="501"/>
      <c r="AF26" s="501"/>
      <c r="AG26" s="501"/>
      <c r="AH26" s="501"/>
      <c r="AI26" s="501"/>
      <c r="AJ26" s="501"/>
      <c r="AK26" s="501"/>
      <c r="AL26" s="501"/>
      <c r="AM26" s="501"/>
      <c r="AN26" s="501"/>
      <c r="AO26" s="501"/>
      <c r="AP26" s="501"/>
      <c r="AQ26" s="501"/>
      <c r="AR26" s="501"/>
      <c r="AS26" s="501"/>
      <c r="AT26" s="501"/>
      <c r="AU26" s="501"/>
      <c r="AV26" s="501"/>
      <c r="AW26" s="501"/>
      <c r="AX26" s="501"/>
      <c r="AY26" s="501"/>
      <c r="AZ26" s="501"/>
      <c r="BA26" s="501"/>
      <c r="BB26" s="501"/>
      <c r="BC26" s="501"/>
      <c r="BD26" s="501"/>
      <c r="BE26" s="501"/>
      <c r="BF26" s="501"/>
      <c r="BG26" s="501"/>
      <c r="BH26" s="501"/>
      <c r="BI26" s="501"/>
      <c r="BJ26" s="501"/>
      <c r="BK26" s="501"/>
      <c r="BL26" s="501"/>
      <c r="BM26" s="501"/>
      <c r="BN26" s="501"/>
      <c r="BO26" s="501"/>
      <c r="BP26" s="501"/>
      <c r="BQ26" s="501"/>
      <c r="BR26" s="501"/>
      <c r="BS26" s="501"/>
      <c r="BT26" s="501"/>
      <c r="BU26" s="501"/>
      <c r="BV26" s="80"/>
      <c r="BW26" s="80"/>
      <c r="BX26" s="80"/>
    </row>
    <row r="27" spans="3:76" customFormat="1" ht="10.35" customHeight="1" outlineLevel="1" x14ac:dyDescent="0.2">
      <c r="E27" s="27" t="s">
        <v>420</v>
      </c>
    </row>
    <row r="28" spans="3:76" s="8" customFormat="1" ht="10.35" customHeight="1" outlineLevel="1" x14ac:dyDescent="0.2">
      <c r="C28" s="10"/>
      <c r="D28" s="80"/>
      <c r="E28" s="80"/>
      <c r="F28" s="80"/>
      <c r="G28" s="80"/>
      <c r="H28" s="80"/>
      <c r="I28" s="80"/>
      <c r="J28" s="83"/>
      <c r="K28" s="83"/>
      <c r="L28" s="83"/>
      <c r="M28" s="83"/>
      <c r="N28" s="83"/>
      <c r="O28" s="83"/>
      <c r="P28" s="83"/>
      <c r="Q28" s="83"/>
      <c r="R28" s="450"/>
      <c r="S28" s="450"/>
      <c r="T28" s="450"/>
      <c r="U28" s="450"/>
      <c r="V28" s="450"/>
      <c r="W28" s="450"/>
      <c r="X28" s="450"/>
      <c r="Y28" s="450"/>
      <c r="Z28" s="450"/>
      <c r="AA28" s="450"/>
      <c r="AB28" s="450"/>
      <c r="AC28" s="450"/>
      <c r="AD28" s="450"/>
      <c r="AE28" s="450"/>
      <c r="AF28" s="450"/>
      <c r="AG28" s="450"/>
      <c r="AH28" s="450"/>
      <c r="AI28" s="450"/>
      <c r="AJ28" s="450"/>
      <c r="AK28" s="450"/>
      <c r="AL28" s="450"/>
      <c r="AM28" s="450"/>
      <c r="AN28" s="450"/>
      <c r="AO28" s="80"/>
      <c r="AP28" s="80"/>
      <c r="AQ28" s="80"/>
      <c r="AR28" s="80"/>
      <c r="AS28" s="80"/>
      <c r="AT28" s="80"/>
      <c r="AU28" s="80"/>
      <c r="AV28" s="80"/>
      <c r="AW28" s="80"/>
      <c r="AX28" s="80"/>
      <c r="AY28" s="80"/>
      <c r="AZ28" s="80"/>
      <c r="BA28" s="80"/>
      <c r="BB28" s="80"/>
      <c r="BC28" s="80"/>
      <c r="BD28" s="80"/>
      <c r="BE28" s="80"/>
      <c r="BF28" s="80"/>
      <c r="BG28" s="80"/>
      <c r="BH28" s="80"/>
      <c r="BI28" s="80"/>
      <c r="BJ28" s="80"/>
      <c r="BK28" s="80"/>
      <c r="BL28" s="80"/>
      <c r="BM28" s="80"/>
      <c r="BN28" s="80"/>
      <c r="BO28" s="80"/>
      <c r="BP28" s="80"/>
      <c r="BQ28" s="80"/>
      <c r="BR28" s="80"/>
      <c r="BS28" s="80"/>
      <c r="BT28" s="80"/>
      <c r="BU28" s="80"/>
      <c r="BV28" s="80"/>
      <c r="BW28" s="80"/>
      <c r="BX28" s="80"/>
    </row>
    <row r="29" spans="3:76" s="8" customFormat="1" ht="10.35" customHeight="1" outlineLevel="1" x14ac:dyDescent="0.2">
      <c r="C29" s="10" t="s">
        <v>421</v>
      </c>
      <c r="D29" s="80"/>
      <c r="E29" s="27" t="s">
        <v>422</v>
      </c>
      <c r="F29" s="27"/>
      <c r="G29" s="80"/>
      <c r="H29" s="80"/>
      <c r="I29" s="80"/>
      <c r="J29" s="83"/>
      <c r="K29" s="83"/>
      <c r="L29" s="17"/>
      <c r="M29" s="17">
        <v>2015</v>
      </c>
      <c r="N29" s="17">
        <v>2016</v>
      </c>
      <c r="O29" s="17">
        <v>2017</v>
      </c>
      <c r="P29" s="17">
        <v>2018</v>
      </c>
      <c r="Q29" s="17">
        <v>2019</v>
      </c>
      <c r="R29" s="17">
        <v>2020</v>
      </c>
      <c r="S29" s="17">
        <v>2021</v>
      </c>
      <c r="T29" s="17">
        <v>2022</v>
      </c>
      <c r="U29" s="17">
        <v>2023</v>
      </c>
      <c r="V29" s="17">
        <v>2024</v>
      </c>
      <c r="W29" s="17">
        <v>2025</v>
      </c>
      <c r="X29" s="17">
        <v>2026</v>
      </c>
      <c r="Y29" s="17">
        <v>2027</v>
      </c>
      <c r="Z29" s="17">
        <v>2028</v>
      </c>
      <c r="AA29" s="17">
        <v>2029</v>
      </c>
      <c r="AB29" s="17">
        <v>2030</v>
      </c>
      <c r="AC29" s="17">
        <v>2031</v>
      </c>
      <c r="AD29" s="17">
        <v>2032</v>
      </c>
      <c r="AE29" s="17">
        <v>2033</v>
      </c>
      <c r="AF29" s="17">
        <v>2034</v>
      </c>
      <c r="AG29" s="17">
        <v>2035</v>
      </c>
      <c r="AH29" s="17">
        <v>2036</v>
      </c>
      <c r="AI29" s="17">
        <v>2037</v>
      </c>
      <c r="AJ29" s="17">
        <v>2038</v>
      </c>
      <c r="AK29" s="17">
        <v>2039</v>
      </c>
      <c r="AL29" s="17">
        <v>2040</v>
      </c>
      <c r="AM29" s="17">
        <v>2041</v>
      </c>
      <c r="AN29" s="17">
        <v>2042</v>
      </c>
      <c r="AO29" s="17">
        <v>2043</v>
      </c>
      <c r="AP29" s="17">
        <v>2044</v>
      </c>
      <c r="AQ29" s="17">
        <v>2045</v>
      </c>
      <c r="AR29" s="17">
        <v>2046</v>
      </c>
      <c r="AS29" s="17">
        <v>2047</v>
      </c>
      <c r="AT29" s="17">
        <v>2048</v>
      </c>
      <c r="AU29" s="17">
        <v>2049</v>
      </c>
      <c r="AV29" s="17">
        <v>2050</v>
      </c>
      <c r="AW29" s="17">
        <v>2051</v>
      </c>
      <c r="AX29" s="17">
        <v>2052</v>
      </c>
      <c r="AY29" s="17">
        <v>2053</v>
      </c>
      <c r="AZ29" s="17">
        <v>2054</v>
      </c>
      <c r="BA29" s="17">
        <v>2055</v>
      </c>
      <c r="BB29" s="17">
        <v>2056</v>
      </c>
      <c r="BC29" s="17">
        <v>2057</v>
      </c>
      <c r="BD29" s="17">
        <v>2058</v>
      </c>
      <c r="BE29" s="17">
        <v>2059</v>
      </c>
      <c r="BF29" s="17">
        <v>2060</v>
      </c>
      <c r="BG29" s="17">
        <v>2061</v>
      </c>
      <c r="BH29" s="17">
        <v>2062</v>
      </c>
      <c r="BI29" s="17">
        <v>2063</v>
      </c>
      <c r="BJ29" s="17">
        <v>2064</v>
      </c>
      <c r="BK29" s="17">
        <v>2065</v>
      </c>
      <c r="BL29" s="17">
        <v>2066</v>
      </c>
      <c r="BM29" s="17">
        <v>2067</v>
      </c>
      <c r="BN29" s="17">
        <v>2068</v>
      </c>
      <c r="BO29" s="17">
        <v>2069</v>
      </c>
      <c r="BP29" s="17">
        <v>2070</v>
      </c>
      <c r="BQ29" s="17">
        <v>2071</v>
      </c>
      <c r="BR29" s="17">
        <v>2072</v>
      </c>
      <c r="BS29" s="17">
        <v>2073</v>
      </c>
      <c r="BT29" s="17">
        <v>2074</v>
      </c>
      <c r="BU29" s="17">
        <v>2075</v>
      </c>
      <c r="BV29" s="17"/>
      <c r="BW29" s="17"/>
      <c r="BX29" s="17"/>
    </row>
    <row r="30" spans="3:76" s="8" customFormat="1" ht="10.35" customHeight="1" outlineLevel="1" x14ac:dyDescent="0.2">
      <c r="C30" s="10"/>
      <c r="D30" s="85" t="s">
        <v>149</v>
      </c>
      <c r="E30" s="27" t="s">
        <v>423</v>
      </c>
      <c r="F30" s="80"/>
      <c r="G30" s="80"/>
      <c r="H30" s="80"/>
      <c r="I30" s="80"/>
      <c r="J30" s="83"/>
      <c r="K30" s="83" t="s">
        <v>414</v>
      </c>
      <c r="L30" s="80"/>
      <c r="M30" s="83"/>
      <c r="N30" s="83"/>
      <c r="O30" s="83"/>
      <c r="P30" s="83"/>
      <c r="Q30" s="83"/>
      <c r="R30" s="83"/>
      <c r="S30" s="83"/>
      <c r="T30" s="503">
        <v>3.44E-2</v>
      </c>
      <c r="U30" s="503">
        <v>3.44E-2</v>
      </c>
      <c r="V30" s="503">
        <v>3.44E-2</v>
      </c>
      <c r="W30" s="503">
        <v>3.44E-2</v>
      </c>
      <c r="X30" s="503">
        <v>3.44E-2</v>
      </c>
      <c r="Y30" s="503">
        <v>3.44E-2</v>
      </c>
      <c r="Z30" s="503">
        <v>3.44E-2</v>
      </c>
      <c r="AA30" s="503">
        <v>3.44E-2</v>
      </c>
      <c r="AB30" s="503">
        <v>3.44E-2</v>
      </c>
      <c r="AC30" s="503">
        <v>3.44E-2</v>
      </c>
      <c r="AD30" s="503">
        <v>3.44E-2</v>
      </c>
      <c r="AE30" s="503">
        <v>3.44E-2</v>
      </c>
      <c r="AF30" s="503">
        <v>3.44E-2</v>
      </c>
      <c r="AG30" s="503">
        <v>3.44E-2</v>
      </c>
      <c r="AH30" s="503">
        <v>3.44E-2</v>
      </c>
      <c r="AI30" s="503">
        <v>3.44E-2</v>
      </c>
      <c r="AJ30" s="503">
        <v>3.44E-2</v>
      </c>
      <c r="AK30" s="503">
        <v>3.44E-2</v>
      </c>
      <c r="AL30" s="503">
        <v>3.44E-2</v>
      </c>
      <c r="AM30" s="503">
        <v>3.44E-2</v>
      </c>
      <c r="AN30" s="503">
        <v>3.44E-2</v>
      </c>
      <c r="AO30" s="503">
        <v>3.44E-2</v>
      </c>
      <c r="AP30" s="503">
        <v>3.44E-2</v>
      </c>
      <c r="AQ30" s="503">
        <v>3.44E-2</v>
      </c>
      <c r="AR30" s="503">
        <v>3.44E-2</v>
      </c>
      <c r="AS30" s="503">
        <v>3.44E-2</v>
      </c>
      <c r="AT30" s="503">
        <v>3.44E-2</v>
      </c>
      <c r="AU30" s="503">
        <v>3.44E-2</v>
      </c>
      <c r="AV30" s="503">
        <v>3.44E-2</v>
      </c>
      <c r="AW30" s="503">
        <v>3.44E-2</v>
      </c>
      <c r="AX30" s="503">
        <v>3.44E-2</v>
      </c>
      <c r="AY30" s="503">
        <v>3.44E-2</v>
      </c>
      <c r="AZ30" s="503">
        <v>3.44E-2</v>
      </c>
      <c r="BA30" s="503">
        <v>3.44E-2</v>
      </c>
      <c r="BB30" s="503">
        <v>3.44E-2</v>
      </c>
      <c r="BC30" s="503">
        <v>3.44E-2</v>
      </c>
      <c r="BD30" s="503">
        <v>3.44E-2</v>
      </c>
      <c r="BE30" s="503">
        <v>3.44E-2</v>
      </c>
      <c r="BF30" s="503">
        <v>3.44E-2</v>
      </c>
      <c r="BG30" s="503">
        <v>3.44E-2</v>
      </c>
      <c r="BH30" s="503">
        <v>3.44E-2</v>
      </c>
      <c r="BI30" s="503">
        <v>3.44E-2</v>
      </c>
      <c r="BJ30" s="503">
        <v>3.44E-2</v>
      </c>
      <c r="BK30" s="503">
        <v>3.44E-2</v>
      </c>
      <c r="BL30" s="503">
        <v>3.44E-2</v>
      </c>
      <c r="BM30" s="503">
        <v>3.44E-2</v>
      </c>
      <c r="BN30" s="503">
        <v>3.44E-2</v>
      </c>
      <c r="BO30" s="503">
        <v>3.44E-2</v>
      </c>
      <c r="BP30" s="503">
        <v>3.44E-2</v>
      </c>
      <c r="BQ30" s="503">
        <v>3.44E-2</v>
      </c>
      <c r="BR30" s="503">
        <v>3.44E-2</v>
      </c>
      <c r="BS30" s="503">
        <v>3.44E-2</v>
      </c>
      <c r="BT30" s="503">
        <v>3.44E-2</v>
      </c>
      <c r="BU30" s="503">
        <v>3.44E-2</v>
      </c>
      <c r="BV30" s="17"/>
      <c r="BW30" s="17"/>
      <c r="BX30" s="17"/>
    </row>
    <row r="31" spans="3:76" s="8" customFormat="1" ht="10.35" customHeight="1" outlineLevel="1" x14ac:dyDescent="0.2">
      <c r="C31" s="10"/>
      <c r="D31" s="85" t="s">
        <v>424</v>
      </c>
      <c r="E31" s="80"/>
      <c r="F31" s="80"/>
      <c r="G31" s="80"/>
      <c r="H31" s="80"/>
      <c r="I31" s="80"/>
      <c r="J31" s="83"/>
      <c r="K31" s="83" t="s">
        <v>414</v>
      </c>
      <c r="L31" s="80"/>
      <c r="M31" s="83"/>
      <c r="N31" s="83"/>
      <c r="O31" s="83"/>
      <c r="P31" s="83"/>
      <c r="Q31" s="83"/>
      <c r="R31" s="83"/>
      <c r="S31" s="83"/>
      <c r="T31" s="503">
        <v>6.9500000000000006E-2</v>
      </c>
      <c r="U31" s="503">
        <v>6.9500000000000006E-2</v>
      </c>
      <c r="V31" s="503">
        <v>6.9500000000000006E-2</v>
      </c>
      <c r="W31" s="503">
        <v>6.9500000000000006E-2</v>
      </c>
      <c r="X31" s="503">
        <v>6.9500000000000006E-2</v>
      </c>
      <c r="Y31" s="503">
        <v>6.9500000000000006E-2</v>
      </c>
      <c r="Z31" s="503">
        <v>6.9500000000000006E-2</v>
      </c>
      <c r="AA31" s="503">
        <v>6.9500000000000006E-2</v>
      </c>
      <c r="AB31" s="503">
        <v>6.9500000000000006E-2</v>
      </c>
      <c r="AC31" s="503">
        <v>6.9500000000000006E-2</v>
      </c>
      <c r="AD31" s="503">
        <v>6.9500000000000006E-2</v>
      </c>
      <c r="AE31" s="503">
        <v>6.9500000000000006E-2</v>
      </c>
      <c r="AF31" s="503">
        <v>6.9500000000000006E-2</v>
      </c>
      <c r="AG31" s="503">
        <v>6.9500000000000006E-2</v>
      </c>
      <c r="AH31" s="503">
        <v>6.9500000000000006E-2</v>
      </c>
      <c r="AI31" s="503">
        <v>6.9500000000000006E-2</v>
      </c>
      <c r="AJ31" s="503">
        <v>6.9500000000000006E-2</v>
      </c>
      <c r="AK31" s="503">
        <v>6.9500000000000006E-2</v>
      </c>
      <c r="AL31" s="503">
        <v>6.9500000000000006E-2</v>
      </c>
      <c r="AM31" s="503">
        <v>6.9500000000000006E-2</v>
      </c>
      <c r="AN31" s="503">
        <v>6.9500000000000006E-2</v>
      </c>
      <c r="AO31" s="503">
        <v>6.9500000000000006E-2</v>
      </c>
      <c r="AP31" s="503">
        <v>6.9500000000000006E-2</v>
      </c>
      <c r="AQ31" s="503">
        <v>6.9500000000000006E-2</v>
      </c>
      <c r="AR31" s="503">
        <v>6.9500000000000006E-2</v>
      </c>
      <c r="AS31" s="503">
        <v>6.9500000000000006E-2</v>
      </c>
      <c r="AT31" s="503">
        <v>6.9500000000000006E-2</v>
      </c>
      <c r="AU31" s="503">
        <v>6.9500000000000006E-2</v>
      </c>
      <c r="AV31" s="503">
        <v>6.9500000000000006E-2</v>
      </c>
      <c r="AW31" s="503">
        <v>6.9500000000000006E-2</v>
      </c>
      <c r="AX31" s="503">
        <v>6.9500000000000006E-2</v>
      </c>
      <c r="AY31" s="503">
        <v>6.9500000000000006E-2</v>
      </c>
      <c r="AZ31" s="503">
        <v>6.9500000000000006E-2</v>
      </c>
      <c r="BA31" s="503">
        <v>6.9500000000000006E-2</v>
      </c>
      <c r="BB31" s="503">
        <v>6.9500000000000006E-2</v>
      </c>
      <c r="BC31" s="503">
        <v>6.9500000000000006E-2</v>
      </c>
      <c r="BD31" s="503">
        <v>6.9500000000000006E-2</v>
      </c>
      <c r="BE31" s="503">
        <v>6.9500000000000006E-2</v>
      </c>
      <c r="BF31" s="503">
        <v>6.9500000000000006E-2</v>
      </c>
      <c r="BG31" s="503">
        <v>6.9500000000000006E-2</v>
      </c>
      <c r="BH31" s="503">
        <v>6.9500000000000006E-2</v>
      </c>
      <c r="BI31" s="503">
        <v>6.9500000000000006E-2</v>
      </c>
      <c r="BJ31" s="503">
        <v>6.9500000000000006E-2</v>
      </c>
      <c r="BK31" s="503">
        <v>6.9500000000000006E-2</v>
      </c>
      <c r="BL31" s="503">
        <v>6.9500000000000006E-2</v>
      </c>
      <c r="BM31" s="503">
        <v>6.9500000000000006E-2</v>
      </c>
      <c r="BN31" s="503">
        <v>6.9500000000000006E-2</v>
      </c>
      <c r="BO31" s="503">
        <v>6.9500000000000006E-2</v>
      </c>
      <c r="BP31" s="503">
        <v>6.9500000000000006E-2</v>
      </c>
      <c r="BQ31" s="503">
        <v>6.9500000000000006E-2</v>
      </c>
      <c r="BR31" s="503">
        <v>6.9500000000000006E-2</v>
      </c>
      <c r="BS31" s="503">
        <v>6.9500000000000006E-2</v>
      </c>
      <c r="BT31" s="503">
        <v>6.9500000000000006E-2</v>
      </c>
      <c r="BU31" s="503">
        <v>6.9500000000000006E-2</v>
      </c>
      <c r="BV31" s="17"/>
      <c r="BW31" s="17"/>
      <c r="BX31" s="17"/>
    </row>
    <row r="32" spans="3:76" s="8" customFormat="1" ht="10.35" customHeight="1" outlineLevel="1" x14ac:dyDescent="0.2">
      <c r="C32" s="10"/>
      <c r="D32" s="85" t="s">
        <v>425</v>
      </c>
      <c r="E32" s="80"/>
      <c r="F32" s="80"/>
      <c r="G32" s="80"/>
      <c r="H32" s="80"/>
      <c r="I32" s="80"/>
      <c r="J32" s="83"/>
      <c r="K32" s="83" t="s">
        <v>414</v>
      </c>
      <c r="L32" s="80"/>
      <c r="M32" s="83"/>
      <c r="N32" s="83"/>
      <c r="O32" s="83"/>
      <c r="P32" s="83"/>
      <c r="Q32" s="83"/>
      <c r="R32" s="83"/>
      <c r="S32" s="83"/>
      <c r="T32" s="91">
        <f t="shared" ref="T32:BU32" si="0">AVERAGE(T30:T31)</f>
        <v>5.1950000000000003E-2</v>
      </c>
      <c r="U32" s="91">
        <f t="shared" si="0"/>
        <v>5.1950000000000003E-2</v>
      </c>
      <c r="V32" s="91">
        <f t="shared" si="0"/>
        <v>5.1950000000000003E-2</v>
      </c>
      <c r="W32" s="91">
        <f t="shared" si="0"/>
        <v>5.1950000000000003E-2</v>
      </c>
      <c r="X32" s="91">
        <f t="shared" si="0"/>
        <v>5.1950000000000003E-2</v>
      </c>
      <c r="Y32" s="91">
        <f t="shared" si="0"/>
        <v>5.1950000000000003E-2</v>
      </c>
      <c r="Z32" s="91">
        <f t="shared" si="0"/>
        <v>5.1950000000000003E-2</v>
      </c>
      <c r="AA32" s="91">
        <f t="shared" si="0"/>
        <v>5.1950000000000003E-2</v>
      </c>
      <c r="AB32" s="91">
        <f t="shared" si="0"/>
        <v>5.1950000000000003E-2</v>
      </c>
      <c r="AC32" s="91">
        <f t="shared" si="0"/>
        <v>5.1950000000000003E-2</v>
      </c>
      <c r="AD32" s="91">
        <f t="shared" si="0"/>
        <v>5.1950000000000003E-2</v>
      </c>
      <c r="AE32" s="91">
        <f t="shared" si="0"/>
        <v>5.1950000000000003E-2</v>
      </c>
      <c r="AF32" s="91">
        <f t="shared" si="0"/>
        <v>5.1950000000000003E-2</v>
      </c>
      <c r="AG32" s="91">
        <f t="shared" si="0"/>
        <v>5.1950000000000003E-2</v>
      </c>
      <c r="AH32" s="91">
        <f t="shared" si="0"/>
        <v>5.1950000000000003E-2</v>
      </c>
      <c r="AI32" s="91">
        <f t="shared" si="0"/>
        <v>5.1950000000000003E-2</v>
      </c>
      <c r="AJ32" s="91">
        <f t="shared" si="0"/>
        <v>5.1950000000000003E-2</v>
      </c>
      <c r="AK32" s="91">
        <f t="shared" si="0"/>
        <v>5.1950000000000003E-2</v>
      </c>
      <c r="AL32" s="91">
        <f t="shared" si="0"/>
        <v>5.1950000000000003E-2</v>
      </c>
      <c r="AM32" s="91">
        <f t="shared" si="0"/>
        <v>5.1950000000000003E-2</v>
      </c>
      <c r="AN32" s="91">
        <f t="shared" si="0"/>
        <v>5.1950000000000003E-2</v>
      </c>
      <c r="AO32" s="91">
        <f t="shared" si="0"/>
        <v>5.1950000000000003E-2</v>
      </c>
      <c r="AP32" s="91">
        <f t="shared" si="0"/>
        <v>5.1950000000000003E-2</v>
      </c>
      <c r="AQ32" s="91">
        <f t="shared" si="0"/>
        <v>5.1950000000000003E-2</v>
      </c>
      <c r="AR32" s="91">
        <f t="shared" si="0"/>
        <v>5.1950000000000003E-2</v>
      </c>
      <c r="AS32" s="91">
        <f t="shared" si="0"/>
        <v>5.1950000000000003E-2</v>
      </c>
      <c r="AT32" s="91">
        <f t="shared" si="0"/>
        <v>5.1950000000000003E-2</v>
      </c>
      <c r="AU32" s="91">
        <f t="shared" si="0"/>
        <v>5.1950000000000003E-2</v>
      </c>
      <c r="AV32" s="91">
        <f t="shared" si="0"/>
        <v>5.1950000000000003E-2</v>
      </c>
      <c r="AW32" s="91">
        <f t="shared" si="0"/>
        <v>5.1950000000000003E-2</v>
      </c>
      <c r="AX32" s="91">
        <f t="shared" si="0"/>
        <v>5.1950000000000003E-2</v>
      </c>
      <c r="AY32" s="91">
        <f t="shared" si="0"/>
        <v>5.1950000000000003E-2</v>
      </c>
      <c r="AZ32" s="91">
        <f t="shared" si="0"/>
        <v>5.1950000000000003E-2</v>
      </c>
      <c r="BA32" s="91">
        <f t="shared" si="0"/>
        <v>5.1950000000000003E-2</v>
      </c>
      <c r="BB32" s="91">
        <f t="shared" si="0"/>
        <v>5.1950000000000003E-2</v>
      </c>
      <c r="BC32" s="91">
        <f t="shared" si="0"/>
        <v>5.1950000000000003E-2</v>
      </c>
      <c r="BD32" s="91">
        <f t="shared" si="0"/>
        <v>5.1950000000000003E-2</v>
      </c>
      <c r="BE32" s="91">
        <f t="shared" si="0"/>
        <v>5.1950000000000003E-2</v>
      </c>
      <c r="BF32" s="91">
        <f t="shared" si="0"/>
        <v>5.1950000000000003E-2</v>
      </c>
      <c r="BG32" s="91">
        <f t="shared" si="0"/>
        <v>5.1950000000000003E-2</v>
      </c>
      <c r="BH32" s="91">
        <f t="shared" si="0"/>
        <v>5.1950000000000003E-2</v>
      </c>
      <c r="BI32" s="91">
        <f t="shared" si="0"/>
        <v>5.1950000000000003E-2</v>
      </c>
      <c r="BJ32" s="91">
        <f t="shared" si="0"/>
        <v>5.1950000000000003E-2</v>
      </c>
      <c r="BK32" s="91">
        <f t="shared" si="0"/>
        <v>5.1950000000000003E-2</v>
      </c>
      <c r="BL32" s="91">
        <f t="shared" si="0"/>
        <v>5.1950000000000003E-2</v>
      </c>
      <c r="BM32" s="91">
        <f t="shared" si="0"/>
        <v>5.1950000000000003E-2</v>
      </c>
      <c r="BN32" s="91">
        <f t="shared" si="0"/>
        <v>5.1950000000000003E-2</v>
      </c>
      <c r="BO32" s="91">
        <f t="shared" si="0"/>
        <v>5.1950000000000003E-2</v>
      </c>
      <c r="BP32" s="91">
        <f t="shared" si="0"/>
        <v>5.1950000000000003E-2</v>
      </c>
      <c r="BQ32" s="91">
        <f t="shared" si="0"/>
        <v>5.1950000000000003E-2</v>
      </c>
      <c r="BR32" s="91">
        <f t="shared" si="0"/>
        <v>5.1950000000000003E-2</v>
      </c>
      <c r="BS32" s="91">
        <f t="shared" si="0"/>
        <v>5.1950000000000003E-2</v>
      </c>
      <c r="BT32" s="91">
        <f t="shared" si="0"/>
        <v>5.1950000000000003E-2</v>
      </c>
      <c r="BU32" s="91">
        <f t="shared" si="0"/>
        <v>5.1950000000000003E-2</v>
      </c>
      <c r="BV32" s="17"/>
      <c r="BW32" s="17"/>
      <c r="BX32" s="17"/>
    </row>
    <row r="33" spans="2:76" s="8" customFormat="1" ht="10.35" customHeight="1" outlineLevel="1" x14ac:dyDescent="0.2">
      <c r="B33" s="80"/>
      <c r="C33" s="10"/>
      <c r="D33" s="32" t="s">
        <v>14</v>
      </c>
      <c r="E33" s="80"/>
      <c r="F33" s="90" t="s">
        <v>426</v>
      </c>
      <c r="G33" s="395" t="str">
        <f>Output_charts!$E$14</f>
        <v>Low</v>
      </c>
      <c r="H33" s="85">
        <f>MATCH(G33,$D$30:$D$32,0)</f>
        <v>1</v>
      </c>
      <c r="I33" s="90" t="s">
        <v>427</v>
      </c>
      <c r="J33" s="91">
        <f>AVERAGEIFS(R33:BP33,R29:BP29,"&gt;="&amp;L19,R29:BP29,"&lt;"&amp;L19+50)</f>
        <v>3.4399999999999993E-2</v>
      </c>
      <c r="K33" s="83" t="s">
        <v>414</v>
      </c>
      <c r="L33" s="80"/>
      <c r="M33" s="17"/>
      <c r="N33" s="17"/>
      <c r="O33" s="17"/>
      <c r="P33" s="17"/>
      <c r="Q33" s="17"/>
      <c r="R33" s="17"/>
      <c r="S33" s="17"/>
      <c r="T33" s="91">
        <f t="shared" ref="T33:BP33" si="1">INDEX(T30:T32,$H$33)</f>
        <v>3.44E-2</v>
      </c>
      <c r="U33" s="91">
        <f t="shared" si="1"/>
        <v>3.44E-2</v>
      </c>
      <c r="V33" s="91">
        <f t="shared" si="1"/>
        <v>3.44E-2</v>
      </c>
      <c r="W33" s="91">
        <f t="shared" si="1"/>
        <v>3.44E-2</v>
      </c>
      <c r="X33" s="91">
        <f t="shared" si="1"/>
        <v>3.44E-2</v>
      </c>
      <c r="Y33" s="91">
        <f t="shared" si="1"/>
        <v>3.44E-2</v>
      </c>
      <c r="Z33" s="91">
        <f t="shared" si="1"/>
        <v>3.44E-2</v>
      </c>
      <c r="AA33" s="91">
        <f t="shared" si="1"/>
        <v>3.44E-2</v>
      </c>
      <c r="AB33" s="91">
        <f t="shared" si="1"/>
        <v>3.44E-2</v>
      </c>
      <c r="AC33" s="91">
        <f t="shared" si="1"/>
        <v>3.44E-2</v>
      </c>
      <c r="AD33" s="91">
        <f t="shared" si="1"/>
        <v>3.44E-2</v>
      </c>
      <c r="AE33" s="91">
        <f t="shared" si="1"/>
        <v>3.44E-2</v>
      </c>
      <c r="AF33" s="91">
        <f t="shared" si="1"/>
        <v>3.44E-2</v>
      </c>
      <c r="AG33" s="91">
        <f t="shared" si="1"/>
        <v>3.44E-2</v>
      </c>
      <c r="AH33" s="91">
        <f t="shared" si="1"/>
        <v>3.44E-2</v>
      </c>
      <c r="AI33" s="91">
        <f t="shared" si="1"/>
        <v>3.44E-2</v>
      </c>
      <c r="AJ33" s="91">
        <f t="shared" si="1"/>
        <v>3.44E-2</v>
      </c>
      <c r="AK33" s="91">
        <f t="shared" si="1"/>
        <v>3.44E-2</v>
      </c>
      <c r="AL33" s="91">
        <f t="shared" si="1"/>
        <v>3.44E-2</v>
      </c>
      <c r="AM33" s="91">
        <f t="shared" si="1"/>
        <v>3.44E-2</v>
      </c>
      <c r="AN33" s="91">
        <f t="shared" si="1"/>
        <v>3.44E-2</v>
      </c>
      <c r="AO33" s="91">
        <f t="shared" si="1"/>
        <v>3.44E-2</v>
      </c>
      <c r="AP33" s="91">
        <f t="shared" si="1"/>
        <v>3.44E-2</v>
      </c>
      <c r="AQ33" s="91">
        <f t="shared" si="1"/>
        <v>3.44E-2</v>
      </c>
      <c r="AR33" s="91">
        <f t="shared" si="1"/>
        <v>3.44E-2</v>
      </c>
      <c r="AS33" s="91">
        <f t="shared" si="1"/>
        <v>3.44E-2</v>
      </c>
      <c r="AT33" s="91">
        <f t="shared" si="1"/>
        <v>3.44E-2</v>
      </c>
      <c r="AU33" s="91">
        <f t="shared" si="1"/>
        <v>3.44E-2</v>
      </c>
      <c r="AV33" s="91">
        <f t="shared" si="1"/>
        <v>3.44E-2</v>
      </c>
      <c r="AW33" s="91">
        <f t="shared" si="1"/>
        <v>3.44E-2</v>
      </c>
      <c r="AX33" s="91">
        <f t="shared" si="1"/>
        <v>3.44E-2</v>
      </c>
      <c r="AY33" s="91">
        <f t="shared" si="1"/>
        <v>3.44E-2</v>
      </c>
      <c r="AZ33" s="91">
        <f t="shared" si="1"/>
        <v>3.44E-2</v>
      </c>
      <c r="BA33" s="91">
        <f t="shared" si="1"/>
        <v>3.44E-2</v>
      </c>
      <c r="BB33" s="91">
        <f t="shared" si="1"/>
        <v>3.44E-2</v>
      </c>
      <c r="BC33" s="91">
        <f t="shared" si="1"/>
        <v>3.44E-2</v>
      </c>
      <c r="BD33" s="91">
        <f t="shared" si="1"/>
        <v>3.44E-2</v>
      </c>
      <c r="BE33" s="91">
        <f t="shared" si="1"/>
        <v>3.44E-2</v>
      </c>
      <c r="BF33" s="91">
        <f>INDEX(BF30:BF32,$H$33)</f>
        <v>3.44E-2</v>
      </c>
      <c r="BG33" s="91">
        <f t="shared" si="1"/>
        <v>3.44E-2</v>
      </c>
      <c r="BH33" s="91">
        <f t="shared" si="1"/>
        <v>3.44E-2</v>
      </c>
      <c r="BI33" s="91">
        <f t="shared" si="1"/>
        <v>3.44E-2</v>
      </c>
      <c r="BJ33" s="91">
        <f t="shared" si="1"/>
        <v>3.44E-2</v>
      </c>
      <c r="BK33" s="91">
        <f t="shared" si="1"/>
        <v>3.44E-2</v>
      </c>
      <c r="BL33" s="91">
        <f t="shared" si="1"/>
        <v>3.44E-2</v>
      </c>
      <c r="BM33" s="91">
        <f t="shared" si="1"/>
        <v>3.44E-2</v>
      </c>
      <c r="BN33" s="91">
        <f t="shared" si="1"/>
        <v>3.44E-2</v>
      </c>
      <c r="BO33" s="91">
        <f t="shared" si="1"/>
        <v>3.44E-2</v>
      </c>
      <c r="BP33" s="91">
        <f t="shared" si="1"/>
        <v>3.44E-2</v>
      </c>
      <c r="BQ33" s="91">
        <f t="shared" ref="BQ33:BU33" si="2">INDEX(BQ30:BQ32,$H$33)</f>
        <v>3.44E-2</v>
      </c>
      <c r="BR33" s="91">
        <f t="shared" si="2"/>
        <v>3.44E-2</v>
      </c>
      <c r="BS33" s="91">
        <f t="shared" si="2"/>
        <v>3.44E-2</v>
      </c>
      <c r="BT33" s="91">
        <f t="shared" si="2"/>
        <v>3.44E-2</v>
      </c>
      <c r="BU33" s="91">
        <f t="shared" si="2"/>
        <v>3.44E-2</v>
      </c>
      <c r="BV33" s="91"/>
      <c r="BW33" s="91"/>
      <c r="BX33" s="91"/>
    </row>
    <row r="34" spans="2:76" s="8" customFormat="1" ht="10.35" customHeight="1" outlineLevel="1" x14ac:dyDescent="0.2">
      <c r="B34" s="80"/>
      <c r="C34" s="10"/>
      <c r="D34" s="80"/>
      <c r="E34" s="80"/>
      <c r="F34" s="80"/>
      <c r="G34" s="80"/>
      <c r="H34" s="80"/>
      <c r="I34" s="80"/>
      <c r="J34" s="83"/>
      <c r="K34" s="83"/>
      <c r="L34"/>
      <c r="M34"/>
      <c r="N34"/>
      <c r="O34"/>
      <c r="P34"/>
      <c r="Q34"/>
      <c r="R34" s="450"/>
      <c r="S34" s="450"/>
      <c r="T34" s="450"/>
      <c r="U34" s="450"/>
      <c r="V34" s="450"/>
      <c r="W34" s="450"/>
      <c r="X34" s="450"/>
      <c r="Y34" s="450"/>
      <c r="Z34" s="450"/>
      <c r="AA34" s="450"/>
      <c r="AB34" s="450"/>
      <c r="AC34" s="450"/>
      <c r="AD34" s="450"/>
      <c r="AE34" s="450"/>
      <c r="AF34" s="450"/>
      <c r="AG34" s="450"/>
      <c r="AH34" s="450"/>
      <c r="AI34" s="450"/>
      <c r="AJ34" s="450"/>
      <c r="AK34" s="450"/>
      <c r="AL34" s="450"/>
      <c r="AM34" s="450"/>
      <c r="AN34" s="450"/>
      <c r="AO34" s="80"/>
      <c r="AP34" s="80"/>
      <c r="AQ34" s="80"/>
      <c r="AR34" s="80"/>
      <c r="AS34" s="80"/>
      <c r="AT34" s="80"/>
      <c r="AU34" s="80"/>
      <c r="AV34" s="80"/>
      <c r="AW34" s="80"/>
      <c r="AX34" s="80"/>
      <c r="AY34" s="80"/>
      <c r="AZ34" s="80"/>
      <c r="BA34" s="80"/>
      <c r="BB34" s="80"/>
      <c r="BC34" s="80"/>
      <c r="BD34" s="80"/>
      <c r="BE34" s="80"/>
      <c r="BF34" s="80"/>
      <c r="BG34" s="80"/>
      <c r="BH34" s="80"/>
      <c r="BI34" s="80"/>
      <c r="BJ34" s="80"/>
      <c r="BK34" s="80"/>
      <c r="BL34" s="80"/>
      <c r="BM34" s="80"/>
      <c r="BN34" s="80"/>
      <c r="BO34" s="80"/>
      <c r="BP34" s="80"/>
      <c r="BQ34" s="80"/>
      <c r="BR34" s="80"/>
      <c r="BS34" s="80"/>
      <c r="BT34" s="80"/>
      <c r="BU34" s="80"/>
      <c r="BV34" s="80"/>
      <c r="BW34" s="80"/>
      <c r="BX34" s="80"/>
    </row>
    <row r="35" spans="2:76" s="8" customFormat="1" ht="10.35" customHeight="1" outlineLevel="1" x14ac:dyDescent="0.2">
      <c r="B35" s="80"/>
      <c r="C35" s="10" t="s">
        <v>428</v>
      </c>
      <c r="D35" s="80"/>
      <c r="E35" s="27" t="s">
        <v>422</v>
      </c>
      <c r="F35" s="80"/>
      <c r="G35" s="80"/>
      <c r="H35" s="80"/>
      <c r="I35" s="80"/>
      <c r="J35" s="83"/>
      <c r="K35" s="83"/>
      <c r="L35"/>
      <c r="M35" s="17">
        <v>2015</v>
      </c>
      <c r="N35" s="17">
        <v>2016</v>
      </c>
      <c r="O35" s="17">
        <v>2017</v>
      </c>
      <c r="P35" s="17">
        <v>2018</v>
      </c>
      <c r="Q35" s="17">
        <v>2019</v>
      </c>
      <c r="R35" s="17">
        <v>2020</v>
      </c>
      <c r="S35" s="17">
        <v>2021</v>
      </c>
      <c r="T35" s="17">
        <v>2022</v>
      </c>
      <c r="U35" s="17">
        <v>2023</v>
      </c>
      <c r="V35" s="17">
        <v>2024</v>
      </c>
      <c r="W35" s="17">
        <v>2025</v>
      </c>
      <c r="X35" s="17">
        <v>2026</v>
      </c>
      <c r="Y35" s="17">
        <v>2027</v>
      </c>
      <c r="Z35" s="17">
        <v>2028</v>
      </c>
      <c r="AA35" s="17">
        <v>2029</v>
      </c>
      <c r="AB35" s="17">
        <v>2030</v>
      </c>
      <c r="AC35" s="17">
        <v>2031</v>
      </c>
      <c r="AD35" s="17">
        <v>2032</v>
      </c>
      <c r="AE35" s="17">
        <v>2033</v>
      </c>
      <c r="AF35" s="17">
        <v>2034</v>
      </c>
      <c r="AG35" s="17">
        <v>2035</v>
      </c>
      <c r="AH35" s="17">
        <v>2036</v>
      </c>
      <c r="AI35" s="17">
        <v>2037</v>
      </c>
      <c r="AJ35" s="17">
        <v>2038</v>
      </c>
      <c r="AK35" s="17">
        <v>2039</v>
      </c>
      <c r="AL35" s="17">
        <v>2040</v>
      </c>
      <c r="AM35" s="17">
        <v>2041</v>
      </c>
      <c r="AN35" s="17">
        <v>2042</v>
      </c>
      <c r="AO35" s="17">
        <v>2043</v>
      </c>
      <c r="AP35" s="17">
        <v>2044</v>
      </c>
      <c r="AQ35" s="17">
        <v>2045</v>
      </c>
      <c r="AR35" s="17">
        <v>2046</v>
      </c>
      <c r="AS35" s="17">
        <v>2047</v>
      </c>
      <c r="AT35" s="17">
        <v>2048</v>
      </c>
      <c r="AU35" s="17">
        <v>2049</v>
      </c>
      <c r="AV35" s="17">
        <v>2050</v>
      </c>
      <c r="AW35" s="17">
        <v>2051</v>
      </c>
      <c r="AX35" s="17">
        <v>2052</v>
      </c>
      <c r="AY35" s="17">
        <v>2053</v>
      </c>
      <c r="AZ35" s="17">
        <v>2054</v>
      </c>
      <c r="BA35" s="17">
        <v>2055</v>
      </c>
      <c r="BB35" s="17">
        <v>2056</v>
      </c>
      <c r="BC35" s="17">
        <v>2057</v>
      </c>
      <c r="BD35" s="17">
        <v>2058</v>
      </c>
      <c r="BE35" s="17">
        <v>2059</v>
      </c>
      <c r="BF35" s="17">
        <v>2060</v>
      </c>
      <c r="BG35" s="17">
        <v>2061</v>
      </c>
      <c r="BH35" s="17">
        <v>2062</v>
      </c>
      <c r="BI35" s="17">
        <v>2063</v>
      </c>
      <c r="BJ35" s="17">
        <v>2064</v>
      </c>
      <c r="BK35" s="17">
        <v>2065</v>
      </c>
      <c r="BL35" s="17">
        <v>2066</v>
      </c>
      <c r="BM35" s="17">
        <v>2067</v>
      </c>
      <c r="BN35" s="17">
        <v>2068</v>
      </c>
      <c r="BO35" s="17">
        <v>2069</v>
      </c>
      <c r="BP35" s="17">
        <v>2070</v>
      </c>
      <c r="BQ35" s="17">
        <v>2071</v>
      </c>
      <c r="BR35" s="17">
        <v>2072</v>
      </c>
      <c r="BS35" s="17">
        <v>2073</v>
      </c>
      <c r="BT35" s="17">
        <v>2074</v>
      </c>
      <c r="BU35" s="17">
        <v>2075</v>
      </c>
      <c r="BV35" s="80"/>
      <c r="BW35" s="80"/>
      <c r="BX35" s="80"/>
    </row>
    <row r="36" spans="2:76" s="8" customFormat="1" ht="10.35" customHeight="1" outlineLevel="1" x14ac:dyDescent="0.2">
      <c r="B36" s="80"/>
      <c r="C36" s="80"/>
      <c r="D36" s="85" t="s">
        <v>149</v>
      </c>
      <c r="E36" s="27" t="s">
        <v>423</v>
      </c>
      <c r="F36" s="80"/>
      <c r="G36" s="80"/>
      <c r="H36" s="80"/>
      <c r="I36" s="80"/>
      <c r="J36" s="83"/>
      <c r="K36" s="83" t="s">
        <v>414</v>
      </c>
      <c r="L36" s="80"/>
      <c r="M36" s="83"/>
      <c r="N36" s="83"/>
      <c r="O36" s="83"/>
      <c r="P36" s="83"/>
      <c r="Q36" s="83"/>
      <c r="R36" s="83"/>
      <c r="S36" s="83"/>
      <c r="T36" s="503">
        <v>3.44E-2</v>
      </c>
      <c r="U36" s="503">
        <v>3.44E-2</v>
      </c>
      <c r="V36" s="503">
        <v>3.44E-2</v>
      </c>
      <c r="W36" s="503">
        <v>3.44E-2</v>
      </c>
      <c r="X36" s="503">
        <v>3.44E-2</v>
      </c>
      <c r="Y36" s="503">
        <v>3.44E-2</v>
      </c>
      <c r="Z36" s="503">
        <v>3.44E-2</v>
      </c>
      <c r="AA36" s="503">
        <v>3.44E-2</v>
      </c>
      <c r="AB36" s="503">
        <v>3.44E-2</v>
      </c>
      <c r="AC36" s="503">
        <v>3.44E-2</v>
      </c>
      <c r="AD36" s="503">
        <v>3.44E-2</v>
      </c>
      <c r="AE36" s="503">
        <v>3.44E-2</v>
      </c>
      <c r="AF36" s="503">
        <v>3.44E-2</v>
      </c>
      <c r="AG36" s="503">
        <v>3.44E-2</v>
      </c>
      <c r="AH36" s="503">
        <v>3.44E-2</v>
      </c>
      <c r="AI36" s="503">
        <v>3.44E-2</v>
      </c>
      <c r="AJ36" s="503">
        <v>3.44E-2</v>
      </c>
      <c r="AK36" s="503">
        <v>3.44E-2</v>
      </c>
      <c r="AL36" s="503">
        <v>3.44E-2</v>
      </c>
      <c r="AM36" s="503">
        <v>3.44E-2</v>
      </c>
      <c r="AN36" s="503">
        <v>3.44E-2</v>
      </c>
      <c r="AO36" s="503">
        <v>3.44E-2</v>
      </c>
      <c r="AP36" s="503">
        <v>3.44E-2</v>
      </c>
      <c r="AQ36" s="503">
        <v>3.44E-2</v>
      </c>
      <c r="AR36" s="503">
        <v>3.44E-2</v>
      </c>
      <c r="AS36" s="503">
        <v>3.44E-2</v>
      </c>
      <c r="AT36" s="503">
        <v>3.44E-2</v>
      </c>
      <c r="AU36" s="503">
        <v>3.44E-2</v>
      </c>
      <c r="AV36" s="503">
        <v>3.44E-2</v>
      </c>
      <c r="AW36" s="503">
        <v>3.44E-2</v>
      </c>
      <c r="AX36" s="503">
        <v>3.44E-2</v>
      </c>
      <c r="AY36" s="503">
        <v>3.44E-2</v>
      </c>
      <c r="AZ36" s="503">
        <v>3.44E-2</v>
      </c>
      <c r="BA36" s="503">
        <v>3.44E-2</v>
      </c>
      <c r="BB36" s="503">
        <v>3.44E-2</v>
      </c>
      <c r="BC36" s="503">
        <v>3.44E-2</v>
      </c>
      <c r="BD36" s="503">
        <v>3.44E-2</v>
      </c>
      <c r="BE36" s="503">
        <v>3.44E-2</v>
      </c>
      <c r="BF36" s="503">
        <v>3.44E-2</v>
      </c>
      <c r="BG36" s="503">
        <v>3.44E-2</v>
      </c>
      <c r="BH36" s="503">
        <v>3.44E-2</v>
      </c>
      <c r="BI36" s="503">
        <v>3.44E-2</v>
      </c>
      <c r="BJ36" s="503">
        <v>3.44E-2</v>
      </c>
      <c r="BK36" s="503">
        <v>3.44E-2</v>
      </c>
      <c r="BL36" s="503">
        <v>3.44E-2</v>
      </c>
      <c r="BM36" s="503">
        <v>3.44E-2</v>
      </c>
      <c r="BN36" s="503">
        <v>3.44E-2</v>
      </c>
      <c r="BO36" s="503">
        <v>3.44E-2</v>
      </c>
      <c r="BP36" s="503">
        <v>3.44E-2</v>
      </c>
      <c r="BQ36" s="503">
        <v>3.44E-2</v>
      </c>
      <c r="BR36" s="503">
        <v>3.44E-2</v>
      </c>
      <c r="BS36" s="503">
        <v>3.44E-2</v>
      </c>
      <c r="BT36" s="503">
        <v>3.44E-2</v>
      </c>
      <c r="BU36" s="503">
        <v>3.44E-2</v>
      </c>
      <c r="BV36" s="80"/>
      <c r="BW36" s="80"/>
      <c r="BX36" s="80"/>
    </row>
    <row r="37" spans="2:76" s="8" customFormat="1" ht="10.35" customHeight="1" outlineLevel="1" x14ac:dyDescent="0.2">
      <c r="B37" s="80"/>
      <c r="C37" s="10"/>
      <c r="D37" s="85" t="s">
        <v>424</v>
      </c>
      <c r="E37" s="80"/>
      <c r="F37" s="80"/>
      <c r="G37" s="80"/>
      <c r="H37" s="80"/>
      <c r="I37" s="80"/>
      <c r="J37" s="83"/>
      <c r="K37" s="83" t="s">
        <v>414</v>
      </c>
      <c r="L37" s="80"/>
      <c r="M37" s="83"/>
      <c r="N37" s="83"/>
      <c r="O37" s="83"/>
      <c r="P37" s="83"/>
      <c r="Q37" s="83"/>
      <c r="R37" s="83"/>
      <c r="S37" s="83"/>
      <c r="T37" s="503">
        <v>6.9500000000000006E-2</v>
      </c>
      <c r="U37" s="503">
        <v>6.9500000000000006E-2</v>
      </c>
      <c r="V37" s="503">
        <v>6.9500000000000006E-2</v>
      </c>
      <c r="W37" s="503">
        <v>6.9500000000000006E-2</v>
      </c>
      <c r="X37" s="503">
        <v>6.9500000000000006E-2</v>
      </c>
      <c r="Y37" s="503">
        <v>6.9500000000000006E-2</v>
      </c>
      <c r="Z37" s="503">
        <v>6.9500000000000006E-2</v>
      </c>
      <c r="AA37" s="503">
        <v>6.9500000000000006E-2</v>
      </c>
      <c r="AB37" s="503">
        <v>6.9500000000000006E-2</v>
      </c>
      <c r="AC37" s="503">
        <v>6.9500000000000006E-2</v>
      </c>
      <c r="AD37" s="503">
        <v>6.9500000000000006E-2</v>
      </c>
      <c r="AE37" s="503">
        <v>6.9500000000000006E-2</v>
      </c>
      <c r="AF37" s="503">
        <v>6.9500000000000006E-2</v>
      </c>
      <c r="AG37" s="503">
        <v>6.9500000000000006E-2</v>
      </c>
      <c r="AH37" s="503">
        <v>6.9500000000000006E-2</v>
      </c>
      <c r="AI37" s="503">
        <v>6.9500000000000006E-2</v>
      </c>
      <c r="AJ37" s="503">
        <v>6.9500000000000006E-2</v>
      </c>
      <c r="AK37" s="503">
        <v>6.9500000000000006E-2</v>
      </c>
      <c r="AL37" s="503">
        <v>6.9500000000000006E-2</v>
      </c>
      <c r="AM37" s="503">
        <v>6.9500000000000006E-2</v>
      </c>
      <c r="AN37" s="503">
        <v>6.9500000000000006E-2</v>
      </c>
      <c r="AO37" s="503">
        <v>6.9500000000000006E-2</v>
      </c>
      <c r="AP37" s="503">
        <v>6.9500000000000006E-2</v>
      </c>
      <c r="AQ37" s="503">
        <v>6.9500000000000006E-2</v>
      </c>
      <c r="AR37" s="503">
        <v>6.9500000000000006E-2</v>
      </c>
      <c r="AS37" s="503">
        <v>6.9500000000000006E-2</v>
      </c>
      <c r="AT37" s="503">
        <v>6.9500000000000006E-2</v>
      </c>
      <c r="AU37" s="503">
        <v>6.9500000000000006E-2</v>
      </c>
      <c r="AV37" s="503">
        <v>6.9500000000000006E-2</v>
      </c>
      <c r="AW37" s="503">
        <v>6.9500000000000006E-2</v>
      </c>
      <c r="AX37" s="503">
        <v>6.9500000000000006E-2</v>
      </c>
      <c r="AY37" s="503">
        <v>6.9500000000000006E-2</v>
      </c>
      <c r="AZ37" s="503">
        <v>6.9500000000000006E-2</v>
      </c>
      <c r="BA37" s="503">
        <v>6.9500000000000006E-2</v>
      </c>
      <c r="BB37" s="503">
        <v>6.9500000000000006E-2</v>
      </c>
      <c r="BC37" s="503">
        <v>6.9500000000000006E-2</v>
      </c>
      <c r="BD37" s="503">
        <v>6.9500000000000006E-2</v>
      </c>
      <c r="BE37" s="503">
        <v>6.9500000000000006E-2</v>
      </c>
      <c r="BF37" s="503">
        <v>6.9500000000000006E-2</v>
      </c>
      <c r="BG37" s="503">
        <v>6.9500000000000006E-2</v>
      </c>
      <c r="BH37" s="503">
        <v>6.9500000000000006E-2</v>
      </c>
      <c r="BI37" s="503">
        <v>6.9500000000000006E-2</v>
      </c>
      <c r="BJ37" s="503">
        <v>6.9500000000000006E-2</v>
      </c>
      <c r="BK37" s="503">
        <v>6.9500000000000006E-2</v>
      </c>
      <c r="BL37" s="503">
        <v>6.9500000000000006E-2</v>
      </c>
      <c r="BM37" s="503">
        <v>6.9500000000000006E-2</v>
      </c>
      <c r="BN37" s="503">
        <v>6.9500000000000006E-2</v>
      </c>
      <c r="BO37" s="503">
        <v>6.9500000000000006E-2</v>
      </c>
      <c r="BP37" s="503">
        <v>6.9500000000000006E-2</v>
      </c>
      <c r="BQ37" s="503">
        <v>6.9500000000000006E-2</v>
      </c>
      <c r="BR37" s="503">
        <v>6.9500000000000006E-2</v>
      </c>
      <c r="BS37" s="503">
        <v>6.9500000000000006E-2</v>
      </c>
      <c r="BT37" s="503">
        <v>6.9500000000000006E-2</v>
      </c>
      <c r="BU37" s="503">
        <v>6.9500000000000006E-2</v>
      </c>
      <c r="BV37" s="80"/>
      <c r="BW37" s="80"/>
      <c r="BX37" s="80"/>
    </row>
    <row r="38" spans="2:76" s="8" customFormat="1" ht="10.35" customHeight="1" outlineLevel="1" x14ac:dyDescent="0.2">
      <c r="B38" s="80"/>
      <c r="C38" s="10"/>
      <c r="D38" s="85" t="s">
        <v>425</v>
      </c>
      <c r="E38" s="80"/>
      <c r="F38" s="80"/>
      <c r="G38" s="80"/>
      <c r="H38" s="80"/>
      <c r="I38" s="80"/>
      <c r="J38" s="83"/>
      <c r="K38" s="83" t="s">
        <v>414</v>
      </c>
      <c r="L38" s="80"/>
      <c r="M38" s="83"/>
      <c r="N38" s="83"/>
      <c r="O38" s="83"/>
      <c r="P38" s="83"/>
      <c r="Q38" s="83"/>
      <c r="R38" s="83"/>
      <c r="S38" s="83"/>
      <c r="T38" s="91">
        <f t="shared" ref="T38" si="3">AVERAGE(T36:T37)</f>
        <v>5.1950000000000003E-2</v>
      </c>
      <c r="U38" s="91">
        <f t="shared" ref="U38" si="4">AVERAGE(U36:U37)</f>
        <v>5.1950000000000003E-2</v>
      </c>
      <c r="V38" s="91">
        <f t="shared" ref="V38" si="5">AVERAGE(V36:V37)</f>
        <v>5.1950000000000003E-2</v>
      </c>
      <c r="W38" s="91">
        <f t="shared" ref="W38" si="6">AVERAGE(W36:W37)</f>
        <v>5.1950000000000003E-2</v>
      </c>
      <c r="X38" s="91">
        <f t="shared" ref="X38" si="7">AVERAGE(X36:X37)</f>
        <v>5.1950000000000003E-2</v>
      </c>
      <c r="Y38" s="91">
        <f t="shared" ref="Y38" si="8">AVERAGE(Y36:Y37)</f>
        <v>5.1950000000000003E-2</v>
      </c>
      <c r="Z38" s="91">
        <f t="shared" ref="Z38" si="9">AVERAGE(Z36:Z37)</f>
        <v>5.1950000000000003E-2</v>
      </c>
      <c r="AA38" s="91">
        <f t="shared" ref="AA38" si="10">AVERAGE(AA36:AA37)</f>
        <v>5.1950000000000003E-2</v>
      </c>
      <c r="AB38" s="91">
        <f t="shared" ref="AB38" si="11">AVERAGE(AB36:AB37)</f>
        <v>5.1950000000000003E-2</v>
      </c>
      <c r="AC38" s="91">
        <f t="shared" ref="AC38" si="12">AVERAGE(AC36:AC37)</f>
        <v>5.1950000000000003E-2</v>
      </c>
      <c r="AD38" s="91">
        <f t="shared" ref="AD38" si="13">AVERAGE(AD36:AD37)</f>
        <v>5.1950000000000003E-2</v>
      </c>
      <c r="AE38" s="91">
        <f t="shared" ref="AE38" si="14">AVERAGE(AE36:AE37)</f>
        <v>5.1950000000000003E-2</v>
      </c>
      <c r="AF38" s="91">
        <f t="shared" ref="AF38" si="15">AVERAGE(AF36:AF37)</f>
        <v>5.1950000000000003E-2</v>
      </c>
      <c r="AG38" s="91">
        <f t="shared" ref="AG38" si="16">AVERAGE(AG36:AG37)</f>
        <v>5.1950000000000003E-2</v>
      </c>
      <c r="AH38" s="91">
        <f t="shared" ref="AH38" si="17">AVERAGE(AH36:AH37)</f>
        <v>5.1950000000000003E-2</v>
      </c>
      <c r="AI38" s="91">
        <f t="shared" ref="AI38" si="18">AVERAGE(AI36:AI37)</f>
        <v>5.1950000000000003E-2</v>
      </c>
      <c r="AJ38" s="91">
        <f t="shared" ref="AJ38" si="19">AVERAGE(AJ36:AJ37)</f>
        <v>5.1950000000000003E-2</v>
      </c>
      <c r="AK38" s="91">
        <f t="shared" ref="AK38" si="20">AVERAGE(AK36:AK37)</f>
        <v>5.1950000000000003E-2</v>
      </c>
      <c r="AL38" s="91">
        <f t="shared" ref="AL38" si="21">AVERAGE(AL36:AL37)</f>
        <v>5.1950000000000003E-2</v>
      </c>
      <c r="AM38" s="91">
        <f t="shared" ref="AM38" si="22">AVERAGE(AM36:AM37)</f>
        <v>5.1950000000000003E-2</v>
      </c>
      <c r="AN38" s="91">
        <f t="shared" ref="AN38" si="23">AVERAGE(AN36:AN37)</f>
        <v>5.1950000000000003E-2</v>
      </c>
      <c r="AO38" s="91">
        <f t="shared" ref="AO38" si="24">AVERAGE(AO36:AO37)</f>
        <v>5.1950000000000003E-2</v>
      </c>
      <c r="AP38" s="91">
        <f t="shared" ref="AP38" si="25">AVERAGE(AP36:AP37)</f>
        <v>5.1950000000000003E-2</v>
      </c>
      <c r="AQ38" s="91">
        <f t="shared" ref="AQ38" si="26">AVERAGE(AQ36:AQ37)</f>
        <v>5.1950000000000003E-2</v>
      </c>
      <c r="AR38" s="91">
        <f t="shared" ref="AR38" si="27">AVERAGE(AR36:AR37)</f>
        <v>5.1950000000000003E-2</v>
      </c>
      <c r="AS38" s="91">
        <f t="shared" ref="AS38" si="28">AVERAGE(AS36:AS37)</f>
        <v>5.1950000000000003E-2</v>
      </c>
      <c r="AT38" s="91">
        <f t="shared" ref="AT38" si="29">AVERAGE(AT36:AT37)</f>
        <v>5.1950000000000003E-2</v>
      </c>
      <c r="AU38" s="91">
        <f t="shared" ref="AU38" si="30">AVERAGE(AU36:AU37)</f>
        <v>5.1950000000000003E-2</v>
      </c>
      <c r="AV38" s="91">
        <f t="shared" ref="AV38" si="31">AVERAGE(AV36:AV37)</f>
        <v>5.1950000000000003E-2</v>
      </c>
      <c r="AW38" s="91">
        <f t="shared" ref="AW38" si="32">AVERAGE(AW36:AW37)</f>
        <v>5.1950000000000003E-2</v>
      </c>
      <c r="AX38" s="91">
        <f t="shared" ref="AX38" si="33">AVERAGE(AX36:AX37)</f>
        <v>5.1950000000000003E-2</v>
      </c>
      <c r="AY38" s="91">
        <f t="shared" ref="AY38" si="34">AVERAGE(AY36:AY37)</f>
        <v>5.1950000000000003E-2</v>
      </c>
      <c r="AZ38" s="91">
        <f t="shared" ref="AZ38" si="35">AVERAGE(AZ36:AZ37)</f>
        <v>5.1950000000000003E-2</v>
      </c>
      <c r="BA38" s="91">
        <f t="shared" ref="BA38" si="36">AVERAGE(BA36:BA37)</f>
        <v>5.1950000000000003E-2</v>
      </c>
      <c r="BB38" s="91">
        <f t="shared" ref="BB38" si="37">AVERAGE(BB36:BB37)</f>
        <v>5.1950000000000003E-2</v>
      </c>
      <c r="BC38" s="91">
        <f t="shared" ref="BC38" si="38">AVERAGE(BC36:BC37)</f>
        <v>5.1950000000000003E-2</v>
      </c>
      <c r="BD38" s="91">
        <f t="shared" ref="BD38" si="39">AVERAGE(BD36:BD37)</f>
        <v>5.1950000000000003E-2</v>
      </c>
      <c r="BE38" s="91">
        <f t="shared" ref="BE38" si="40">AVERAGE(BE36:BE37)</f>
        <v>5.1950000000000003E-2</v>
      </c>
      <c r="BF38" s="91">
        <f t="shared" ref="BF38" si="41">AVERAGE(BF36:BF37)</f>
        <v>5.1950000000000003E-2</v>
      </c>
      <c r="BG38" s="91">
        <f t="shared" ref="BG38" si="42">AVERAGE(BG36:BG37)</f>
        <v>5.1950000000000003E-2</v>
      </c>
      <c r="BH38" s="91">
        <f t="shared" ref="BH38" si="43">AVERAGE(BH36:BH37)</f>
        <v>5.1950000000000003E-2</v>
      </c>
      <c r="BI38" s="91">
        <f t="shared" ref="BI38" si="44">AVERAGE(BI36:BI37)</f>
        <v>5.1950000000000003E-2</v>
      </c>
      <c r="BJ38" s="91">
        <f t="shared" ref="BJ38" si="45">AVERAGE(BJ36:BJ37)</f>
        <v>5.1950000000000003E-2</v>
      </c>
      <c r="BK38" s="91">
        <f t="shared" ref="BK38" si="46">AVERAGE(BK36:BK37)</f>
        <v>5.1950000000000003E-2</v>
      </c>
      <c r="BL38" s="91">
        <f t="shared" ref="BL38" si="47">AVERAGE(BL36:BL37)</f>
        <v>5.1950000000000003E-2</v>
      </c>
      <c r="BM38" s="91">
        <f t="shared" ref="BM38" si="48">AVERAGE(BM36:BM37)</f>
        <v>5.1950000000000003E-2</v>
      </c>
      <c r="BN38" s="91">
        <f t="shared" ref="BN38" si="49">AVERAGE(BN36:BN37)</f>
        <v>5.1950000000000003E-2</v>
      </c>
      <c r="BO38" s="91">
        <f t="shared" ref="BO38" si="50">AVERAGE(BO36:BO37)</f>
        <v>5.1950000000000003E-2</v>
      </c>
      <c r="BP38" s="91">
        <f t="shared" ref="BP38" si="51">AVERAGE(BP36:BP37)</f>
        <v>5.1950000000000003E-2</v>
      </c>
      <c r="BQ38" s="91">
        <f t="shared" ref="BQ38" si="52">AVERAGE(BQ36:BQ37)</f>
        <v>5.1950000000000003E-2</v>
      </c>
      <c r="BR38" s="91">
        <f t="shared" ref="BR38" si="53">AVERAGE(BR36:BR37)</f>
        <v>5.1950000000000003E-2</v>
      </c>
      <c r="BS38" s="91">
        <f t="shared" ref="BS38" si="54">AVERAGE(BS36:BS37)</f>
        <v>5.1950000000000003E-2</v>
      </c>
      <c r="BT38" s="91">
        <f t="shared" ref="BT38" si="55">AVERAGE(BT36:BT37)</f>
        <v>5.1950000000000003E-2</v>
      </c>
      <c r="BU38" s="91">
        <f t="shared" ref="BU38" si="56">AVERAGE(BU36:BU37)</f>
        <v>5.1950000000000003E-2</v>
      </c>
      <c r="BV38" s="80"/>
      <c r="BW38" s="80"/>
      <c r="BX38" s="80"/>
    </row>
    <row r="39" spans="2:76" s="8" customFormat="1" ht="10.35" customHeight="1" outlineLevel="1" x14ac:dyDescent="0.2">
      <c r="B39" s="80"/>
      <c r="C39" s="10"/>
      <c r="D39" s="32" t="s">
        <v>14</v>
      </c>
      <c r="E39" s="80"/>
      <c r="F39" s="90" t="s">
        <v>426</v>
      </c>
      <c r="G39" s="395" t="str">
        <f>Output_charts!$F$14</f>
        <v>Low</v>
      </c>
      <c r="H39" s="85">
        <f>MATCH(G39,$D$36:$D$38,0)</f>
        <v>1</v>
      </c>
      <c r="I39" s="90" t="s">
        <v>427</v>
      </c>
      <c r="J39" s="91">
        <f>AVERAGEIFS(R39:BP39,R35:BP35,"&gt;="&amp;L19,R35:BP35,"&lt;"&amp;L19+50)</f>
        <v>3.4399999999999993E-2</v>
      </c>
      <c r="K39" s="83" t="s">
        <v>414</v>
      </c>
      <c r="L39" s="80"/>
      <c r="M39" s="17"/>
      <c r="N39" s="17"/>
      <c r="O39" s="17"/>
      <c r="P39" s="17"/>
      <c r="Q39" s="17"/>
      <c r="R39" s="17"/>
      <c r="S39" s="17"/>
      <c r="T39" s="91">
        <f t="shared" ref="T39:BP39" si="57">INDEX(T36:T38,$H$39)</f>
        <v>3.44E-2</v>
      </c>
      <c r="U39" s="91">
        <f t="shared" si="57"/>
        <v>3.44E-2</v>
      </c>
      <c r="V39" s="91">
        <f t="shared" si="57"/>
        <v>3.44E-2</v>
      </c>
      <c r="W39" s="91">
        <f t="shared" si="57"/>
        <v>3.44E-2</v>
      </c>
      <c r="X39" s="91">
        <f t="shared" si="57"/>
        <v>3.44E-2</v>
      </c>
      <c r="Y39" s="91">
        <f t="shared" si="57"/>
        <v>3.44E-2</v>
      </c>
      <c r="Z39" s="91">
        <f t="shared" si="57"/>
        <v>3.44E-2</v>
      </c>
      <c r="AA39" s="91">
        <f t="shared" si="57"/>
        <v>3.44E-2</v>
      </c>
      <c r="AB39" s="91">
        <f t="shared" si="57"/>
        <v>3.44E-2</v>
      </c>
      <c r="AC39" s="91">
        <f t="shared" si="57"/>
        <v>3.44E-2</v>
      </c>
      <c r="AD39" s="91">
        <f t="shared" si="57"/>
        <v>3.44E-2</v>
      </c>
      <c r="AE39" s="91">
        <f t="shared" si="57"/>
        <v>3.44E-2</v>
      </c>
      <c r="AF39" s="91">
        <f t="shared" si="57"/>
        <v>3.44E-2</v>
      </c>
      <c r="AG39" s="91">
        <f t="shared" si="57"/>
        <v>3.44E-2</v>
      </c>
      <c r="AH39" s="91">
        <f t="shared" si="57"/>
        <v>3.44E-2</v>
      </c>
      <c r="AI39" s="91">
        <f t="shared" si="57"/>
        <v>3.44E-2</v>
      </c>
      <c r="AJ39" s="91">
        <f t="shared" si="57"/>
        <v>3.44E-2</v>
      </c>
      <c r="AK39" s="91">
        <f t="shared" si="57"/>
        <v>3.44E-2</v>
      </c>
      <c r="AL39" s="91">
        <f t="shared" si="57"/>
        <v>3.44E-2</v>
      </c>
      <c r="AM39" s="91">
        <f t="shared" si="57"/>
        <v>3.44E-2</v>
      </c>
      <c r="AN39" s="91">
        <f t="shared" si="57"/>
        <v>3.44E-2</v>
      </c>
      <c r="AO39" s="91">
        <f t="shared" si="57"/>
        <v>3.44E-2</v>
      </c>
      <c r="AP39" s="91">
        <f t="shared" si="57"/>
        <v>3.44E-2</v>
      </c>
      <c r="AQ39" s="91">
        <f t="shared" si="57"/>
        <v>3.44E-2</v>
      </c>
      <c r="AR39" s="91">
        <f t="shared" si="57"/>
        <v>3.44E-2</v>
      </c>
      <c r="AS39" s="91">
        <f t="shared" si="57"/>
        <v>3.44E-2</v>
      </c>
      <c r="AT39" s="91">
        <f t="shared" si="57"/>
        <v>3.44E-2</v>
      </c>
      <c r="AU39" s="91">
        <f t="shared" si="57"/>
        <v>3.44E-2</v>
      </c>
      <c r="AV39" s="91">
        <f t="shared" si="57"/>
        <v>3.44E-2</v>
      </c>
      <c r="AW39" s="91">
        <f t="shared" si="57"/>
        <v>3.44E-2</v>
      </c>
      <c r="AX39" s="91">
        <f t="shared" si="57"/>
        <v>3.44E-2</v>
      </c>
      <c r="AY39" s="91">
        <f t="shared" si="57"/>
        <v>3.44E-2</v>
      </c>
      <c r="AZ39" s="91">
        <f t="shared" si="57"/>
        <v>3.44E-2</v>
      </c>
      <c r="BA39" s="91">
        <f t="shared" si="57"/>
        <v>3.44E-2</v>
      </c>
      <c r="BB39" s="91">
        <f t="shared" si="57"/>
        <v>3.44E-2</v>
      </c>
      <c r="BC39" s="91">
        <f t="shared" si="57"/>
        <v>3.44E-2</v>
      </c>
      <c r="BD39" s="91">
        <f t="shared" si="57"/>
        <v>3.44E-2</v>
      </c>
      <c r="BE39" s="91">
        <f t="shared" si="57"/>
        <v>3.44E-2</v>
      </c>
      <c r="BF39" s="91">
        <f t="shared" si="57"/>
        <v>3.44E-2</v>
      </c>
      <c r="BG39" s="91">
        <f t="shared" si="57"/>
        <v>3.44E-2</v>
      </c>
      <c r="BH39" s="91">
        <f t="shared" si="57"/>
        <v>3.44E-2</v>
      </c>
      <c r="BI39" s="91">
        <f t="shared" si="57"/>
        <v>3.44E-2</v>
      </c>
      <c r="BJ39" s="91">
        <f t="shared" si="57"/>
        <v>3.44E-2</v>
      </c>
      <c r="BK39" s="91">
        <f t="shared" si="57"/>
        <v>3.44E-2</v>
      </c>
      <c r="BL39" s="91">
        <f t="shared" si="57"/>
        <v>3.44E-2</v>
      </c>
      <c r="BM39" s="91">
        <f t="shared" si="57"/>
        <v>3.44E-2</v>
      </c>
      <c r="BN39" s="91">
        <f t="shared" si="57"/>
        <v>3.44E-2</v>
      </c>
      <c r="BO39" s="91">
        <f t="shared" si="57"/>
        <v>3.44E-2</v>
      </c>
      <c r="BP39" s="91">
        <f t="shared" si="57"/>
        <v>3.44E-2</v>
      </c>
      <c r="BQ39" s="91">
        <f t="shared" ref="BQ39:BU39" si="58">INDEX(BQ36:BQ38,$H$39)</f>
        <v>3.44E-2</v>
      </c>
      <c r="BR39" s="91">
        <f t="shared" si="58"/>
        <v>3.44E-2</v>
      </c>
      <c r="BS39" s="91">
        <f t="shared" si="58"/>
        <v>3.44E-2</v>
      </c>
      <c r="BT39" s="91">
        <f t="shared" si="58"/>
        <v>3.44E-2</v>
      </c>
      <c r="BU39" s="91">
        <f t="shared" si="58"/>
        <v>3.44E-2</v>
      </c>
      <c r="BV39" s="80"/>
      <c r="BW39" s="80"/>
      <c r="BX39" s="80"/>
    </row>
    <row r="40" spans="2:76" s="8" customFormat="1" ht="10.35" customHeight="1" outlineLevel="1" x14ac:dyDescent="0.2">
      <c r="B40" s="80"/>
      <c r="C40" s="80"/>
      <c r="D40" s="80"/>
      <c r="E40" s="80"/>
      <c r="F40" s="80"/>
      <c r="G40" s="80"/>
      <c r="H40" s="80"/>
      <c r="I40" s="80"/>
      <c r="J40" s="83"/>
      <c r="K40" s="83"/>
      <c r="L40" s="450"/>
      <c r="M40" s="450"/>
      <c r="N40" s="450"/>
      <c r="O40" s="450"/>
      <c r="P40" s="450"/>
      <c r="Q40" s="450"/>
      <c r="R40" s="450"/>
      <c r="S40" s="450"/>
      <c r="T40" s="450"/>
      <c r="U40" s="450"/>
      <c r="V40" s="450"/>
      <c r="W40" s="450"/>
      <c r="X40" s="450"/>
      <c r="Y40" s="450"/>
      <c r="Z40" s="450"/>
      <c r="AA40" s="450"/>
      <c r="AB40" s="450"/>
      <c r="AC40" s="450"/>
      <c r="AD40" s="450"/>
      <c r="AE40" s="450"/>
      <c r="AF40" s="450"/>
      <c r="AG40" s="450"/>
      <c r="AH40" s="450"/>
      <c r="AI40" s="450"/>
      <c r="AJ40" s="450"/>
      <c r="AK40" s="450"/>
      <c r="AL40" s="450"/>
      <c r="AM40" s="450"/>
      <c r="AN40" s="450"/>
      <c r="AO40" s="80"/>
      <c r="AP40" s="80"/>
      <c r="AQ40" s="80"/>
      <c r="AR40" s="80"/>
      <c r="AS40" s="80"/>
      <c r="AT40" s="80"/>
      <c r="AU40" s="80"/>
      <c r="AV40" s="80"/>
      <c r="AW40" s="80"/>
      <c r="AX40" s="80"/>
      <c r="AY40" s="80"/>
      <c r="AZ40" s="80"/>
      <c r="BA40" s="80"/>
      <c r="BB40" s="80"/>
      <c r="BC40" s="80"/>
      <c r="BD40" s="80"/>
      <c r="BE40" s="80"/>
      <c r="BF40" s="80"/>
      <c r="BG40" s="80"/>
      <c r="BH40" s="80"/>
      <c r="BI40" s="80"/>
      <c r="BJ40" s="80"/>
      <c r="BK40" s="80"/>
      <c r="BL40" s="80"/>
      <c r="BM40" s="80"/>
      <c r="BN40" s="80"/>
      <c r="BO40" s="80"/>
      <c r="BP40" s="80"/>
      <c r="BQ40" s="80"/>
      <c r="BR40" s="80"/>
      <c r="BS40" s="80"/>
      <c r="BT40" s="80"/>
      <c r="BU40" s="80"/>
      <c r="BV40" s="80"/>
      <c r="BW40" s="80"/>
      <c r="BX40" s="80"/>
    </row>
    <row r="41" spans="2:76" s="14" customFormat="1" ht="10.35" customHeight="1" x14ac:dyDescent="0.2">
      <c r="B41" s="16" t="s">
        <v>429</v>
      </c>
      <c r="C41" s="398"/>
      <c r="D41" s="398"/>
      <c r="E41" s="398"/>
      <c r="F41" s="398"/>
      <c r="G41" s="398"/>
      <c r="H41" s="398"/>
      <c r="I41" s="398"/>
      <c r="J41" s="399"/>
      <c r="K41" s="398"/>
      <c r="L41" s="398"/>
      <c r="M41" s="398"/>
      <c r="N41" s="398"/>
      <c r="O41" s="398"/>
      <c r="P41" s="398"/>
      <c r="Q41" s="398"/>
      <c r="R41" s="398"/>
      <c r="S41" s="398"/>
      <c r="T41" s="398"/>
      <c r="U41" s="398"/>
      <c r="V41" s="398"/>
      <c r="W41" s="398"/>
      <c r="X41" s="398"/>
      <c r="Y41" s="398"/>
      <c r="Z41" s="398"/>
      <c r="AA41" s="398"/>
      <c r="AB41" s="398"/>
      <c r="AC41" s="398"/>
      <c r="AD41" s="398"/>
      <c r="AE41" s="398"/>
      <c r="AF41" s="398"/>
      <c r="AG41" s="398"/>
      <c r="AH41" s="398"/>
      <c r="AI41" s="398"/>
      <c r="AJ41" s="398"/>
      <c r="AK41" s="398"/>
      <c r="AL41" s="398"/>
      <c r="AM41" s="398"/>
      <c r="AN41" s="398"/>
      <c r="AO41" s="398"/>
      <c r="AP41" s="398"/>
      <c r="AQ41" s="398"/>
      <c r="AR41" s="398"/>
      <c r="AS41" s="398"/>
      <c r="AT41" s="398"/>
      <c r="AU41" s="398"/>
      <c r="AV41" s="398"/>
      <c r="AW41" s="398"/>
      <c r="AX41" s="398"/>
      <c r="AY41" s="398"/>
      <c r="AZ41" s="398"/>
      <c r="BA41" s="398"/>
      <c r="BB41" s="398"/>
      <c r="BC41" s="398"/>
      <c r="BD41" s="398"/>
      <c r="BE41" s="398"/>
      <c r="BF41" s="398"/>
      <c r="BG41" s="398"/>
      <c r="BH41" s="398"/>
      <c r="BI41" s="398"/>
      <c r="BJ41" s="398"/>
      <c r="BK41" s="398"/>
      <c r="BL41" s="398"/>
      <c r="BM41" s="398"/>
      <c r="BN41" s="398"/>
      <c r="BO41" s="398"/>
      <c r="BP41" s="398"/>
      <c r="BQ41" s="398"/>
      <c r="BR41" s="398"/>
      <c r="BS41" s="398"/>
      <c r="BT41" s="398"/>
      <c r="BU41" s="398"/>
      <c r="BV41" s="398"/>
      <c r="BW41" s="398"/>
      <c r="BX41" s="398"/>
    </row>
    <row r="42" spans="2:76" s="80" customFormat="1" ht="10.35" customHeight="1" outlineLevel="1" x14ac:dyDescent="0.2">
      <c r="J42" s="83"/>
    </row>
    <row r="43" spans="2:76" s="80" customFormat="1" ht="10.35" customHeight="1" outlineLevel="1" x14ac:dyDescent="0.2">
      <c r="J43" s="83"/>
    </row>
    <row r="44" spans="2:76" s="80" customFormat="1" ht="10.35" customHeight="1" outlineLevel="1" x14ac:dyDescent="0.2">
      <c r="J44" s="83"/>
    </row>
    <row r="45" spans="2:76" s="80" customFormat="1" ht="10.35" customHeight="1" outlineLevel="1" x14ac:dyDescent="0.2">
      <c r="J45" s="83"/>
    </row>
    <row r="46" spans="2:76" s="80" customFormat="1" ht="10.35" customHeight="1" outlineLevel="1" x14ac:dyDescent="0.2">
      <c r="D46" s="136" t="s">
        <v>430</v>
      </c>
      <c r="E46" s="142"/>
      <c r="F46" s="136" t="s">
        <v>88</v>
      </c>
      <c r="G46" s="142"/>
      <c r="H46" s="136" t="s">
        <v>431</v>
      </c>
      <c r="I46" s="142"/>
      <c r="J46" s="17" t="s">
        <v>254</v>
      </c>
      <c r="K46" s="27" t="s">
        <v>432</v>
      </c>
      <c r="R46" s="81"/>
    </row>
    <row r="47" spans="2:76" s="80" customFormat="1" ht="10.35" customHeight="1" outlineLevel="1" x14ac:dyDescent="0.2">
      <c r="D47" s="157" t="s">
        <v>431</v>
      </c>
      <c r="E47" s="150"/>
      <c r="F47" s="150" t="s">
        <v>89</v>
      </c>
      <c r="G47" s="150"/>
      <c r="H47" s="150" t="s">
        <v>433</v>
      </c>
      <c r="I47" s="150"/>
      <c r="J47" s="158" t="str">
        <f>IF(COUNTIF(R104:R115,"Check")&lt;&gt;0,"Check","Ok")</f>
        <v>Ok</v>
      </c>
      <c r="R47" s="81"/>
    </row>
    <row r="48" spans="2:76" s="80" customFormat="1" ht="10.35" customHeight="1" outlineLevel="1" x14ac:dyDescent="0.2">
      <c r="D48" s="157" t="s">
        <v>88</v>
      </c>
      <c r="E48" s="150"/>
      <c r="F48" s="150" t="s">
        <v>434</v>
      </c>
      <c r="G48" s="150"/>
      <c r="H48" s="150" t="s">
        <v>435</v>
      </c>
      <c r="I48" s="150"/>
      <c r="J48" s="83" t="str">
        <f>IF(COUNTIF(R116:R121,"Check")&lt;&gt;0,"Check","Ok")</f>
        <v>Ok</v>
      </c>
      <c r="R48" s="81"/>
    </row>
    <row r="49" spans="3:18" s="80" customFormat="1" ht="10.35" customHeight="1" outlineLevel="1" x14ac:dyDescent="0.2">
      <c r="H49" s="151" t="s">
        <v>436</v>
      </c>
      <c r="I49" s="150"/>
      <c r="J49" s="83" t="str">
        <f>IF(COUNTIF(R122:R141,"Check")&lt;&gt;0,"Check","Ok")</f>
        <v>Ok</v>
      </c>
      <c r="R49" s="81"/>
    </row>
    <row r="50" spans="3:18" s="80" customFormat="1" ht="10.35" customHeight="1" outlineLevel="1" x14ac:dyDescent="0.2">
      <c r="H50" s="151" t="s">
        <v>437</v>
      </c>
      <c r="I50" s="150"/>
      <c r="J50" s="83" t="str">
        <f>IF(COUNTIF(R142,"Check")&lt;&gt;0,"Check","Ok")</f>
        <v>Ok</v>
      </c>
      <c r="R50" s="81"/>
    </row>
    <row r="51" spans="3:18" s="80" customFormat="1" ht="10.35" customHeight="1" outlineLevel="1" x14ac:dyDescent="0.2">
      <c r="J51" s="83"/>
      <c r="R51" s="81"/>
    </row>
    <row r="52" spans="3:18" s="80" customFormat="1" ht="10.35" customHeight="1" outlineLevel="1" x14ac:dyDescent="0.2">
      <c r="J52" s="83"/>
      <c r="R52" s="81"/>
    </row>
    <row r="53" spans="3:18" s="80" customFormat="1" ht="10.35" customHeight="1" outlineLevel="1" x14ac:dyDescent="0.2">
      <c r="J53" s="83"/>
      <c r="R53" s="81"/>
    </row>
    <row r="54" spans="3:18" s="80" customFormat="1" ht="10.35" customHeight="1" outlineLevel="1" x14ac:dyDescent="0.2">
      <c r="C54" s="136" t="s">
        <v>438</v>
      </c>
      <c r="D54" s="136"/>
      <c r="E54" s="137" t="s">
        <v>86</v>
      </c>
      <c r="F54" s="17" t="s">
        <v>84</v>
      </c>
      <c r="H54" s="27" t="s">
        <v>439</v>
      </c>
      <c r="J54" s="83"/>
      <c r="R54" s="81"/>
    </row>
    <row r="55" spans="3:18" s="80" customFormat="1" ht="10.35" customHeight="1" outlineLevel="1" x14ac:dyDescent="0.2">
      <c r="C55" s="81" t="s">
        <v>440</v>
      </c>
      <c r="D55" s="81"/>
      <c r="E55" s="146">
        <v>46.298951338166589</v>
      </c>
      <c r="F55" s="149" t="s">
        <v>89</v>
      </c>
      <c r="J55" s="83"/>
      <c r="R55" s="81"/>
    </row>
    <row r="56" spans="3:18" s="80" customFormat="1" ht="10.35" customHeight="1" outlineLevel="1" x14ac:dyDescent="0.2">
      <c r="C56" s="81" t="s">
        <v>441</v>
      </c>
      <c r="D56" s="81"/>
      <c r="E56" s="146">
        <v>70</v>
      </c>
      <c r="F56" s="151" t="s">
        <v>89</v>
      </c>
      <c r="J56" s="83"/>
      <c r="R56" s="81"/>
    </row>
    <row r="57" spans="3:18" s="80" customFormat="1" ht="10.35" customHeight="1" outlineLevel="1" x14ac:dyDescent="0.2">
      <c r="C57" s="81" t="s">
        <v>442</v>
      </c>
      <c r="D57" s="81"/>
      <c r="E57" s="146">
        <v>58.033383369141177</v>
      </c>
      <c r="F57" s="151" t="s">
        <v>89</v>
      </c>
      <c r="J57" s="83"/>
      <c r="R57" s="81"/>
    </row>
    <row r="58" spans="3:18" s="80" customFormat="1" ht="10.35" customHeight="1" outlineLevel="1" x14ac:dyDescent="0.2">
      <c r="C58" s="81" t="s">
        <v>443</v>
      </c>
      <c r="D58" s="81"/>
      <c r="E58" s="146">
        <v>46.842831924321999</v>
      </c>
      <c r="F58" s="151" t="s">
        <v>89</v>
      </c>
      <c r="J58" s="83"/>
      <c r="R58" s="81"/>
    </row>
    <row r="59" spans="3:18" s="80" customFormat="1" ht="10.35" customHeight="1" outlineLevel="1" x14ac:dyDescent="0.2">
      <c r="C59" s="81" t="s">
        <v>444</v>
      </c>
      <c r="D59" s="81"/>
      <c r="E59" s="146">
        <v>45.887214388616371</v>
      </c>
      <c r="F59" s="151" t="s">
        <v>89</v>
      </c>
      <c r="J59" s="83"/>
      <c r="R59" s="81"/>
    </row>
    <row r="60" spans="3:18" s="80" customFormat="1" ht="10.35" customHeight="1" outlineLevel="1" x14ac:dyDescent="0.2">
      <c r="C60" s="81" t="s">
        <v>445</v>
      </c>
      <c r="D60" s="81"/>
      <c r="E60" s="146">
        <v>52.073244732796169</v>
      </c>
      <c r="F60" s="151" t="s">
        <v>89</v>
      </c>
      <c r="J60" s="83"/>
      <c r="R60" s="81"/>
    </row>
    <row r="61" spans="3:18" s="80" customFormat="1" ht="10.35" customHeight="1" outlineLevel="1" x14ac:dyDescent="0.2">
      <c r="C61" s="81" t="s">
        <v>446</v>
      </c>
      <c r="D61" s="81"/>
      <c r="E61" s="146">
        <v>25</v>
      </c>
      <c r="F61" s="151" t="s">
        <v>89</v>
      </c>
      <c r="J61" s="83"/>
      <c r="R61" s="81"/>
    </row>
    <row r="62" spans="3:18" s="80" customFormat="1" ht="10.35" customHeight="1" outlineLevel="1" x14ac:dyDescent="0.2">
      <c r="C62" s="81" t="s">
        <v>447</v>
      </c>
      <c r="D62" s="81"/>
      <c r="E62" s="146">
        <v>0</v>
      </c>
      <c r="F62" s="151" t="s">
        <v>89</v>
      </c>
      <c r="J62" s="83"/>
      <c r="R62" s="81"/>
    </row>
    <row r="63" spans="3:18" s="80" customFormat="1" ht="10.35" customHeight="1" outlineLevel="1" x14ac:dyDescent="0.2">
      <c r="C63" s="81" t="s">
        <v>448</v>
      </c>
      <c r="D63" s="81"/>
      <c r="E63" s="146">
        <v>10</v>
      </c>
      <c r="F63" s="151" t="s">
        <v>89</v>
      </c>
      <c r="J63" s="83"/>
      <c r="R63" s="81"/>
    </row>
    <row r="64" spans="3:18" s="80" customFormat="1" ht="10.35" customHeight="1" outlineLevel="1" x14ac:dyDescent="0.2">
      <c r="C64" s="81" t="s">
        <v>449</v>
      </c>
      <c r="D64" s="81"/>
      <c r="E64" s="146">
        <v>10.221009481131924</v>
      </c>
      <c r="F64" s="151" t="s">
        <v>89</v>
      </c>
      <c r="J64" s="83"/>
      <c r="R64" s="81"/>
    </row>
    <row r="65" spans="3:18" s="80" customFormat="1" ht="10.35" customHeight="1" outlineLevel="1" x14ac:dyDescent="0.2">
      <c r="C65" s="81" t="s">
        <v>450</v>
      </c>
      <c r="D65" s="81"/>
      <c r="E65" s="146">
        <v>7</v>
      </c>
      <c r="F65" s="151" t="s">
        <v>89</v>
      </c>
      <c r="J65" s="83"/>
      <c r="R65" s="81"/>
    </row>
    <row r="66" spans="3:18" s="80" customFormat="1" ht="10.35" customHeight="1" outlineLevel="1" x14ac:dyDescent="0.2">
      <c r="C66" s="81" t="s">
        <v>451</v>
      </c>
      <c r="D66" s="81"/>
      <c r="E66" s="146">
        <v>15</v>
      </c>
      <c r="F66" s="151" t="s">
        <v>89</v>
      </c>
      <c r="J66" s="83"/>
      <c r="R66" s="81"/>
    </row>
    <row r="67" spans="3:18" s="80" customFormat="1" ht="10.35" customHeight="1" outlineLevel="1" x14ac:dyDescent="0.2">
      <c r="C67" s="81" t="s">
        <v>452</v>
      </c>
      <c r="D67" s="81"/>
      <c r="E67" s="146">
        <v>0</v>
      </c>
      <c r="F67" s="151" t="s">
        <v>89</v>
      </c>
      <c r="J67" s="83"/>
      <c r="R67" s="81"/>
    </row>
    <row r="68" spans="3:18" s="80" customFormat="1" ht="10.35" customHeight="1" outlineLevel="1" x14ac:dyDescent="0.2">
      <c r="C68" s="81" t="s">
        <v>453</v>
      </c>
      <c r="D68" s="81"/>
      <c r="E68" s="146">
        <v>17.439221952066688</v>
      </c>
      <c r="F68" s="151" t="s">
        <v>89</v>
      </c>
      <c r="J68" s="83"/>
      <c r="R68" s="81"/>
    </row>
    <row r="69" spans="3:18" s="80" customFormat="1" ht="10.35" customHeight="1" outlineLevel="1" x14ac:dyDescent="0.2">
      <c r="C69" s="81" t="s">
        <v>454</v>
      </c>
      <c r="D69" s="81"/>
      <c r="E69" s="146">
        <v>0</v>
      </c>
      <c r="F69" s="151" t="s">
        <v>89</v>
      </c>
      <c r="J69" s="83"/>
      <c r="R69" s="81"/>
    </row>
    <row r="70" spans="3:18" s="80" customFormat="1" ht="10.35" customHeight="1" outlineLevel="1" x14ac:dyDescent="0.2">
      <c r="C70" s="81" t="s">
        <v>455</v>
      </c>
      <c r="D70" s="81"/>
      <c r="E70" s="146">
        <v>29.444039815489198</v>
      </c>
      <c r="F70" s="151" t="s">
        <v>89</v>
      </c>
      <c r="J70" s="83"/>
      <c r="R70" s="81"/>
    </row>
    <row r="71" spans="3:18" s="80" customFormat="1" ht="10.35" customHeight="1" outlineLevel="1" x14ac:dyDescent="0.2">
      <c r="C71" s="81" t="s">
        <v>90</v>
      </c>
      <c r="D71" s="81"/>
      <c r="E71" s="146">
        <v>5</v>
      </c>
      <c r="F71" s="151" t="s">
        <v>89</v>
      </c>
      <c r="J71" s="83"/>
      <c r="R71" s="81"/>
    </row>
    <row r="72" spans="3:18" s="80" customFormat="1" ht="10.35" customHeight="1" outlineLevel="1" x14ac:dyDescent="0.2">
      <c r="C72" s="81" t="s">
        <v>456</v>
      </c>
      <c r="D72" s="81"/>
      <c r="E72" s="146">
        <v>10.244186762015632</v>
      </c>
      <c r="F72" s="151" t="s">
        <v>89</v>
      </c>
      <c r="J72" s="83"/>
      <c r="R72" s="81"/>
    </row>
    <row r="73" spans="3:18" s="80" customFormat="1" ht="10.35" customHeight="1" outlineLevel="1" x14ac:dyDescent="0.2">
      <c r="C73" s="81" t="s">
        <v>457</v>
      </c>
      <c r="D73" s="81"/>
      <c r="E73" s="146">
        <v>46.842831924321999</v>
      </c>
      <c r="F73" s="151" t="s">
        <v>89</v>
      </c>
      <c r="J73" s="83"/>
      <c r="R73" s="81"/>
    </row>
    <row r="74" spans="3:18" s="80" customFormat="1" ht="10.35" customHeight="1" outlineLevel="1" x14ac:dyDescent="0.2">
      <c r="C74" s="81" t="s">
        <v>458</v>
      </c>
      <c r="D74" s="81"/>
      <c r="E74" s="146">
        <v>35.916896031439698</v>
      </c>
      <c r="F74" s="151" t="s">
        <v>89</v>
      </c>
      <c r="J74" s="83"/>
      <c r="R74" s="81"/>
    </row>
    <row r="75" spans="3:18" s="80" customFormat="1" ht="10.35" customHeight="1" outlineLevel="1" x14ac:dyDescent="0.2">
      <c r="C75" s="81" t="s">
        <v>459</v>
      </c>
      <c r="D75" s="81"/>
      <c r="E75" s="146">
        <v>5</v>
      </c>
      <c r="F75" s="151" t="s">
        <v>89</v>
      </c>
      <c r="J75" s="83"/>
      <c r="R75" s="81"/>
    </row>
    <row r="76" spans="3:18" s="80" customFormat="1" ht="10.35" customHeight="1" outlineLevel="1" x14ac:dyDescent="0.2">
      <c r="C76" s="81" t="s">
        <v>460</v>
      </c>
      <c r="D76" s="81"/>
      <c r="E76" s="146">
        <v>0</v>
      </c>
      <c r="F76" s="151" t="s">
        <v>89</v>
      </c>
      <c r="J76" s="83"/>
      <c r="R76" s="81"/>
    </row>
    <row r="77" spans="3:18" s="80" customFormat="1" ht="10.35" customHeight="1" outlineLevel="1" x14ac:dyDescent="0.2">
      <c r="C77" s="81" t="s">
        <v>461</v>
      </c>
      <c r="D77" s="81"/>
      <c r="E77" s="146">
        <v>60</v>
      </c>
      <c r="F77" s="151" t="s">
        <v>434</v>
      </c>
      <c r="J77" s="83"/>
      <c r="R77" s="81"/>
    </row>
    <row r="78" spans="3:18" s="80" customFormat="1" ht="10.35" customHeight="1" outlineLevel="1" x14ac:dyDescent="0.2">
      <c r="C78" s="81" t="s">
        <v>462</v>
      </c>
      <c r="D78" s="81"/>
      <c r="E78" s="146">
        <v>50</v>
      </c>
      <c r="F78" s="151" t="s">
        <v>434</v>
      </c>
      <c r="J78" s="83"/>
      <c r="R78" s="81"/>
    </row>
    <row r="79" spans="3:18" s="80" customFormat="1" ht="10.35" customHeight="1" outlineLevel="1" x14ac:dyDescent="0.2">
      <c r="C79" s="81" t="s">
        <v>463</v>
      </c>
      <c r="D79" s="81"/>
      <c r="E79" s="146">
        <v>50</v>
      </c>
      <c r="F79" s="151" t="s">
        <v>434</v>
      </c>
      <c r="J79" s="83"/>
      <c r="R79" s="81"/>
    </row>
    <row r="80" spans="3:18" s="80" customFormat="1" ht="10.35" customHeight="1" outlineLevel="1" x14ac:dyDescent="0.2">
      <c r="C80" s="81" t="s">
        <v>464</v>
      </c>
      <c r="D80" s="81"/>
      <c r="E80" s="146">
        <v>45</v>
      </c>
      <c r="F80" s="151" t="s">
        <v>434</v>
      </c>
      <c r="J80" s="83"/>
      <c r="R80" s="81"/>
    </row>
    <row r="81" spans="3:18" s="80" customFormat="1" ht="10.35" customHeight="1" outlineLevel="1" x14ac:dyDescent="0.2">
      <c r="C81" s="81" t="s">
        <v>465</v>
      </c>
      <c r="D81" s="81"/>
      <c r="E81" s="146">
        <v>45</v>
      </c>
      <c r="F81" s="151" t="s">
        <v>434</v>
      </c>
      <c r="J81" s="83"/>
      <c r="R81" s="81"/>
    </row>
    <row r="82" spans="3:18" s="80" customFormat="1" ht="10.35" customHeight="1" outlineLevel="1" x14ac:dyDescent="0.2">
      <c r="C82" s="81" t="s">
        <v>466</v>
      </c>
      <c r="D82" s="81"/>
      <c r="E82" s="146">
        <v>15</v>
      </c>
      <c r="F82" s="151" t="s">
        <v>434</v>
      </c>
      <c r="J82" s="83"/>
      <c r="R82" s="81"/>
    </row>
    <row r="83" spans="3:18" s="80" customFormat="1" ht="10.35" customHeight="1" outlineLevel="1" x14ac:dyDescent="0.2">
      <c r="C83" s="81" t="s">
        <v>467</v>
      </c>
      <c r="D83" s="81"/>
      <c r="E83" s="146">
        <v>60</v>
      </c>
      <c r="F83" s="151" t="s">
        <v>434</v>
      </c>
      <c r="J83" s="83"/>
      <c r="R83" s="81"/>
    </row>
    <row r="84" spans="3:18" s="80" customFormat="1" ht="10.35" customHeight="1" outlineLevel="1" x14ac:dyDescent="0.2">
      <c r="C84" s="81" t="s">
        <v>468</v>
      </c>
      <c r="D84" s="81"/>
      <c r="E84" s="146">
        <v>55</v>
      </c>
      <c r="F84" s="151" t="s">
        <v>434</v>
      </c>
      <c r="J84" s="83"/>
      <c r="R84" s="81"/>
    </row>
    <row r="85" spans="3:18" s="80" customFormat="1" ht="10.35" customHeight="1" outlineLevel="1" x14ac:dyDescent="0.2">
      <c r="C85" s="81" t="s">
        <v>469</v>
      </c>
      <c r="D85" s="81"/>
      <c r="E85" s="146">
        <v>45</v>
      </c>
      <c r="F85" s="151" t="s">
        <v>434</v>
      </c>
      <c r="J85" s="83"/>
      <c r="R85" s="81"/>
    </row>
    <row r="86" spans="3:18" s="80" customFormat="1" ht="10.35" customHeight="1" outlineLevel="1" x14ac:dyDescent="0.2">
      <c r="C86" s="81" t="s">
        <v>470</v>
      </c>
      <c r="D86" s="81"/>
      <c r="E86" s="146">
        <v>45</v>
      </c>
      <c r="F86" s="151" t="s">
        <v>434</v>
      </c>
      <c r="J86" s="83"/>
      <c r="R86" s="81"/>
    </row>
    <row r="87" spans="3:18" s="80" customFormat="1" ht="10.35" customHeight="1" outlineLevel="1" x14ac:dyDescent="0.2">
      <c r="C87" s="81" t="s">
        <v>471</v>
      </c>
      <c r="D87" s="81"/>
      <c r="E87" s="146">
        <v>70</v>
      </c>
      <c r="F87" s="151" t="s">
        <v>434</v>
      </c>
      <c r="J87" s="83"/>
      <c r="R87" s="81"/>
    </row>
    <row r="88" spans="3:18" s="80" customFormat="1" ht="10.35" customHeight="1" outlineLevel="1" x14ac:dyDescent="0.2">
      <c r="C88" s="81" t="s">
        <v>472</v>
      </c>
      <c r="D88" s="81"/>
      <c r="E88" s="146">
        <v>37.197489184627251</v>
      </c>
      <c r="F88" s="151" t="s">
        <v>434</v>
      </c>
      <c r="J88" s="83"/>
      <c r="R88" s="81"/>
    </row>
    <row r="89" spans="3:18" s="80" customFormat="1" ht="10.35" customHeight="1" outlineLevel="1" x14ac:dyDescent="0.2">
      <c r="C89" s="81" t="s">
        <v>473</v>
      </c>
      <c r="D89" s="81"/>
      <c r="E89" s="146">
        <v>10</v>
      </c>
      <c r="F89" s="151" t="s">
        <v>434</v>
      </c>
      <c r="J89" s="83"/>
      <c r="R89" s="81"/>
    </row>
    <row r="90" spans="3:18" s="80" customFormat="1" ht="10.35" customHeight="1" outlineLevel="1" x14ac:dyDescent="0.2">
      <c r="C90" s="81" t="s">
        <v>474</v>
      </c>
      <c r="D90" s="81"/>
      <c r="E90" s="146">
        <v>7</v>
      </c>
      <c r="F90" s="151" t="s">
        <v>434</v>
      </c>
      <c r="J90" s="83"/>
      <c r="R90" s="81"/>
    </row>
    <row r="91" spans="3:18" s="80" customFormat="1" ht="10.35" customHeight="1" outlineLevel="1" x14ac:dyDescent="0.2">
      <c r="C91" s="81" t="s">
        <v>90</v>
      </c>
      <c r="D91" s="81"/>
      <c r="E91" s="146">
        <v>5</v>
      </c>
      <c r="F91" s="151" t="s">
        <v>434</v>
      </c>
      <c r="J91" s="83"/>
      <c r="R91" s="81"/>
    </row>
    <row r="92" spans="3:18" s="80" customFormat="1" ht="10.35" customHeight="1" outlineLevel="1" x14ac:dyDescent="0.2">
      <c r="C92" s="81" t="s">
        <v>453</v>
      </c>
      <c r="D92" s="81"/>
      <c r="E92" s="146">
        <v>17.439221952066688</v>
      </c>
      <c r="F92" s="151" t="s">
        <v>434</v>
      </c>
      <c r="J92" s="83"/>
      <c r="R92" s="81"/>
    </row>
    <row r="93" spans="3:18" s="80" customFormat="1" ht="10.35" customHeight="1" outlineLevel="1" x14ac:dyDescent="0.2">
      <c r="C93" s="81" t="s">
        <v>456</v>
      </c>
      <c r="D93" s="81"/>
      <c r="E93" s="146">
        <v>10.244186762015632</v>
      </c>
      <c r="F93" s="151" t="s">
        <v>434</v>
      </c>
      <c r="J93" s="83"/>
      <c r="R93" s="81"/>
    </row>
    <row r="94" spans="3:18" s="80" customFormat="1" ht="10.35" customHeight="1" outlineLevel="1" x14ac:dyDescent="0.2">
      <c r="C94" s="81" t="s">
        <v>454</v>
      </c>
      <c r="D94" s="81"/>
      <c r="E94" s="146">
        <v>0</v>
      </c>
      <c r="F94" s="151" t="s">
        <v>434</v>
      </c>
      <c r="J94" s="83"/>
      <c r="R94" s="81"/>
    </row>
    <row r="95" spans="3:18" s="80" customFormat="1" ht="10.35" customHeight="1" outlineLevel="1" x14ac:dyDescent="0.2">
      <c r="C95" s="81" t="s">
        <v>455</v>
      </c>
      <c r="D95" s="81"/>
      <c r="E95" s="146">
        <v>29.444039815489198</v>
      </c>
      <c r="F95" s="151" t="s">
        <v>434</v>
      </c>
      <c r="J95" s="83"/>
      <c r="R95" s="81"/>
    </row>
    <row r="96" spans="3:18" s="80" customFormat="1" ht="10.35" customHeight="1" outlineLevel="1" x14ac:dyDescent="0.2">
      <c r="C96" s="81" t="s">
        <v>475</v>
      </c>
      <c r="D96" s="81"/>
      <c r="E96" s="146">
        <v>50</v>
      </c>
      <c r="F96" s="151" t="s">
        <v>434</v>
      </c>
      <c r="J96" s="83"/>
      <c r="R96" s="81"/>
    </row>
    <row r="97" spans="3:20" s="80" customFormat="1" ht="10.35" customHeight="1" outlineLevel="1" x14ac:dyDescent="0.2">
      <c r="C97" s="81" t="s">
        <v>457</v>
      </c>
      <c r="D97" s="81"/>
      <c r="E97" s="146">
        <v>60</v>
      </c>
      <c r="F97" s="151" t="s">
        <v>434</v>
      </c>
      <c r="J97" s="83"/>
      <c r="R97" s="81"/>
    </row>
    <row r="98" spans="3:20" s="80" customFormat="1" ht="10.35" customHeight="1" outlineLevel="1" x14ac:dyDescent="0.2">
      <c r="C98" s="81" t="s">
        <v>458</v>
      </c>
      <c r="D98" s="81"/>
      <c r="E98" s="146">
        <v>35.916896031439698</v>
      </c>
      <c r="F98" s="151" t="s">
        <v>434</v>
      </c>
      <c r="J98" s="83"/>
      <c r="R98" s="81"/>
    </row>
    <row r="99" spans="3:20" s="80" customFormat="1" ht="10.35" customHeight="1" outlineLevel="1" x14ac:dyDescent="0.2">
      <c r="C99" s="81" t="s">
        <v>459</v>
      </c>
      <c r="D99" s="81"/>
      <c r="E99" s="146">
        <v>5</v>
      </c>
      <c r="F99" s="151" t="s">
        <v>434</v>
      </c>
      <c r="J99" s="83"/>
      <c r="R99" s="81"/>
    </row>
    <row r="100" spans="3:20" s="80" customFormat="1" ht="10.35" customHeight="1" outlineLevel="1" x14ac:dyDescent="0.2">
      <c r="C100" s="81" t="s">
        <v>460</v>
      </c>
      <c r="D100" s="81"/>
      <c r="E100" s="146">
        <v>0</v>
      </c>
      <c r="F100" s="151" t="s">
        <v>434</v>
      </c>
      <c r="J100" s="83"/>
      <c r="R100" s="81"/>
    </row>
    <row r="101" spans="3:20" s="80" customFormat="1" ht="10.35" customHeight="1" outlineLevel="1" x14ac:dyDescent="0.2">
      <c r="C101" s="81"/>
      <c r="D101" s="81"/>
      <c r="E101" s="138"/>
      <c r="J101" s="83"/>
      <c r="R101" s="81"/>
    </row>
    <row r="102" spans="3:20" s="80" customFormat="1" ht="10.35" customHeight="1" outlineLevel="1" x14ac:dyDescent="0.2">
      <c r="C102" s="142" t="s">
        <v>86</v>
      </c>
      <c r="D102" s="142"/>
      <c r="E102" s="152"/>
      <c r="F102" s="153">
        <f>INDEX($C$55:$E$100,MATCH(F$103,$C$55:$C$100,0),3)</f>
        <v>15</v>
      </c>
      <c r="G102" s="153">
        <f t="shared" ref="G102:N102" si="59">INDEX($C$55:$E$100,MATCH(G$103,$C$55:$C$100,0),3)</f>
        <v>46.842831924321999</v>
      </c>
      <c r="H102" s="153">
        <f t="shared" si="59"/>
        <v>58.033383369141177</v>
      </c>
      <c r="I102" s="153">
        <f t="shared" si="59"/>
        <v>46.842831924321999</v>
      </c>
      <c r="J102" s="153">
        <f t="shared" si="59"/>
        <v>46.298951338166589</v>
      </c>
      <c r="K102" s="153">
        <f t="shared" si="59"/>
        <v>7</v>
      </c>
      <c r="L102" s="153">
        <f t="shared" si="59"/>
        <v>45.887214388616371</v>
      </c>
      <c r="M102" s="153">
        <f t="shared" si="59"/>
        <v>52.073244732796169</v>
      </c>
      <c r="N102" s="153">
        <f t="shared" si="59"/>
        <v>70</v>
      </c>
      <c r="O102" s="142"/>
      <c r="R102" s="81"/>
    </row>
    <row r="103" spans="3:20" s="80" customFormat="1" ht="10.35" customHeight="1" outlineLevel="1" x14ac:dyDescent="0.2">
      <c r="C103" s="136" t="s">
        <v>476</v>
      </c>
      <c r="D103" s="136"/>
      <c r="E103" s="137" t="s">
        <v>477</v>
      </c>
      <c r="F103" s="137" t="s">
        <v>451</v>
      </c>
      <c r="G103" s="139" t="s">
        <v>457</v>
      </c>
      <c r="H103" s="137" t="s">
        <v>442</v>
      </c>
      <c r="I103" s="137" t="s">
        <v>443</v>
      </c>
      <c r="J103" s="137" t="s">
        <v>440</v>
      </c>
      <c r="K103" s="139" t="s">
        <v>474</v>
      </c>
      <c r="L103" s="139" t="s">
        <v>444</v>
      </c>
      <c r="M103" s="137" t="s">
        <v>445</v>
      </c>
      <c r="N103" s="137" t="s">
        <v>441</v>
      </c>
      <c r="O103" s="17" t="s">
        <v>478</v>
      </c>
      <c r="Q103" s="17" t="s">
        <v>479</v>
      </c>
      <c r="R103" s="17" t="s">
        <v>480</v>
      </c>
      <c r="T103" s="27" t="s">
        <v>481</v>
      </c>
    </row>
    <row r="104" spans="3:20" s="80" customFormat="1" ht="10.35" customHeight="1" outlineLevel="1" x14ac:dyDescent="0.2">
      <c r="C104" s="81" t="s">
        <v>482</v>
      </c>
      <c r="E104" s="138">
        <f t="shared" ref="E104:E142" si="60">SUMPRODUCT(F104:N104,$F$102:$N$102)</f>
        <v>36.448781426301053</v>
      </c>
      <c r="F104" s="147">
        <v>0.35861152223873694</v>
      </c>
      <c r="G104" s="147">
        <v>0.12607791837307028</v>
      </c>
      <c r="H104" s="147">
        <v>9.2440841192022616E-2</v>
      </c>
      <c r="I104" s="147">
        <v>0.40653798554237786</v>
      </c>
      <c r="J104" s="147">
        <v>1.5298194417642632E-2</v>
      </c>
      <c r="K104" s="147">
        <v>0</v>
      </c>
      <c r="L104" s="147">
        <v>1.0335382361495158E-3</v>
      </c>
      <c r="M104" s="147">
        <v>0</v>
      </c>
      <c r="N104" s="147">
        <v>0</v>
      </c>
      <c r="O104" s="149" t="s">
        <v>433</v>
      </c>
      <c r="Q104" s="168">
        <f>SUM(F104:N104)</f>
        <v>0.99999999999999978</v>
      </c>
      <c r="R104" s="83" t="str">
        <f t="shared" ref="R104:R142" si="61">IF(SUM(F104:N104)-1&lt;0.0000001,"Ok","Check")</f>
        <v>Ok</v>
      </c>
      <c r="T104" s="27" t="s">
        <v>483</v>
      </c>
    </row>
    <row r="105" spans="3:20" s="80" customFormat="1" ht="10.35" customHeight="1" outlineLevel="1" x14ac:dyDescent="0.2">
      <c r="C105" s="81" t="s">
        <v>484</v>
      </c>
      <c r="D105" s="81"/>
      <c r="E105" s="138">
        <f t="shared" si="60"/>
        <v>37.171141985413641</v>
      </c>
      <c r="F105" s="147">
        <v>0.34371130164531416</v>
      </c>
      <c r="G105" s="147">
        <v>0.18925301181863288</v>
      </c>
      <c r="H105" s="147">
        <v>0.11404972579945162</v>
      </c>
      <c r="I105" s="147">
        <v>0.3470507351831667</v>
      </c>
      <c r="J105" s="147">
        <v>5.935225553434482E-3</v>
      </c>
      <c r="K105" s="147">
        <v>0</v>
      </c>
      <c r="L105" s="147">
        <v>0</v>
      </c>
      <c r="M105" s="147">
        <v>0</v>
      </c>
      <c r="N105" s="147">
        <v>0</v>
      </c>
      <c r="O105" s="150" t="s">
        <v>433</v>
      </c>
      <c r="Q105" s="168">
        <f t="shared" ref="Q105:Q142" si="62">SUM(F105:N105)</f>
        <v>0.99999999999999989</v>
      </c>
      <c r="R105" s="83" t="str">
        <f t="shared" si="61"/>
        <v>Ok</v>
      </c>
    </row>
    <row r="106" spans="3:20" s="80" customFormat="1" ht="10.35" customHeight="1" outlineLevel="1" x14ac:dyDescent="0.2">
      <c r="C106" s="81" t="s">
        <v>485</v>
      </c>
      <c r="D106" s="81"/>
      <c r="E106" s="138">
        <f t="shared" si="60"/>
        <v>43.853288822043538</v>
      </c>
      <c r="F106" s="147">
        <v>9.2825211826009016E-2</v>
      </c>
      <c r="G106" s="147">
        <v>0.21015334762664806</v>
      </c>
      <c r="H106" s="147">
        <v>0</v>
      </c>
      <c r="I106" s="147">
        <v>0.63501245434383724</v>
      </c>
      <c r="J106" s="147">
        <v>6.2008986203505582E-2</v>
      </c>
      <c r="K106" s="147">
        <v>0</v>
      </c>
      <c r="L106" s="147">
        <v>0</v>
      </c>
      <c r="M106" s="147">
        <v>0</v>
      </c>
      <c r="N106" s="147">
        <v>0</v>
      </c>
      <c r="O106" s="150" t="s">
        <v>433</v>
      </c>
      <c r="Q106" s="168">
        <f t="shared" si="62"/>
        <v>0.99999999999999989</v>
      </c>
      <c r="R106" s="83" t="str">
        <f t="shared" si="61"/>
        <v>Ok</v>
      </c>
    </row>
    <row r="107" spans="3:20" s="80" customFormat="1" ht="10.35" customHeight="1" outlineLevel="1" x14ac:dyDescent="0.2">
      <c r="C107" s="81" t="s">
        <v>486</v>
      </c>
      <c r="D107" s="81"/>
      <c r="E107" s="138">
        <f t="shared" si="60"/>
        <v>46.761242362324957</v>
      </c>
      <c r="F107" s="147">
        <v>0</v>
      </c>
      <c r="G107" s="147">
        <v>0</v>
      </c>
      <c r="H107" s="147">
        <v>0</v>
      </c>
      <c r="I107" s="147">
        <v>0.87178806588809243</v>
      </c>
      <c r="J107" s="147">
        <v>9.9413012535668741E-2</v>
      </c>
      <c r="K107" s="147">
        <v>0</v>
      </c>
      <c r="L107" s="147">
        <v>2.8798921576238836E-2</v>
      </c>
      <c r="M107" s="147">
        <v>0</v>
      </c>
      <c r="N107" s="147">
        <v>0</v>
      </c>
      <c r="O107" s="150" t="s">
        <v>433</v>
      </c>
      <c r="Q107" s="168">
        <f t="shared" si="62"/>
        <v>1</v>
      </c>
      <c r="R107" s="83" t="str">
        <f t="shared" si="61"/>
        <v>Ok</v>
      </c>
    </row>
    <row r="108" spans="3:20" s="80" customFormat="1" ht="10.35" customHeight="1" outlineLevel="1" x14ac:dyDescent="0.2">
      <c r="C108" s="81" t="s">
        <v>487</v>
      </c>
      <c r="D108" s="81"/>
      <c r="E108" s="138">
        <f t="shared" si="60"/>
        <v>56.333257536816539</v>
      </c>
      <c r="F108" s="147">
        <v>0</v>
      </c>
      <c r="G108" s="147">
        <v>0</v>
      </c>
      <c r="H108" s="147">
        <v>0.85129071217298047</v>
      </c>
      <c r="I108" s="147">
        <v>0.10005915638240655</v>
      </c>
      <c r="J108" s="147">
        <v>2.5511487760285903E-2</v>
      </c>
      <c r="K108" s="147">
        <v>0</v>
      </c>
      <c r="L108" s="147">
        <v>2.313864368432695E-2</v>
      </c>
      <c r="M108" s="147">
        <v>0</v>
      </c>
      <c r="N108" s="147">
        <v>0</v>
      </c>
      <c r="O108" s="150" t="s">
        <v>433</v>
      </c>
      <c r="Q108" s="168">
        <f t="shared" si="62"/>
        <v>0.99999999999999989</v>
      </c>
      <c r="R108" s="83" t="str">
        <f t="shared" si="61"/>
        <v>Ok</v>
      </c>
    </row>
    <row r="109" spans="3:20" s="80" customFormat="1" ht="10.35" customHeight="1" outlineLevel="1" x14ac:dyDescent="0.2">
      <c r="C109" s="81" t="s">
        <v>488</v>
      </c>
      <c r="D109" s="81"/>
      <c r="E109" s="138">
        <f t="shared" si="60"/>
        <v>46.773924622762898</v>
      </c>
      <c r="F109" s="147">
        <v>0</v>
      </c>
      <c r="G109" s="147">
        <v>0.11367004545503701</v>
      </c>
      <c r="H109" s="147">
        <v>0</v>
      </c>
      <c r="I109" s="147">
        <v>0.75963430974139179</v>
      </c>
      <c r="J109" s="147">
        <v>0.12669564480357121</v>
      </c>
      <c r="K109" s="147">
        <v>0</v>
      </c>
      <c r="L109" s="147">
        <v>0</v>
      </c>
      <c r="M109" s="147">
        <v>0</v>
      </c>
      <c r="N109" s="147">
        <v>0</v>
      </c>
      <c r="O109" s="150" t="s">
        <v>433</v>
      </c>
      <c r="Q109" s="168">
        <f t="shared" si="62"/>
        <v>1</v>
      </c>
      <c r="R109" s="83" t="str">
        <f t="shared" si="61"/>
        <v>Ok</v>
      </c>
    </row>
    <row r="110" spans="3:20" s="80" customFormat="1" ht="10.35" customHeight="1" outlineLevel="1" x14ac:dyDescent="0.2">
      <c r="C110" s="81" t="s">
        <v>489</v>
      </c>
      <c r="D110" s="81"/>
      <c r="E110" s="138">
        <f t="shared" si="60"/>
        <v>41.591778579014814</v>
      </c>
      <c r="F110" s="147">
        <v>0.13864909144286863</v>
      </c>
      <c r="G110" s="147">
        <v>0.25295564310748364</v>
      </c>
      <c r="H110" s="147">
        <v>5.524004343522361E-2</v>
      </c>
      <c r="I110" s="147">
        <v>0.33259397049701761</v>
      </c>
      <c r="J110" s="147">
        <v>6.6033581851417097E-2</v>
      </c>
      <c r="K110" s="147">
        <v>3.2675429798643865E-2</v>
      </c>
      <c r="L110" s="147">
        <v>0.12185223986734546</v>
      </c>
      <c r="M110" s="147">
        <v>0</v>
      </c>
      <c r="N110" s="147">
        <v>0</v>
      </c>
      <c r="O110" s="150" t="s">
        <v>433</v>
      </c>
      <c r="Q110" s="168">
        <f t="shared" si="62"/>
        <v>1</v>
      </c>
      <c r="R110" s="83" t="str">
        <f t="shared" si="61"/>
        <v>Ok</v>
      </c>
    </row>
    <row r="111" spans="3:20" s="80" customFormat="1" ht="10.35" customHeight="1" outlineLevel="1" x14ac:dyDescent="0.2">
      <c r="C111" s="81" t="s">
        <v>103</v>
      </c>
      <c r="D111" s="81"/>
      <c r="E111" s="138">
        <f t="shared" si="60"/>
        <v>48.997114070646482</v>
      </c>
      <c r="F111" s="147">
        <v>2.0049743547065707E-2</v>
      </c>
      <c r="G111" s="147">
        <v>0</v>
      </c>
      <c r="H111" s="147">
        <v>0.29750549640914736</v>
      </c>
      <c r="I111" s="147">
        <v>0.23551315483666238</v>
      </c>
      <c r="J111" s="147">
        <v>0.43508590409097259</v>
      </c>
      <c r="K111" s="147">
        <v>7.4207698017517924E-3</v>
      </c>
      <c r="L111" s="147">
        <v>4.4249313144001483E-3</v>
      </c>
      <c r="M111" s="147">
        <v>0</v>
      </c>
      <c r="N111" s="147">
        <v>0</v>
      </c>
      <c r="O111" s="150" t="s">
        <v>433</v>
      </c>
      <c r="Q111" s="168">
        <f t="shared" si="62"/>
        <v>0.99999999999999989</v>
      </c>
      <c r="R111" s="83" t="str">
        <f t="shared" si="61"/>
        <v>Ok</v>
      </c>
    </row>
    <row r="112" spans="3:20" s="80" customFormat="1" ht="10.35" customHeight="1" outlineLevel="1" x14ac:dyDescent="0.2">
      <c r="C112" s="81" t="s">
        <v>490</v>
      </c>
      <c r="D112" s="81"/>
      <c r="E112" s="138">
        <f t="shared" si="60"/>
        <v>39.905576485054006</v>
      </c>
      <c r="F112" s="147">
        <v>0.20707689300746923</v>
      </c>
      <c r="G112" s="147">
        <v>0</v>
      </c>
      <c r="H112" s="147">
        <v>0</v>
      </c>
      <c r="I112" s="147">
        <v>0.28774726953912255</v>
      </c>
      <c r="J112" s="147">
        <v>0.33860004358901558</v>
      </c>
      <c r="K112" s="147">
        <v>0</v>
      </c>
      <c r="L112" s="147">
        <v>0.16657579386439261</v>
      </c>
      <c r="M112" s="147">
        <v>0</v>
      </c>
      <c r="N112" s="147">
        <v>0</v>
      </c>
      <c r="O112" s="150" t="s">
        <v>433</v>
      </c>
      <c r="Q112" s="168">
        <f t="shared" si="62"/>
        <v>1</v>
      </c>
      <c r="R112" s="83" t="str">
        <f t="shared" si="61"/>
        <v>Ok</v>
      </c>
    </row>
    <row r="113" spans="3:19" s="80" customFormat="1" ht="10.35" customHeight="1" outlineLevel="1" x14ac:dyDescent="0.2">
      <c r="C113" s="81" t="s">
        <v>491</v>
      </c>
      <c r="D113" s="81"/>
      <c r="E113" s="138">
        <f t="shared" si="60"/>
        <v>46.283598340405369</v>
      </c>
      <c r="F113" s="147">
        <v>6.325234355869855E-4</v>
      </c>
      <c r="G113" s="147">
        <v>0</v>
      </c>
      <c r="H113" s="147">
        <v>2.8236943275614033E-5</v>
      </c>
      <c r="I113" s="147">
        <v>7.5768524123194262E-3</v>
      </c>
      <c r="J113" s="147">
        <v>0.99174313959600469</v>
      </c>
      <c r="K113" s="147">
        <v>0</v>
      </c>
      <c r="L113" s="147">
        <v>1.9247612813275721E-5</v>
      </c>
      <c r="M113" s="147">
        <v>0</v>
      </c>
      <c r="N113" s="147">
        <v>0</v>
      </c>
      <c r="O113" s="150" t="s">
        <v>433</v>
      </c>
      <c r="Q113" s="168">
        <f t="shared" si="62"/>
        <v>1</v>
      </c>
      <c r="R113" s="83" t="str">
        <f t="shared" si="61"/>
        <v>Ok</v>
      </c>
    </row>
    <row r="114" spans="3:19" s="80" customFormat="1" ht="10.35" customHeight="1" outlineLevel="1" x14ac:dyDescent="0.2">
      <c r="C114" s="81" t="s">
        <v>492</v>
      </c>
      <c r="D114" s="81"/>
      <c r="E114" s="138">
        <f t="shared" si="60"/>
        <v>42.763828157760983</v>
      </c>
      <c r="F114" s="147">
        <v>8.5660713967932928E-2</v>
      </c>
      <c r="G114" s="147">
        <v>0.20937437248760962</v>
      </c>
      <c r="H114" s="147">
        <v>0</v>
      </c>
      <c r="I114" s="147">
        <v>0.35431340358731872</v>
      </c>
      <c r="J114" s="147">
        <v>0.14584266019848166</v>
      </c>
      <c r="K114" s="147">
        <v>2.7677069347129126E-2</v>
      </c>
      <c r="L114" s="147">
        <v>0.17713178041152786</v>
      </c>
      <c r="M114" s="147">
        <v>0</v>
      </c>
      <c r="N114" s="147">
        <v>0</v>
      </c>
      <c r="O114" s="150" t="s">
        <v>433</v>
      </c>
      <c r="Q114" s="168">
        <f t="shared" si="62"/>
        <v>0.99999999999999989</v>
      </c>
      <c r="R114" s="83" t="str">
        <f t="shared" si="61"/>
        <v>Ok</v>
      </c>
    </row>
    <row r="115" spans="3:19" s="80" customFormat="1" ht="10.35" customHeight="1" outlineLevel="1" x14ac:dyDescent="0.2">
      <c r="C115" s="81" t="s">
        <v>493</v>
      </c>
      <c r="D115" s="81"/>
      <c r="E115" s="138">
        <f t="shared" si="60"/>
        <v>45.887214388616371</v>
      </c>
      <c r="F115" s="147">
        <v>0</v>
      </c>
      <c r="G115" s="147">
        <v>0</v>
      </c>
      <c r="H115" s="147">
        <v>0</v>
      </c>
      <c r="I115" s="147">
        <v>0</v>
      </c>
      <c r="J115" s="147">
        <v>0</v>
      </c>
      <c r="K115" s="147">
        <v>0</v>
      </c>
      <c r="L115" s="147">
        <v>1</v>
      </c>
      <c r="M115" s="147">
        <v>0</v>
      </c>
      <c r="N115" s="147">
        <v>0</v>
      </c>
      <c r="O115" s="150" t="s">
        <v>433</v>
      </c>
      <c r="Q115" s="168">
        <f t="shared" si="62"/>
        <v>1</v>
      </c>
      <c r="R115" s="83" t="str">
        <f t="shared" si="61"/>
        <v>Ok</v>
      </c>
    </row>
    <row r="116" spans="3:19" s="80" customFormat="1" ht="10.35" customHeight="1" outlineLevel="1" x14ac:dyDescent="0.2">
      <c r="C116" s="81" t="s">
        <v>494</v>
      </c>
      <c r="D116" s="81"/>
      <c r="E116" s="138">
        <f t="shared" si="60"/>
        <v>48.027352924230172</v>
      </c>
      <c r="F116" s="147">
        <f>0%</f>
        <v>0</v>
      </c>
      <c r="G116" s="147">
        <v>0</v>
      </c>
      <c r="H116" s="147">
        <v>0</v>
      </c>
      <c r="I116" s="147">
        <v>0.77353202447251557</v>
      </c>
      <c r="J116" s="147">
        <v>0</v>
      </c>
      <c r="K116" s="147">
        <v>0</v>
      </c>
      <c r="L116" s="147">
        <v>0</v>
      </c>
      <c r="M116" s="147">
        <v>0.22646797552748441</v>
      </c>
      <c r="N116" s="147">
        <v>0</v>
      </c>
      <c r="O116" s="151" t="s">
        <v>435</v>
      </c>
      <c r="Q116" s="168">
        <f t="shared" si="62"/>
        <v>1</v>
      </c>
      <c r="R116" s="83" t="str">
        <f t="shared" si="61"/>
        <v>Ok</v>
      </c>
    </row>
    <row r="117" spans="3:19" s="80" customFormat="1" ht="10.35" customHeight="1" outlineLevel="1" x14ac:dyDescent="0.2">
      <c r="C117" s="81" t="s">
        <v>495</v>
      </c>
      <c r="D117" s="81"/>
      <c r="E117" s="138">
        <f t="shared" si="60"/>
        <v>46.842831924321999</v>
      </c>
      <c r="F117" s="147">
        <f>0%</f>
        <v>0</v>
      </c>
      <c r="G117" s="147">
        <v>0</v>
      </c>
      <c r="H117" s="147">
        <v>0</v>
      </c>
      <c r="I117" s="147">
        <v>1</v>
      </c>
      <c r="J117" s="147">
        <v>0</v>
      </c>
      <c r="K117" s="147">
        <v>0</v>
      </c>
      <c r="L117" s="147">
        <v>0</v>
      </c>
      <c r="M117" s="147">
        <v>0</v>
      </c>
      <c r="N117" s="147">
        <v>0</v>
      </c>
      <c r="O117" s="151" t="s">
        <v>435</v>
      </c>
      <c r="Q117" s="168">
        <f t="shared" si="62"/>
        <v>1</v>
      </c>
      <c r="R117" s="83" t="str">
        <f t="shared" si="61"/>
        <v>Ok</v>
      </c>
    </row>
    <row r="118" spans="3:19" s="80" customFormat="1" ht="10.35" customHeight="1" outlineLevel="1" x14ac:dyDescent="0.2">
      <c r="C118" s="81" t="s">
        <v>496</v>
      </c>
      <c r="D118" s="81"/>
      <c r="E118" s="138">
        <f t="shared" si="60"/>
        <v>58.033383369141177</v>
      </c>
      <c r="F118" s="147">
        <f>0%</f>
        <v>0</v>
      </c>
      <c r="G118" s="147">
        <v>0</v>
      </c>
      <c r="H118" s="147">
        <v>1</v>
      </c>
      <c r="I118" s="147">
        <v>0</v>
      </c>
      <c r="J118" s="147">
        <v>0</v>
      </c>
      <c r="K118" s="147">
        <v>0</v>
      </c>
      <c r="L118" s="147">
        <v>0</v>
      </c>
      <c r="M118" s="147">
        <v>0</v>
      </c>
      <c r="N118" s="147">
        <v>0</v>
      </c>
      <c r="O118" s="151" t="s">
        <v>435</v>
      </c>
      <c r="Q118" s="168">
        <f t="shared" si="62"/>
        <v>1</v>
      </c>
      <c r="R118" s="83" t="str">
        <f t="shared" si="61"/>
        <v>Ok</v>
      </c>
    </row>
    <row r="119" spans="3:19" s="80" customFormat="1" ht="10.35" customHeight="1" outlineLevel="1" x14ac:dyDescent="0.2">
      <c r="C119" s="81" t="s">
        <v>497</v>
      </c>
      <c r="D119" s="81"/>
      <c r="E119" s="138">
        <f t="shared" si="60"/>
        <v>50.919360021667444</v>
      </c>
      <c r="F119" s="147">
        <f>0%</f>
        <v>0</v>
      </c>
      <c r="G119" s="147">
        <v>0</v>
      </c>
      <c r="H119" s="147">
        <v>0</v>
      </c>
      <c r="I119" s="147">
        <v>0.2206106388503854</v>
      </c>
      <c r="J119" s="147">
        <v>0</v>
      </c>
      <c r="K119" s="147">
        <v>0</v>
      </c>
      <c r="L119" s="147">
        <v>0</v>
      </c>
      <c r="M119" s="147">
        <v>0.77938936114961455</v>
      </c>
      <c r="N119" s="147">
        <v>0</v>
      </c>
      <c r="O119" s="151" t="s">
        <v>435</v>
      </c>
      <c r="Q119" s="168">
        <f t="shared" si="62"/>
        <v>1</v>
      </c>
      <c r="R119" s="83" t="str">
        <f t="shared" si="61"/>
        <v>Ok</v>
      </c>
    </row>
    <row r="120" spans="3:19" s="80" customFormat="1" ht="10.35" customHeight="1" outlineLevel="1" x14ac:dyDescent="0.2">
      <c r="C120" s="81" t="s">
        <v>498</v>
      </c>
      <c r="D120" s="81"/>
      <c r="E120" s="138">
        <f t="shared" si="60"/>
        <v>52.073244732796169</v>
      </c>
      <c r="F120" s="147">
        <f>0%</f>
        <v>0</v>
      </c>
      <c r="G120" s="147">
        <v>0</v>
      </c>
      <c r="H120" s="147">
        <v>0</v>
      </c>
      <c r="I120" s="147">
        <v>0</v>
      </c>
      <c r="J120" s="147">
        <v>0</v>
      </c>
      <c r="K120" s="147">
        <v>0</v>
      </c>
      <c r="L120" s="147">
        <v>0</v>
      </c>
      <c r="M120" s="147">
        <v>1</v>
      </c>
      <c r="N120" s="147">
        <v>0</v>
      </c>
      <c r="O120" s="151" t="s">
        <v>435</v>
      </c>
      <c r="Q120" s="168">
        <f t="shared" si="62"/>
        <v>1</v>
      </c>
      <c r="R120" s="83" t="str">
        <f t="shared" si="61"/>
        <v>Ok</v>
      </c>
    </row>
    <row r="121" spans="3:19" s="80" customFormat="1" ht="10.35" customHeight="1" outlineLevel="1" x14ac:dyDescent="0.2">
      <c r="C121" s="81" t="s">
        <v>499</v>
      </c>
      <c r="D121" s="81"/>
      <c r="E121" s="138">
        <f t="shared" si="60"/>
        <v>58.033383369141177</v>
      </c>
      <c r="F121" s="147">
        <f>0%</f>
        <v>0</v>
      </c>
      <c r="G121" s="147">
        <v>0</v>
      </c>
      <c r="H121" s="147">
        <v>1</v>
      </c>
      <c r="I121" s="147">
        <v>0</v>
      </c>
      <c r="J121" s="147">
        <v>0</v>
      </c>
      <c r="K121" s="147">
        <v>0</v>
      </c>
      <c r="L121" s="147">
        <v>0</v>
      </c>
      <c r="M121" s="147">
        <v>0</v>
      </c>
      <c r="N121" s="147">
        <v>0</v>
      </c>
      <c r="O121" s="151" t="s">
        <v>435</v>
      </c>
      <c r="Q121" s="168">
        <f t="shared" si="62"/>
        <v>1</v>
      </c>
      <c r="R121" s="83" t="str">
        <f t="shared" si="61"/>
        <v>Ok</v>
      </c>
      <c r="S121" s="81"/>
    </row>
    <row r="122" spans="3:19" s="80" customFormat="1" ht="10.35" customHeight="1" outlineLevel="1" x14ac:dyDescent="0.2">
      <c r="C122" s="81" t="s">
        <v>500</v>
      </c>
      <c r="D122" s="81"/>
      <c r="E122" s="138">
        <f t="shared" si="60"/>
        <v>47.192337066648989</v>
      </c>
      <c r="F122" s="147">
        <f>0%</f>
        <v>0</v>
      </c>
      <c r="G122" s="147">
        <v>0.27272736025685129</v>
      </c>
      <c r="H122" s="147">
        <v>3.1377085633311201E-2</v>
      </c>
      <c r="I122" s="147">
        <v>0.69586093304671104</v>
      </c>
      <c r="J122" s="147">
        <v>0</v>
      </c>
      <c r="K122" s="147">
        <v>0</v>
      </c>
      <c r="L122" s="147">
        <v>0</v>
      </c>
      <c r="M122" s="147">
        <v>0</v>
      </c>
      <c r="N122" s="147">
        <v>0</v>
      </c>
      <c r="O122" s="151" t="s">
        <v>436</v>
      </c>
      <c r="P122" s="81"/>
      <c r="Q122" s="168">
        <f t="shared" si="62"/>
        <v>0.99996537893687354</v>
      </c>
      <c r="R122" s="83" t="str">
        <f t="shared" si="61"/>
        <v>Ok</v>
      </c>
      <c r="S122" s="81"/>
    </row>
    <row r="123" spans="3:19" s="80" customFormat="1" ht="10.35" customHeight="1" outlineLevel="1" x14ac:dyDescent="0.2">
      <c r="C123" s="81" t="s">
        <v>501</v>
      </c>
      <c r="D123" s="81"/>
      <c r="E123" s="138">
        <f t="shared" si="60"/>
        <v>53.279146974324945</v>
      </c>
      <c r="F123" s="147">
        <v>0</v>
      </c>
      <c r="G123" s="147">
        <v>0</v>
      </c>
      <c r="H123" s="147">
        <v>0.28010620800330294</v>
      </c>
      <c r="I123" s="147">
        <v>0</v>
      </c>
      <c r="J123" s="147">
        <v>0</v>
      </c>
      <c r="K123" s="147">
        <v>1.0284806292955974E-2</v>
      </c>
      <c r="L123" s="147">
        <v>0</v>
      </c>
      <c r="M123" s="147">
        <v>0.70960898570374109</v>
      </c>
      <c r="N123" s="147">
        <v>0</v>
      </c>
      <c r="O123" s="151" t="s">
        <v>436</v>
      </c>
      <c r="P123" s="81"/>
      <c r="Q123" s="168">
        <f t="shared" si="62"/>
        <v>1</v>
      </c>
      <c r="R123" s="83" t="str">
        <f t="shared" si="61"/>
        <v>Ok</v>
      </c>
      <c r="S123" s="81"/>
    </row>
    <row r="124" spans="3:19" s="80" customFormat="1" ht="10.35" customHeight="1" outlineLevel="1" x14ac:dyDescent="0.2">
      <c r="C124" s="81" t="s">
        <v>502</v>
      </c>
      <c r="D124" s="81"/>
      <c r="E124" s="138">
        <f t="shared" si="60"/>
        <v>47.274465232448705</v>
      </c>
      <c r="F124" s="147">
        <v>0</v>
      </c>
      <c r="G124" s="147">
        <v>0</v>
      </c>
      <c r="H124" s="147">
        <v>4.7110001137171079E-2</v>
      </c>
      <c r="I124" s="147">
        <v>0.7919068055670706</v>
      </c>
      <c r="J124" s="147">
        <v>0</v>
      </c>
      <c r="K124" s="147">
        <v>0</v>
      </c>
      <c r="L124" s="147">
        <v>0.15156119306941665</v>
      </c>
      <c r="M124" s="147">
        <v>9.4220002263416067E-3</v>
      </c>
      <c r="N124" s="147">
        <v>0</v>
      </c>
      <c r="O124" s="151" t="s">
        <v>436</v>
      </c>
      <c r="P124" s="81"/>
      <c r="Q124" s="168">
        <f t="shared" si="62"/>
        <v>1</v>
      </c>
      <c r="R124" s="83" t="str">
        <f t="shared" si="61"/>
        <v>Ok</v>
      </c>
      <c r="S124" s="81"/>
    </row>
    <row r="125" spans="3:19" s="80" customFormat="1" ht="10.35" customHeight="1" outlineLevel="1" x14ac:dyDescent="0.2">
      <c r="C125" s="81" t="s">
        <v>503</v>
      </c>
      <c r="D125" s="81"/>
      <c r="E125" s="138">
        <f t="shared" si="60"/>
        <v>46.957199686098399</v>
      </c>
      <c r="F125" s="147">
        <v>0</v>
      </c>
      <c r="G125" s="147">
        <v>0.96746321879390507</v>
      </c>
      <c r="H125" s="147">
        <v>1.0220029132644207E-2</v>
      </c>
      <c r="I125" s="147">
        <v>2.231675207345056E-2</v>
      </c>
      <c r="J125" s="147">
        <v>0</v>
      </c>
      <c r="K125" s="147">
        <v>0</v>
      </c>
      <c r="L125" s="147">
        <v>0</v>
      </c>
      <c r="M125" s="147">
        <v>0</v>
      </c>
      <c r="N125" s="147">
        <v>0</v>
      </c>
      <c r="O125" s="151" t="s">
        <v>436</v>
      </c>
      <c r="P125" s="81"/>
      <c r="Q125" s="168">
        <f t="shared" si="62"/>
        <v>0.99999999999999978</v>
      </c>
      <c r="R125" s="83" t="str">
        <f t="shared" si="61"/>
        <v>Ok</v>
      </c>
      <c r="S125" s="81"/>
    </row>
    <row r="126" spans="3:19" s="80" customFormat="1" ht="10.35" customHeight="1" outlineLevel="1" x14ac:dyDescent="0.2">
      <c r="C126" s="81" t="s">
        <v>504</v>
      </c>
      <c r="D126" s="81"/>
      <c r="E126" s="138">
        <f t="shared" si="60"/>
        <v>52.073244732796169</v>
      </c>
      <c r="F126" s="147">
        <v>0</v>
      </c>
      <c r="G126" s="147">
        <v>0</v>
      </c>
      <c r="H126" s="147">
        <v>0</v>
      </c>
      <c r="I126" s="147">
        <v>0</v>
      </c>
      <c r="J126" s="147">
        <v>0</v>
      </c>
      <c r="K126" s="147">
        <v>0</v>
      </c>
      <c r="L126" s="147">
        <v>0</v>
      </c>
      <c r="M126" s="147">
        <v>1</v>
      </c>
      <c r="N126" s="147">
        <v>0</v>
      </c>
      <c r="O126" s="151" t="s">
        <v>436</v>
      </c>
      <c r="P126" s="81"/>
      <c r="Q126" s="168">
        <f t="shared" si="62"/>
        <v>1</v>
      </c>
      <c r="R126" s="83" t="str">
        <f t="shared" si="61"/>
        <v>Ok</v>
      </c>
      <c r="S126" s="81"/>
    </row>
    <row r="127" spans="3:19" s="80" customFormat="1" ht="10.35" customHeight="1" outlineLevel="1" x14ac:dyDescent="0.2">
      <c r="C127" s="81" t="s">
        <v>505</v>
      </c>
      <c r="D127" s="81"/>
      <c r="E127" s="138">
        <f t="shared" si="60"/>
        <v>25.909528100009638</v>
      </c>
      <c r="F127" s="147">
        <v>0.65739453934444847</v>
      </c>
      <c r="G127" s="147">
        <v>0</v>
      </c>
      <c r="H127" s="147">
        <v>0</v>
      </c>
      <c r="I127" s="147">
        <v>0.34260546065555147</v>
      </c>
      <c r="J127" s="147">
        <v>0</v>
      </c>
      <c r="K127" s="147">
        <v>0</v>
      </c>
      <c r="L127" s="147">
        <v>0</v>
      </c>
      <c r="M127" s="147">
        <v>0</v>
      </c>
      <c r="N127" s="147">
        <v>0</v>
      </c>
      <c r="O127" s="151" t="s">
        <v>436</v>
      </c>
      <c r="P127" s="81"/>
      <c r="Q127" s="168">
        <f t="shared" si="62"/>
        <v>1</v>
      </c>
      <c r="R127" s="83" t="str">
        <f t="shared" si="61"/>
        <v>Ok</v>
      </c>
    </row>
    <row r="128" spans="3:19" s="80" customFormat="1" ht="10.35" customHeight="1" outlineLevel="1" x14ac:dyDescent="0.2">
      <c r="C128" s="81" t="s">
        <v>506</v>
      </c>
      <c r="D128" s="81"/>
      <c r="E128" s="138">
        <f t="shared" si="60"/>
        <v>46.298951338166589</v>
      </c>
      <c r="F128" s="147">
        <v>0</v>
      </c>
      <c r="G128" s="147">
        <v>0</v>
      </c>
      <c r="H128" s="147">
        <v>0</v>
      </c>
      <c r="I128" s="147">
        <v>0</v>
      </c>
      <c r="J128" s="147">
        <v>1</v>
      </c>
      <c r="K128" s="147">
        <v>0</v>
      </c>
      <c r="L128" s="147">
        <v>0</v>
      </c>
      <c r="M128" s="147">
        <v>0</v>
      </c>
      <c r="N128" s="147">
        <v>0</v>
      </c>
      <c r="O128" s="151" t="s">
        <v>436</v>
      </c>
      <c r="P128" s="81"/>
      <c r="Q128" s="168">
        <f t="shared" si="62"/>
        <v>1</v>
      </c>
      <c r="R128" s="83" t="str">
        <f t="shared" si="61"/>
        <v>Ok</v>
      </c>
    </row>
    <row r="129" spans="3:44" s="80" customFormat="1" ht="10.35" customHeight="1" outlineLevel="1" x14ac:dyDescent="0.2">
      <c r="C129" s="81" t="s">
        <v>507</v>
      </c>
      <c r="D129" s="81"/>
      <c r="E129" s="138">
        <f t="shared" si="60"/>
        <v>39.589052750847024</v>
      </c>
      <c r="F129" s="147">
        <v>0</v>
      </c>
      <c r="G129" s="147">
        <v>0</v>
      </c>
      <c r="H129" s="147">
        <v>0</v>
      </c>
      <c r="I129" s="147">
        <v>0.81794017083793391</v>
      </c>
      <c r="J129" s="147">
        <v>0</v>
      </c>
      <c r="K129" s="147">
        <v>0.18205982916206609</v>
      </c>
      <c r="L129" s="147">
        <v>0</v>
      </c>
      <c r="M129" s="147">
        <v>0</v>
      </c>
      <c r="N129" s="147">
        <v>0</v>
      </c>
      <c r="O129" s="151" t="s">
        <v>436</v>
      </c>
      <c r="P129" s="81"/>
      <c r="Q129" s="168">
        <f t="shared" si="62"/>
        <v>1</v>
      </c>
      <c r="R129" s="83" t="str">
        <f t="shared" si="61"/>
        <v>Ok</v>
      </c>
    </row>
    <row r="130" spans="3:44" s="80" customFormat="1" ht="10.35" customHeight="1" outlineLevel="1" x14ac:dyDescent="0.2">
      <c r="C130" s="81" t="s">
        <v>508</v>
      </c>
      <c r="D130" s="81"/>
      <c r="E130" s="138">
        <f t="shared" si="60"/>
        <v>18.496909614481279</v>
      </c>
      <c r="F130" s="147">
        <v>0.88678455847510551</v>
      </c>
      <c r="G130" s="147">
        <v>0</v>
      </c>
      <c r="H130" s="147">
        <v>0</v>
      </c>
      <c r="I130" s="147">
        <v>0</v>
      </c>
      <c r="J130" s="147">
        <v>0</v>
      </c>
      <c r="K130" s="147">
        <v>0</v>
      </c>
      <c r="L130" s="147">
        <v>0.1132154415248945</v>
      </c>
      <c r="M130" s="147">
        <v>0</v>
      </c>
      <c r="N130" s="147">
        <v>0</v>
      </c>
      <c r="O130" s="151" t="s">
        <v>436</v>
      </c>
      <c r="P130" s="81"/>
      <c r="Q130" s="168">
        <f t="shared" si="62"/>
        <v>1</v>
      </c>
      <c r="R130" s="83" t="str">
        <f t="shared" si="61"/>
        <v>Ok</v>
      </c>
    </row>
    <row r="131" spans="3:44" s="80" customFormat="1" ht="10.35" customHeight="1" outlineLevel="1" x14ac:dyDescent="0.2">
      <c r="C131" s="81" t="s">
        <v>509</v>
      </c>
      <c r="D131" s="81"/>
      <c r="E131" s="138">
        <f t="shared" si="60"/>
        <v>47.045666051760982</v>
      </c>
      <c r="F131" s="147">
        <v>0</v>
      </c>
      <c r="G131" s="147">
        <v>0.99124097874247341</v>
      </c>
      <c r="H131" s="147">
        <v>0</v>
      </c>
      <c r="I131" s="147">
        <v>0</v>
      </c>
      <c r="J131" s="147">
        <v>0</v>
      </c>
      <c r="K131" s="147">
        <v>0</v>
      </c>
      <c r="L131" s="147">
        <v>0</v>
      </c>
      <c r="M131" s="147">
        <v>0</v>
      </c>
      <c r="N131" s="147">
        <v>8.7590212575266359E-3</v>
      </c>
      <c r="O131" s="151" t="s">
        <v>436</v>
      </c>
      <c r="P131" s="81"/>
      <c r="Q131" s="168">
        <f t="shared" si="62"/>
        <v>1</v>
      </c>
      <c r="R131" s="83" t="str">
        <f t="shared" si="61"/>
        <v>Ok</v>
      </c>
    </row>
    <row r="132" spans="3:44" s="80" customFormat="1" ht="10.35" customHeight="1" outlineLevel="1" x14ac:dyDescent="0.2">
      <c r="C132" s="81" t="s">
        <v>510</v>
      </c>
      <c r="D132" s="81"/>
      <c r="E132" s="138">
        <f t="shared" si="60"/>
        <v>26.960366446900359</v>
      </c>
      <c r="F132" s="147">
        <v>0.62439375758646432</v>
      </c>
      <c r="G132" s="147">
        <v>0</v>
      </c>
      <c r="H132" s="147">
        <v>0</v>
      </c>
      <c r="I132" s="147">
        <v>0.37560624241353568</v>
      </c>
      <c r="J132" s="147">
        <v>0</v>
      </c>
      <c r="K132" s="147">
        <v>0</v>
      </c>
      <c r="L132" s="147">
        <v>0</v>
      </c>
      <c r="M132" s="147">
        <v>0</v>
      </c>
      <c r="N132" s="147">
        <v>0</v>
      </c>
      <c r="O132" s="151" t="s">
        <v>436</v>
      </c>
      <c r="P132" s="81"/>
      <c r="Q132" s="168">
        <f t="shared" si="62"/>
        <v>1</v>
      </c>
      <c r="R132" s="83" t="str">
        <f t="shared" si="61"/>
        <v>Ok</v>
      </c>
    </row>
    <row r="133" spans="3:44" s="80" customFormat="1" ht="10.35" customHeight="1" outlineLevel="1" x14ac:dyDescent="0.2">
      <c r="C133" s="81" t="s">
        <v>511</v>
      </c>
      <c r="D133" s="81"/>
      <c r="E133" s="138">
        <f t="shared" si="60"/>
        <v>39.51109815175387</v>
      </c>
      <c r="F133" s="147">
        <v>0.22305094234332509</v>
      </c>
      <c r="G133" s="147">
        <v>0.43873891226850364</v>
      </c>
      <c r="H133" s="147">
        <v>0</v>
      </c>
      <c r="I133" s="147">
        <v>4.3380235413563235E-2</v>
      </c>
      <c r="J133" s="147">
        <v>0.12988401238118141</v>
      </c>
      <c r="K133" s="147">
        <v>0</v>
      </c>
      <c r="L133" s="147">
        <v>0.16492642550276218</v>
      </c>
      <c r="M133" s="147">
        <v>0</v>
      </c>
      <c r="N133" s="147">
        <v>0</v>
      </c>
      <c r="O133" s="151" t="s">
        <v>436</v>
      </c>
      <c r="P133" s="81"/>
      <c r="Q133" s="168">
        <f t="shared" si="62"/>
        <v>0.99998052790933556</v>
      </c>
      <c r="R133" s="83" t="str">
        <f t="shared" si="61"/>
        <v>Ok</v>
      </c>
    </row>
    <row r="134" spans="3:44" s="80" customFormat="1" ht="10.35" customHeight="1" outlineLevel="1" x14ac:dyDescent="0.2">
      <c r="C134" s="81" t="s">
        <v>512</v>
      </c>
      <c r="D134" s="81"/>
      <c r="E134" s="138">
        <f t="shared" si="60"/>
        <v>52.785697855794126</v>
      </c>
      <c r="F134" s="147">
        <v>0</v>
      </c>
      <c r="G134" s="147">
        <v>0</v>
      </c>
      <c r="H134" s="147">
        <v>0.22983340650780643</v>
      </c>
      <c r="I134" s="147">
        <v>0</v>
      </c>
      <c r="J134" s="147">
        <v>0.11384697626612117</v>
      </c>
      <c r="K134" s="147">
        <v>0</v>
      </c>
      <c r="L134" s="147">
        <v>0</v>
      </c>
      <c r="M134" s="147">
        <v>0.65631961722607246</v>
      </c>
      <c r="N134" s="147">
        <v>0</v>
      </c>
      <c r="O134" s="151" t="s">
        <v>436</v>
      </c>
      <c r="P134" s="81"/>
      <c r="Q134" s="168">
        <f t="shared" si="62"/>
        <v>1</v>
      </c>
      <c r="R134" s="83" t="str">
        <f t="shared" si="61"/>
        <v>Ok</v>
      </c>
    </row>
    <row r="135" spans="3:44" s="80" customFormat="1" ht="10.35" customHeight="1" outlineLevel="1" x14ac:dyDescent="0.2">
      <c r="C135" s="81" t="s">
        <v>513</v>
      </c>
      <c r="D135" s="81"/>
      <c r="E135" s="138">
        <f t="shared" si="60"/>
        <v>46.840374316544988</v>
      </c>
      <c r="F135" s="147">
        <v>0</v>
      </c>
      <c r="G135" s="147">
        <v>0</v>
      </c>
      <c r="H135" s="147">
        <v>0</v>
      </c>
      <c r="I135" s="147">
        <v>0.99994753502988498</v>
      </c>
      <c r="J135" s="147">
        <v>0</v>
      </c>
      <c r="K135" s="147">
        <v>0</v>
      </c>
      <c r="L135" s="147">
        <v>0</v>
      </c>
      <c r="M135" s="147">
        <v>0</v>
      </c>
      <c r="N135" s="147">
        <v>0</v>
      </c>
      <c r="O135" s="151" t="s">
        <v>436</v>
      </c>
      <c r="P135" s="81"/>
      <c r="Q135" s="168">
        <f t="shared" si="62"/>
        <v>0.99994753502988498</v>
      </c>
      <c r="R135" s="83" t="str">
        <f t="shared" si="61"/>
        <v>Ok</v>
      </c>
    </row>
    <row r="136" spans="3:44" s="80" customFormat="1" ht="10.35" customHeight="1" outlineLevel="1" x14ac:dyDescent="0.2">
      <c r="C136" s="81" t="s">
        <v>514</v>
      </c>
      <c r="D136" s="81"/>
      <c r="E136" s="138">
        <f t="shared" si="60"/>
        <v>46.842831924321999</v>
      </c>
      <c r="F136" s="147">
        <v>0</v>
      </c>
      <c r="G136" s="147">
        <v>0</v>
      </c>
      <c r="H136" s="147">
        <v>0</v>
      </c>
      <c r="I136" s="147">
        <v>1</v>
      </c>
      <c r="J136" s="147">
        <v>0</v>
      </c>
      <c r="K136" s="147">
        <v>0</v>
      </c>
      <c r="L136" s="147">
        <v>0</v>
      </c>
      <c r="M136" s="147">
        <v>0</v>
      </c>
      <c r="N136" s="147">
        <v>0</v>
      </c>
      <c r="O136" s="151" t="s">
        <v>436</v>
      </c>
      <c r="P136" s="81"/>
      <c r="Q136" s="168">
        <f t="shared" si="62"/>
        <v>1</v>
      </c>
      <c r="R136" s="83" t="str">
        <f t="shared" si="61"/>
        <v>Ok</v>
      </c>
    </row>
    <row r="137" spans="3:44" s="80" customFormat="1" ht="10.35" customHeight="1" outlineLevel="1" x14ac:dyDescent="0.2">
      <c r="C137" s="81" t="s">
        <v>515</v>
      </c>
      <c r="D137" s="81"/>
      <c r="E137" s="138">
        <f t="shared" si="60"/>
        <v>58.033383369141177</v>
      </c>
      <c r="F137" s="147">
        <v>0</v>
      </c>
      <c r="G137" s="147">
        <v>0</v>
      </c>
      <c r="H137" s="147">
        <v>1</v>
      </c>
      <c r="I137" s="147">
        <v>0</v>
      </c>
      <c r="J137" s="147">
        <v>0</v>
      </c>
      <c r="K137" s="147">
        <v>0</v>
      </c>
      <c r="L137" s="147">
        <v>0</v>
      </c>
      <c r="M137" s="147">
        <v>0</v>
      </c>
      <c r="N137" s="147">
        <v>0</v>
      </c>
      <c r="O137" s="151" t="s">
        <v>436</v>
      </c>
      <c r="P137" s="81"/>
      <c r="Q137" s="168">
        <f t="shared" si="62"/>
        <v>1</v>
      </c>
      <c r="R137" s="83" t="str">
        <f t="shared" si="61"/>
        <v>Ok</v>
      </c>
    </row>
    <row r="138" spans="3:44" s="80" customFormat="1" ht="10.35" customHeight="1" outlineLevel="1" x14ac:dyDescent="0.2">
      <c r="C138" s="81" t="s">
        <v>516</v>
      </c>
      <c r="D138" s="81"/>
      <c r="E138" s="138">
        <f t="shared" si="60"/>
        <v>52.198073085067044</v>
      </c>
      <c r="F138" s="147">
        <v>0</v>
      </c>
      <c r="G138" s="147">
        <v>0</v>
      </c>
      <c r="H138" s="147">
        <v>2.0943867229811047E-2</v>
      </c>
      <c r="I138" s="147">
        <v>0</v>
      </c>
      <c r="J138" s="147">
        <v>0</v>
      </c>
      <c r="K138" s="147">
        <v>0</v>
      </c>
      <c r="L138" s="147">
        <v>0</v>
      </c>
      <c r="M138" s="147">
        <v>0.97905613277018888</v>
      </c>
      <c r="N138" s="147">
        <v>0</v>
      </c>
      <c r="O138" s="151" t="s">
        <v>436</v>
      </c>
      <c r="P138" s="81"/>
      <c r="Q138" s="168">
        <f t="shared" si="62"/>
        <v>0.99999999999999989</v>
      </c>
      <c r="R138" s="83" t="str">
        <f t="shared" si="61"/>
        <v>Ok</v>
      </c>
    </row>
    <row r="139" spans="3:44" s="80" customFormat="1" ht="10.35" customHeight="1" outlineLevel="1" x14ac:dyDescent="0.2">
      <c r="C139" s="81" t="s">
        <v>517</v>
      </c>
      <c r="D139" s="81"/>
      <c r="E139" s="138">
        <f t="shared" si="60"/>
        <v>46.794049548920675</v>
      </c>
      <c r="F139" s="147">
        <v>0</v>
      </c>
      <c r="G139" s="147">
        <v>0</v>
      </c>
      <c r="H139" s="147">
        <v>0</v>
      </c>
      <c r="I139" s="147">
        <v>0.94895198803013314</v>
      </c>
      <c r="J139" s="147">
        <v>0</v>
      </c>
      <c r="K139" s="147">
        <v>0</v>
      </c>
      <c r="L139" s="147">
        <v>5.1048011969866788E-2</v>
      </c>
      <c r="M139" s="147">
        <v>0</v>
      </c>
      <c r="N139" s="147">
        <v>0</v>
      </c>
      <c r="O139" s="151" t="s">
        <v>436</v>
      </c>
      <c r="P139" s="81"/>
      <c r="Q139" s="168">
        <f t="shared" si="62"/>
        <v>0.99999999999999989</v>
      </c>
      <c r="R139" s="83" t="str">
        <f t="shared" si="61"/>
        <v>Ok</v>
      </c>
    </row>
    <row r="140" spans="3:44" s="80" customFormat="1" ht="10.35" customHeight="1" outlineLevel="1" x14ac:dyDescent="0.2">
      <c r="C140" s="81" t="s">
        <v>518</v>
      </c>
      <c r="D140" s="81"/>
      <c r="E140" s="138">
        <f t="shared" si="60"/>
        <v>46.842831924321999</v>
      </c>
      <c r="F140" s="147">
        <v>0</v>
      </c>
      <c r="G140" s="147">
        <v>0</v>
      </c>
      <c r="H140" s="147">
        <v>0</v>
      </c>
      <c r="I140" s="147">
        <v>1</v>
      </c>
      <c r="J140" s="147">
        <v>0</v>
      </c>
      <c r="K140" s="147">
        <v>0</v>
      </c>
      <c r="L140" s="147">
        <v>0</v>
      </c>
      <c r="M140" s="147">
        <v>0</v>
      </c>
      <c r="N140" s="147">
        <v>0</v>
      </c>
      <c r="O140" s="151" t="s">
        <v>436</v>
      </c>
      <c r="P140" s="81"/>
      <c r="Q140" s="168">
        <f t="shared" si="62"/>
        <v>1</v>
      </c>
      <c r="R140" s="83" t="str">
        <f t="shared" si="61"/>
        <v>Ok</v>
      </c>
    </row>
    <row r="141" spans="3:44" s="80" customFormat="1" ht="10.35" customHeight="1" outlineLevel="1" x14ac:dyDescent="0.2">
      <c r="C141" s="81" t="s">
        <v>519</v>
      </c>
      <c r="D141" s="81"/>
      <c r="E141" s="138">
        <f t="shared" si="60"/>
        <v>52.073244732796169</v>
      </c>
      <c r="F141" s="147">
        <v>0</v>
      </c>
      <c r="G141" s="147">
        <v>0</v>
      </c>
      <c r="H141" s="147">
        <v>0</v>
      </c>
      <c r="I141" s="147">
        <v>0</v>
      </c>
      <c r="J141" s="147">
        <v>0</v>
      </c>
      <c r="K141" s="147">
        <v>0</v>
      </c>
      <c r="L141" s="147">
        <v>0</v>
      </c>
      <c r="M141" s="147">
        <v>1</v>
      </c>
      <c r="N141" s="147">
        <v>0</v>
      </c>
      <c r="O141" s="151" t="s">
        <v>436</v>
      </c>
      <c r="P141" s="81"/>
      <c r="Q141" s="168">
        <f t="shared" si="62"/>
        <v>1</v>
      </c>
      <c r="R141" s="83" t="str">
        <f t="shared" si="61"/>
        <v>Ok</v>
      </c>
    </row>
    <row r="142" spans="3:44" s="80" customFormat="1" ht="10.35" customHeight="1" outlineLevel="1" x14ac:dyDescent="0.2">
      <c r="C142" s="81" t="s">
        <v>437</v>
      </c>
      <c r="D142" s="81"/>
      <c r="E142" s="138">
        <f t="shared" si="60"/>
        <v>57.942071498820567</v>
      </c>
      <c r="F142" s="147">
        <v>0</v>
      </c>
      <c r="G142" s="147">
        <v>0</v>
      </c>
      <c r="H142" s="147">
        <v>0.98467957275963613</v>
      </c>
      <c r="I142" s="147">
        <v>0</v>
      </c>
      <c r="J142" s="147">
        <v>0</v>
      </c>
      <c r="K142" s="147">
        <v>0</v>
      </c>
      <c r="L142" s="147">
        <v>0</v>
      </c>
      <c r="M142" s="147">
        <v>1.5320427240363768E-2</v>
      </c>
      <c r="N142" s="147">
        <v>0</v>
      </c>
      <c r="O142" s="150" t="s">
        <v>437</v>
      </c>
      <c r="Q142" s="168">
        <f t="shared" si="62"/>
        <v>0.99999999999999989</v>
      </c>
      <c r="R142" s="83" t="str">
        <f t="shared" si="61"/>
        <v>Ok</v>
      </c>
    </row>
    <row r="143" spans="3:44" s="80" customFormat="1" ht="10.35" customHeight="1" outlineLevel="1" x14ac:dyDescent="0.2">
      <c r="J143" s="83"/>
      <c r="R143" s="81"/>
    </row>
    <row r="144" spans="3:44" outlineLevel="1" x14ac:dyDescent="0.2">
      <c r="C144" s="432"/>
      <c r="D144" s="432"/>
      <c r="E144" s="432"/>
      <c r="F144" s="432"/>
      <c r="G144" s="432"/>
      <c r="H144" s="432"/>
      <c r="I144" s="432"/>
      <c r="J144" s="401"/>
      <c r="K144" s="432"/>
      <c r="L144" s="432"/>
      <c r="M144" s="432"/>
      <c r="N144" s="432"/>
      <c r="O144" s="432"/>
      <c r="P144" s="432"/>
      <c r="Q144" s="432"/>
      <c r="R144" s="432"/>
      <c r="S144" s="432"/>
      <c r="T144" s="432"/>
      <c r="U144" s="432"/>
      <c r="V144" s="432"/>
      <c r="W144" s="432"/>
      <c r="X144" s="432"/>
      <c r="Y144" s="432"/>
      <c r="Z144" s="432"/>
      <c r="AA144" s="432"/>
      <c r="AB144" s="432"/>
      <c r="AC144" s="432"/>
      <c r="AD144" s="432"/>
      <c r="AE144" s="432"/>
      <c r="AF144" s="432"/>
      <c r="AG144" s="432"/>
      <c r="AH144" s="432"/>
      <c r="AI144" s="432"/>
      <c r="AJ144" s="432"/>
      <c r="AK144" s="432"/>
      <c r="AL144" s="432"/>
      <c r="AM144" s="432"/>
      <c r="AN144" s="432"/>
      <c r="AO144" s="432"/>
      <c r="AP144" s="432"/>
      <c r="AQ144" s="432"/>
      <c r="AR144" s="432"/>
    </row>
    <row r="145" spans="3:15" s="14" customFormat="1" x14ac:dyDescent="0.2">
      <c r="C145" s="16" t="s">
        <v>397</v>
      </c>
      <c r="D145" s="398"/>
      <c r="E145" s="398"/>
      <c r="F145" s="398"/>
      <c r="G145" s="398"/>
      <c r="H145" s="398"/>
      <c r="I145" s="398"/>
      <c r="J145" s="398"/>
      <c r="K145" s="399"/>
      <c r="L145" s="398"/>
      <c r="M145" s="398"/>
      <c r="N145" s="398"/>
      <c r="O145" s="398"/>
    </row>
    <row r="146" spans="3:15" s="8" customFormat="1" outlineLevel="1" x14ac:dyDescent="0.2">
      <c r="C146" s="80"/>
      <c r="D146" s="80"/>
      <c r="E146" s="80"/>
      <c r="F146" s="80"/>
      <c r="G146" s="80"/>
      <c r="H146" s="80"/>
      <c r="I146" s="80"/>
      <c r="J146" s="80"/>
      <c r="K146" s="83"/>
      <c r="L146" s="80"/>
      <c r="M146" s="80"/>
      <c r="N146" s="80"/>
      <c r="O146" s="80"/>
    </row>
    <row r="147" spans="3:15" s="8" customFormat="1" outlineLevel="1" x14ac:dyDescent="0.2">
      <c r="C147" s="80"/>
      <c r="D147" s="80"/>
      <c r="E147" s="80"/>
      <c r="F147" s="80"/>
      <c r="G147" s="80"/>
      <c r="H147" s="80"/>
      <c r="I147" s="80"/>
      <c r="J147" s="80"/>
      <c r="K147" s="83"/>
      <c r="L147" s="80"/>
      <c r="M147" s="80"/>
      <c r="N147" s="80"/>
      <c r="O147" s="80"/>
    </row>
    <row r="148" spans="3:15" s="8" customFormat="1" outlineLevel="1" x14ac:dyDescent="0.2">
      <c r="C148" s="80"/>
      <c r="D148" s="80"/>
      <c r="E148" s="80"/>
      <c r="F148" s="80"/>
      <c r="G148" s="80"/>
      <c r="H148" s="80"/>
      <c r="I148" s="80"/>
      <c r="J148" s="80"/>
      <c r="K148" s="83"/>
      <c r="L148" s="80"/>
      <c r="M148" s="80"/>
      <c r="N148" s="80"/>
      <c r="O148" s="80"/>
    </row>
    <row r="149" spans="3:15" s="8" customFormat="1" outlineLevel="1" x14ac:dyDescent="0.2">
      <c r="C149" s="80"/>
      <c r="D149" s="80"/>
      <c r="E149" s="80"/>
      <c r="F149" s="80"/>
      <c r="G149" s="80"/>
      <c r="H149" s="80"/>
      <c r="I149" s="80"/>
      <c r="J149" s="80"/>
      <c r="K149" s="83"/>
      <c r="L149" s="80"/>
      <c r="M149" s="80"/>
      <c r="N149" s="80"/>
      <c r="O149" s="80"/>
    </row>
    <row r="150" spans="3:15" s="8" customFormat="1" outlineLevel="1" x14ac:dyDescent="0.2">
      <c r="C150" s="80"/>
      <c r="D150" s="80"/>
      <c r="E150" s="80"/>
      <c r="F150" s="80"/>
      <c r="G150" s="80"/>
      <c r="H150" s="80"/>
      <c r="I150" s="80"/>
      <c r="J150" s="80"/>
      <c r="K150" s="83"/>
      <c r="L150" s="80"/>
      <c r="M150" s="80"/>
      <c r="N150" s="80"/>
      <c r="O150" s="80"/>
    </row>
    <row r="151" spans="3:15" s="8" customFormat="1" outlineLevel="1" x14ac:dyDescent="0.2">
      <c r="C151" s="80"/>
      <c r="D151" s="80"/>
      <c r="E151" s="80"/>
      <c r="F151" s="80"/>
      <c r="G151" s="80"/>
      <c r="H151" s="80"/>
      <c r="I151" s="80"/>
      <c r="J151" s="80"/>
      <c r="K151" s="83"/>
      <c r="L151" s="80"/>
      <c r="M151" s="80"/>
      <c r="N151" s="80"/>
      <c r="O151" s="80"/>
    </row>
    <row r="152" spans="3:15" s="8" customFormat="1" outlineLevel="1" x14ac:dyDescent="0.2">
      <c r="C152" s="80"/>
      <c r="D152" s="80"/>
      <c r="E152" s="80"/>
      <c r="F152" s="80"/>
      <c r="G152" s="80"/>
      <c r="H152" s="80"/>
      <c r="I152" s="80"/>
      <c r="J152" s="80"/>
      <c r="K152" s="83"/>
      <c r="L152" s="80"/>
      <c r="M152" s="80"/>
      <c r="N152" s="80"/>
      <c r="O152" s="80"/>
    </row>
    <row r="153" spans="3:15" s="8" customFormat="1" outlineLevel="1" x14ac:dyDescent="0.2">
      <c r="C153" s="80"/>
      <c r="D153" s="80"/>
      <c r="E153" s="80"/>
      <c r="F153" s="80"/>
      <c r="G153" s="80"/>
      <c r="H153" s="80"/>
      <c r="I153" s="80"/>
      <c r="J153" s="80"/>
      <c r="K153" s="83"/>
      <c r="L153" s="80"/>
      <c r="M153" s="80"/>
      <c r="N153" s="80"/>
      <c r="O153" s="80"/>
    </row>
    <row r="154" spans="3:15" s="8" customFormat="1" outlineLevel="1" x14ac:dyDescent="0.2">
      <c r="C154" s="80"/>
      <c r="D154" s="80"/>
      <c r="E154" s="80"/>
      <c r="F154" s="80"/>
      <c r="G154" s="80"/>
      <c r="H154" s="80"/>
      <c r="I154" s="80"/>
      <c r="J154" s="80"/>
      <c r="K154" s="83"/>
      <c r="L154" s="80"/>
      <c r="M154" s="80"/>
      <c r="N154" s="80"/>
      <c r="O154" s="80"/>
    </row>
    <row r="155" spans="3:15" s="8" customFormat="1" outlineLevel="1" x14ac:dyDescent="0.2">
      <c r="C155" s="80"/>
      <c r="D155" s="80"/>
      <c r="E155" s="80"/>
      <c r="F155" s="80"/>
      <c r="G155" s="80"/>
      <c r="H155" s="80"/>
      <c r="I155" s="80"/>
      <c r="J155" s="80"/>
      <c r="K155" s="83"/>
      <c r="L155" s="80"/>
      <c r="M155" s="80"/>
      <c r="N155" s="80"/>
      <c r="O155" s="80"/>
    </row>
    <row r="156" spans="3:15" s="8" customFormat="1" outlineLevel="1" x14ac:dyDescent="0.2">
      <c r="C156" s="80"/>
      <c r="D156" s="80"/>
      <c r="E156" s="80"/>
      <c r="F156" s="80"/>
      <c r="G156" s="80"/>
      <c r="H156" s="80"/>
      <c r="I156" s="80"/>
      <c r="J156" s="80"/>
      <c r="K156" s="83"/>
      <c r="L156" s="80"/>
      <c r="M156" s="80"/>
      <c r="N156" s="80"/>
      <c r="O156" s="80"/>
    </row>
    <row r="157" spans="3:15" s="8" customFormat="1" outlineLevel="1" x14ac:dyDescent="0.2">
      <c r="C157" s="80"/>
      <c r="D157" s="80"/>
      <c r="E157" s="80"/>
      <c r="F157" s="80"/>
      <c r="G157" s="80"/>
      <c r="H157" s="80"/>
      <c r="I157" s="80"/>
      <c r="J157" s="80"/>
      <c r="K157" s="83"/>
      <c r="L157" s="80"/>
      <c r="M157" s="80"/>
      <c r="N157" s="80"/>
      <c r="O157" s="80"/>
    </row>
    <row r="158" spans="3:15" s="8" customFormat="1" outlineLevel="1" x14ac:dyDescent="0.2">
      <c r="C158" s="80"/>
      <c r="D158" s="80"/>
      <c r="E158" s="80"/>
      <c r="F158" s="80"/>
      <c r="G158" s="80"/>
      <c r="H158" s="80"/>
      <c r="I158" s="80"/>
      <c r="J158" s="80"/>
      <c r="K158" s="83"/>
      <c r="L158" s="80"/>
      <c r="M158" s="80"/>
      <c r="N158" s="80"/>
      <c r="O158" s="80"/>
    </row>
    <row r="159" spans="3:15" s="8" customFormat="1" outlineLevel="1" x14ac:dyDescent="0.2">
      <c r="C159" s="80"/>
      <c r="D159" s="80"/>
      <c r="E159" s="80"/>
      <c r="F159" s="80"/>
      <c r="G159" s="80"/>
      <c r="H159" s="80"/>
      <c r="I159" s="80"/>
      <c r="J159" s="80"/>
      <c r="K159" s="83"/>
      <c r="L159" s="80"/>
      <c r="M159" s="80"/>
      <c r="N159" s="80"/>
      <c r="O159" s="80"/>
    </row>
    <row r="160" spans="3:15" s="8" customFormat="1" outlineLevel="1" x14ac:dyDescent="0.2">
      <c r="C160" s="80"/>
      <c r="D160" s="10"/>
      <c r="E160" s="80"/>
      <c r="F160" s="17" t="s">
        <v>520</v>
      </c>
      <c r="G160" s="17" t="s">
        <v>521</v>
      </c>
      <c r="H160" s="17" t="s">
        <v>64</v>
      </c>
      <c r="I160" s="17" t="s">
        <v>63</v>
      </c>
      <c r="J160" s="17"/>
      <c r="K160" s="17" t="s">
        <v>522</v>
      </c>
      <c r="L160" s="80"/>
      <c r="M160" s="80"/>
      <c r="N160" s="17"/>
      <c r="O160" s="17" t="s">
        <v>523</v>
      </c>
    </row>
    <row r="161" spans="4:14" s="8" customFormat="1" outlineLevel="1" x14ac:dyDescent="0.2">
      <c r="D161" s="80"/>
      <c r="E161" s="80"/>
      <c r="F161" s="83" t="str">
        <f>IF((COUNTIF($G$163:$G$223,2)+COUNTIF($G$163:$G$223,1)+COUNTIF($G$163:$G$223,0))&lt;&gt;COUNT($G$163:$G$223),"Check","Ok")</f>
        <v>Ok</v>
      </c>
      <c r="G161" s="23" t="s">
        <v>66</v>
      </c>
      <c r="H161" s="23" t="s">
        <v>524</v>
      </c>
      <c r="I161" s="23" t="s">
        <v>524</v>
      </c>
      <c r="J161" s="23"/>
      <c r="K161" s="80"/>
      <c r="L161" s="80"/>
      <c r="M161" s="80"/>
      <c r="N161" s="80"/>
    </row>
    <row r="162" spans="4:14" s="8" customFormat="1" outlineLevel="1" x14ac:dyDescent="0.2">
      <c r="D162" s="10" t="s">
        <v>25</v>
      </c>
      <c r="E162" s="80"/>
      <c r="F162" s="80"/>
      <c r="G162" s="80"/>
      <c r="H162" s="83"/>
      <c r="I162" s="83"/>
      <c r="J162" s="80"/>
      <c r="K162" s="80"/>
      <c r="L162" s="80"/>
      <c r="M162" s="80"/>
      <c r="N162" s="80"/>
    </row>
    <row r="163" spans="4:14" s="8" customFormat="1" outlineLevel="1" x14ac:dyDescent="0.2">
      <c r="D163" s="81" t="s">
        <v>338</v>
      </c>
      <c r="E163" s="80"/>
      <c r="F163" s="80"/>
      <c r="G163" s="450">
        <f>SUM(H163:I163)</f>
        <v>1</v>
      </c>
      <c r="H163" s="501">
        <v>1</v>
      </c>
      <c r="I163" s="501">
        <v>0</v>
      </c>
      <c r="J163" s="83"/>
      <c r="K163" s="157" t="s">
        <v>160</v>
      </c>
      <c r="L163" s="80"/>
      <c r="M163" s="80"/>
      <c r="N163" s="27"/>
    </row>
    <row r="164" spans="4:14" s="8" customFormat="1" outlineLevel="1" x14ac:dyDescent="0.2">
      <c r="D164"/>
      <c r="E164"/>
      <c r="F164"/>
      <c r="G164" s="80"/>
      <c r="H164" s="52"/>
      <c r="I164" s="52"/>
      <c r="J164" s="52"/>
      <c r="K164" s="123"/>
      <c r="L164" s="80"/>
      <c r="M164" s="80"/>
      <c r="N164" s="80"/>
    </row>
    <row r="165" spans="4:14" s="8" customFormat="1" outlineLevel="1" x14ac:dyDescent="0.2">
      <c r="D165" s="10" t="s">
        <v>26</v>
      </c>
      <c r="E165" s="80"/>
      <c r="F165" s="80"/>
      <c r="G165" s="80"/>
      <c r="H165" s="83"/>
      <c r="I165" s="83"/>
      <c r="J165" s="83"/>
      <c r="K165" s="85"/>
      <c r="L165" s="80"/>
      <c r="M165" s="80"/>
      <c r="N165" s="80"/>
    </row>
    <row r="166" spans="4:14" s="8" customFormat="1" outlineLevel="1" x14ac:dyDescent="0.2">
      <c r="D166" s="81" t="s">
        <v>340</v>
      </c>
      <c r="E166" s="80"/>
      <c r="F166" s="80"/>
      <c r="G166" s="450">
        <f>SUM(H166:I166)</f>
        <v>1</v>
      </c>
      <c r="H166" s="501">
        <v>1</v>
      </c>
      <c r="I166" s="501">
        <v>0</v>
      </c>
      <c r="J166" s="83"/>
      <c r="K166" s="157" t="s">
        <v>181</v>
      </c>
      <c r="L166" s="80"/>
      <c r="M166" s="80"/>
      <c r="N166" s="27"/>
    </row>
    <row r="167" spans="4:14" s="8" customFormat="1" outlineLevel="1" x14ac:dyDescent="0.2">
      <c r="D167" s="81"/>
      <c r="E167" s="80"/>
      <c r="F167" s="80"/>
      <c r="G167" s="450"/>
      <c r="H167" s="450"/>
      <c r="I167" s="450"/>
      <c r="J167" s="450"/>
      <c r="K167" s="450"/>
      <c r="L167" s="450"/>
      <c r="M167" s="80"/>
      <c r="N167" s="27"/>
    </row>
    <row r="168" spans="4:14" s="8" customFormat="1" outlineLevel="1" x14ac:dyDescent="0.2">
      <c r="D168" s="10" t="s">
        <v>28</v>
      </c>
      <c r="E168" s="80"/>
      <c r="F168" s="80"/>
      <c r="G168" s="450"/>
      <c r="H168" s="450"/>
      <c r="I168" s="450"/>
      <c r="J168" s="450"/>
      <c r="K168" s="450"/>
      <c r="L168" s="450"/>
      <c r="M168" s="80"/>
      <c r="N168" s="27"/>
    </row>
    <row r="169" spans="4:14" s="8" customFormat="1" outlineLevel="1" x14ac:dyDescent="0.2">
      <c r="D169" s="81" t="s">
        <v>400</v>
      </c>
      <c r="E169" s="80"/>
      <c r="F169" s="80"/>
      <c r="G169" s="450">
        <f>SUM(H169:I169)</f>
        <v>1</v>
      </c>
      <c r="H169" s="501">
        <v>0.3</v>
      </c>
      <c r="I169" s="501">
        <v>0.7</v>
      </c>
      <c r="J169" s="83"/>
      <c r="K169" s="157" t="s">
        <v>28</v>
      </c>
      <c r="L169" s="80"/>
      <c r="M169" s="80"/>
      <c r="N169" s="27"/>
    </row>
    <row r="170" spans="4:14" s="8" customFormat="1" outlineLevel="1" x14ac:dyDescent="0.2">
      <c r="D170" s="85"/>
      <c r="E170" s="80"/>
      <c r="F170" s="80"/>
      <c r="G170" s="80"/>
      <c r="H170" s="450"/>
      <c r="I170" s="450"/>
      <c r="J170" s="83"/>
      <c r="K170" s="85"/>
      <c r="L170" s="80"/>
      <c r="M170" s="80"/>
      <c r="N170" s="80"/>
    </row>
    <row r="171" spans="4:14" s="8" customFormat="1" outlineLevel="1" x14ac:dyDescent="0.2">
      <c r="D171" s="10" t="s">
        <v>249</v>
      </c>
      <c r="E171" s="80"/>
      <c r="F171" s="80"/>
      <c r="G171" s="80"/>
      <c r="H171" s="450"/>
      <c r="I171" s="450"/>
      <c r="J171" s="83"/>
      <c r="K171" s="85"/>
      <c r="L171" s="80"/>
      <c r="M171" s="80"/>
      <c r="N171" s="80"/>
    </row>
    <row r="172" spans="4:14" s="8" customFormat="1" outlineLevel="1" x14ac:dyDescent="0.2">
      <c r="D172" s="66" t="s">
        <v>374</v>
      </c>
      <c r="E172" s="80"/>
      <c r="F172" s="80"/>
      <c r="G172" s="450">
        <f>SUM(H172:I172)</f>
        <v>0</v>
      </c>
      <c r="H172" s="501">
        <v>1</v>
      </c>
      <c r="I172" s="501">
        <v>-1</v>
      </c>
      <c r="J172" s="83"/>
      <c r="K172" s="157" t="s">
        <v>182</v>
      </c>
      <c r="L172" s="80"/>
      <c r="M172" s="80"/>
      <c r="N172" s="27"/>
    </row>
    <row r="173" spans="4:14" s="8" customFormat="1" outlineLevel="1" x14ac:dyDescent="0.2">
      <c r="D173"/>
      <c r="E173"/>
      <c r="F173"/>
      <c r="G173" s="80"/>
      <c r="H173" s="154"/>
      <c r="I173" s="154"/>
      <c r="J173" s="52"/>
      <c r="K173" s="123"/>
      <c r="L173" s="80"/>
      <c r="M173" s="80"/>
      <c r="N173" s="80"/>
    </row>
    <row r="174" spans="4:14" s="8" customFormat="1" outlineLevel="1" x14ac:dyDescent="0.2">
      <c r="D174" s="10" t="s">
        <v>250</v>
      </c>
      <c r="E174" s="80"/>
      <c r="F174" s="80"/>
      <c r="G174" s="80"/>
      <c r="H174" s="450"/>
      <c r="I174" s="450"/>
      <c r="J174" s="83"/>
      <c r="K174" s="85"/>
      <c r="L174" s="80"/>
      <c r="M174" s="80"/>
      <c r="N174" s="80"/>
    </row>
    <row r="175" spans="4:14" s="8" customFormat="1" outlineLevel="1" x14ac:dyDescent="0.2">
      <c r="D175" s="66" t="s">
        <v>379</v>
      </c>
      <c r="E175" s="80"/>
      <c r="F175" s="80"/>
      <c r="G175" s="450">
        <f>SUM(H175:I175)</f>
        <v>0</v>
      </c>
      <c r="H175" s="501">
        <v>1</v>
      </c>
      <c r="I175" s="501">
        <v>-1</v>
      </c>
      <c r="J175" s="83"/>
      <c r="K175" s="157" t="s">
        <v>182</v>
      </c>
      <c r="L175" s="80"/>
      <c r="M175" s="80"/>
      <c r="N175" s="27"/>
    </row>
    <row r="176" spans="4:14" s="8" customFormat="1" outlineLevel="1" x14ac:dyDescent="0.2">
      <c r="D176"/>
      <c r="E176"/>
      <c r="F176"/>
      <c r="G176" s="80"/>
      <c r="H176" s="154"/>
      <c r="I176" s="154"/>
      <c r="J176" s="52"/>
      <c r="K176" s="123"/>
      <c r="L176" s="80"/>
      <c r="M176" s="80"/>
      <c r="N176" s="80"/>
    </row>
    <row r="177" spans="4:16" s="8" customFormat="1" outlineLevel="1" x14ac:dyDescent="0.2">
      <c r="D177" s="10" t="s">
        <v>251</v>
      </c>
      <c r="E177"/>
      <c r="F177"/>
      <c r="G177" s="80"/>
      <c r="H177" s="154"/>
      <c r="I177" s="154"/>
      <c r="J177" s="52"/>
      <c r="K177" s="123"/>
      <c r="L177" s="80"/>
      <c r="M177" s="80"/>
      <c r="N177" s="80"/>
      <c r="O177" s="80"/>
      <c r="P177" s="80"/>
    </row>
    <row r="178" spans="4:16" s="8" customFormat="1" outlineLevel="1" x14ac:dyDescent="0.2">
      <c r="D178" s="81" t="s">
        <v>401</v>
      </c>
      <c r="E178" s="473"/>
      <c r="F178" s="473"/>
      <c r="G178" s="450">
        <f>SUM(H178:I178)</f>
        <v>0</v>
      </c>
      <c r="H178" s="501">
        <v>1</v>
      </c>
      <c r="I178" s="501">
        <v>-1</v>
      </c>
      <c r="J178" s="83"/>
      <c r="K178" s="157" t="s">
        <v>182</v>
      </c>
      <c r="L178" s="80"/>
      <c r="M178" s="80"/>
      <c r="N178" s="27"/>
      <c r="O178" s="80"/>
      <c r="P178" s="80"/>
    </row>
    <row r="179" spans="4:16" s="8" customFormat="1" outlineLevel="1" x14ac:dyDescent="0.2">
      <c r="D179"/>
      <c r="E179"/>
      <c r="F179"/>
      <c r="G179" s="80"/>
      <c r="H179" s="154"/>
      <c r="I179" s="154"/>
      <c r="J179" s="52"/>
      <c r="K179" s="123"/>
      <c r="L179" s="80"/>
      <c r="M179" s="80"/>
      <c r="N179" s="80"/>
      <c r="O179" s="80"/>
      <c r="P179" s="80"/>
    </row>
    <row r="180" spans="4:16" s="8" customFormat="1" outlineLevel="1" x14ac:dyDescent="0.2">
      <c r="D180" s="10" t="s">
        <v>30</v>
      </c>
      <c r="E180" s="80"/>
      <c r="F180" s="80"/>
      <c r="G180" s="80"/>
      <c r="H180" s="450"/>
      <c r="I180" s="450"/>
      <c r="J180" s="83"/>
      <c r="K180" s="85"/>
      <c r="L180" s="80"/>
      <c r="M180" s="80"/>
      <c r="N180" s="80"/>
      <c r="O180" s="80"/>
      <c r="P180" s="80"/>
    </row>
    <row r="181" spans="4:16" s="8" customFormat="1" outlineLevel="1" x14ac:dyDescent="0.2">
      <c r="D181" s="81" t="s">
        <v>126</v>
      </c>
      <c r="E181" s="80"/>
      <c r="F181" s="80"/>
      <c r="G181" s="450">
        <f>SUM(H181:I181)</f>
        <v>1</v>
      </c>
      <c r="H181" s="501">
        <v>1</v>
      </c>
      <c r="I181" s="501">
        <v>0</v>
      </c>
      <c r="J181" s="83"/>
      <c r="K181" s="157" t="s">
        <v>182</v>
      </c>
      <c r="L181" s="80"/>
      <c r="M181" s="80"/>
      <c r="N181" s="27"/>
      <c r="O181" s="80"/>
      <c r="P181" s="80"/>
    </row>
    <row r="182" spans="4:16" s="8" customFormat="1" outlineLevel="1" x14ac:dyDescent="0.2">
      <c r="D182"/>
      <c r="E182"/>
      <c r="F182"/>
      <c r="G182" s="80"/>
      <c r="H182" s="154"/>
      <c r="I182" s="154"/>
      <c r="J182" s="52"/>
      <c r="K182" s="123"/>
      <c r="L182" s="80"/>
      <c r="M182" s="80"/>
      <c r="N182" s="80"/>
      <c r="O182" s="80"/>
      <c r="P182" s="80"/>
    </row>
    <row r="183" spans="4:16" s="8" customFormat="1" outlineLevel="1" x14ac:dyDescent="0.2">
      <c r="D183" s="10" t="s">
        <v>31</v>
      </c>
      <c r="E183" s="80"/>
      <c r="F183" s="80"/>
      <c r="G183" s="80"/>
      <c r="H183" s="450"/>
      <c r="I183" s="450"/>
      <c r="J183" s="83"/>
      <c r="K183" s="85"/>
      <c r="L183" s="80"/>
      <c r="M183" s="80"/>
      <c r="N183" s="80"/>
      <c r="O183" s="80"/>
      <c r="P183" s="80"/>
    </row>
    <row r="184" spans="4:16" s="8" customFormat="1" outlineLevel="1" x14ac:dyDescent="0.2">
      <c r="D184" s="66" t="s">
        <v>384</v>
      </c>
      <c r="E184" s="80"/>
      <c r="F184" s="80"/>
      <c r="G184" s="450">
        <f>SUM(H184:I184)</f>
        <v>1</v>
      </c>
      <c r="H184" s="501">
        <v>0</v>
      </c>
      <c r="I184" s="501">
        <v>1</v>
      </c>
      <c r="J184" s="83"/>
      <c r="K184" s="155" t="s">
        <v>31</v>
      </c>
      <c r="L184" s="80"/>
      <c r="M184" s="80"/>
      <c r="N184" s="27"/>
      <c r="O184" s="80"/>
      <c r="P184" s="80"/>
    </row>
    <row r="185" spans="4:16" s="8" customFormat="1" outlineLevel="1" x14ac:dyDescent="0.2">
      <c r="D185" s="66" t="s">
        <v>248</v>
      </c>
      <c r="E185" s="80"/>
      <c r="F185" s="80"/>
      <c r="G185" s="450">
        <f>SUM(H185:I185)</f>
        <v>1</v>
      </c>
      <c r="H185" s="501">
        <v>1</v>
      </c>
      <c r="I185" s="501">
        <v>0</v>
      </c>
      <c r="J185" s="83"/>
      <c r="K185" s="155" t="s">
        <v>31</v>
      </c>
      <c r="L185" s="80"/>
      <c r="M185" s="80"/>
      <c r="N185" s="80"/>
      <c r="O185" s="80"/>
      <c r="P185" s="80"/>
    </row>
    <row r="186" spans="4:16" s="8" customFormat="1" outlineLevel="1" x14ac:dyDescent="0.2">
      <c r="D186"/>
      <c r="E186"/>
      <c r="F186"/>
      <c r="G186" s="80"/>
      <c r="H186" s="154"/>
      <c r="I186" s="154"/>
      <c r="J186" s="52"/>
      <c r="K186" s="123"/>
      <c r="L186" s="80"/>
      <c r="M186" s="80"/>
      <c r="N186" s="80"/>
      <c r="O186" s="80"/>
      <c r="P186" s="80"/>
    </row>
    <row r="187" spans="4:16" s="8" customFormat="1" outlineLevel="1" x14ac:dyDescent="0.2">
      <c r="D187" s="10" t="s">
        <v>32</v>
      </c>
      <c r="E187"/>
      <c r="F187"/>
      <c r="G187" s="80"/>
      <c r="H187" s="154"/>
      <c r="I187" s="154"/>
      <c r="J187" s="52"/>
      <c r="K187" s="123"/>
      <c r="L187" s="80"/>
      <c r="M187" s="80"/>
      <c r="N187" s="80"/>
      <c r="O187" s="80"/>
      <c r="P187" s="80"/>
    </row>
    <row r="188" spans="4:16" s="8" customFormat="1" outlineLevel="1" x14ac:dyDescent="0.2">
      <c r="D188" s="66" t="s">
        <v>385</v>
      </c>
      <c r="E188"/>
      <c r="F188"/>
      <c r="G188" s="450">
        <f>SUM(H188:I188)</f>
        <v>1</v>
      </c>
      <c r="H188" s="501">
        <v>0.21</v>
      </c>
      <c r="I188" s="501">
        <f>1-H188</f>
        <v>0.79</v>
      </c>
      <c r="J188" s="52"/>
      <c r="K188" s="157" t="s">
        <v>32</v>
      </c>
      <c r="L188" s="80"/>
      <c r="M188" s="80"/>
      <c r="N188" s="80"/>
      <c r="O188" s="80"/>
      <c r="P188" s="80"/>
    </row>
    <row r="189" spans="4:16" s="8" customFormat="1" outlineLevel="1" x14ac:dyDescent="0.2">
      <c r="D189"/>
      <c r="E189"/>
      <c r="F189"/>
      <c r="G189" s="80"/>
      <c r="H189" s="154"/>
      <c r="I189" s="154"/>
      <c r="J189" s="52"/>
      <c r="K189" s="123"/>
      <c r="L189" s="80"/>
      <c r="M189" s="80"/>
      <c r="N189" s="80"/>
      <c r="O189" s="80"/>
      <c r="P189" s="80"/>
    </row>
    <row r="190" spans="4:16" s="8" customFormat="1" outlineLevel="1" x14ac:dyDescent="0.2">
      <c r="D190" s="32" t="s">
        <v>121</v>
      </c>
      <c r="E190" s="80"/>
      <c r="F190" s="80"/>
      <c r="G190" s="80"/>
      <c r="H190" s="450"/>
      <c r="I190" s="450"/>
      <c r="J190" s="83"/>
      <c r="K190" s="85"/>
      <c r="L190" s="80"/>
      <c r="M190" s="80"/>
      <c r="N190" s="80"/>
      <c r="O190" s="80"/>
      <c r="P190" s="80"/>
    </row>
    <row r="191" spans="4:16" s="8" customFormat="1" outlineLevel="1" x14ac:dyDescent="0.2">
      <c r="D191" s="81" t="s">
        <v>122</v>
      </c>
      <c r="E191" s="80"/>
      <c r="F191" s="80"/>
      <c r="G191" s="450">
        <f>SUM(H191:I191)</f>
        <v>0</v>
      </c>
      <c r="H191" s="501">
        <v>1</v>
      </c>
      <c r="I191" s="501">
        <v>-1</v>
      </c>
      <c r="J191" s="83"/>
      <c r="K191" s="157" t="s">
        <v>122</v>
      </c>
      <c r="L191" s="80"/>
      <c r="M191" s="80"/>
      <c r="N191" s="80"/>
      <c r="O191" s="80"/>
      <c r="P191" s="66"/>
    </row>
    <row r="192" spans="4:16" s="8" customFormat="1" outlineLevel="1" x14ac:dyDescent="0.2">
      <c r="D192" s="66" t="s">
        <v>525</v>
      </c>
      <c r="E192" s="80"/>
      <c r="F192" s="80"/>
      <c r="G192" s="450">
        <f>SUM(H192:I192)</f>
        <v>1</v>
      </c>
      <c r="H192" s="501">
        <v>0</v>
      </c>
      <c r="I192" s="501">
        <v>1</v>
      </c>
      <c r="J192" s="83"/>
      <c r="K192" s="157" t="s">
        <v>54</v>
      </c>
      <c r="L192" s="80"/>
      <c r="M192" s="80"/>
      <c r="N192" s="80"/>
      <c r="O192" s="80"/>
      <c r="P192" s="66"/>
    </row>
    <row r="193" spans="4:68" s="8" customFormat="1" outlineLevel="1" x14ac:dyDescent="0.2">
      <c r="D193" s="81" t="s">
        <v>203</v>
      </c>
      <c r="E193" s="80"/>
      <c r="F193" s="80"/>
      <c r="G193" s="450">
        <f>SUM(H193:I193)</f>
        <v>2</v>
      </c>
      <c r="H193" s="501">
        <v>1</v>
      </c>
      <c r="I193" s="501">
        <v>1</v>
      </c>
      <c r="J193" s="83"/>
      <c r="K193" s="157" t="s">
        <v>203</v>
      </c>
      <c r="L193" s="80"/>
      <c r="M193" s="80"/>
      <c r="N193" s="80"/>
      <c r="O193" s="52">
        <f>COUNTIF(EBSS_CESS!C35:M35,"Shareholder")</f>
        <v>6</v>
      </c>
      <c r="P193" s="66" t="s">
        <v>526</v>
      </c>
      <c r="Q193" s="80"/>
      <c r="R193" s="80"/>
      <c r="S193" s="80"/>
      <c r="T193" s="80"/>
      <c r="U193" s="80"/>
      <c r="V193" s="80"/>
      <c r="W193" s="80"/>
      <c r="X193" s="80"/>
      <c r="Y193" s="80"/>
      <c r="Z193" s="80"/>
      <c r="AA193" s="80"/>
      <c r="AB193" s="80"/>
      <c r="AC193" s="80"/>
      <c r="AD193" s="80"/>
      <c r="AE193" s="80"/>
      <c r="AF193" s="80"/>
      <c r="AG193" s="80"/>
      <c r="AH193" s="80"/>
      <c r="AI193" s="80"/>
      <c r="AJ193" s="80"/>
      <c r="AK193" s="80"/>
      <c r="AL193" s="80"/>
      <c r="AM193" s="80"/>
      <c r="AN193" s="80"/>
      <c r="AO193" s="80"/>
      <c r="AP193" s="80"/>
      <c r="AQ193" s="80"/>
      <c r="AR193" s="80"/>
      <c r="AS193" s="80"/>
      <c r="AT193" s="80"/>
      <c r="AU193" s="80"/>
      <c r="AV193" s="80"/>
      <c r="AW193" s="80"/>
      <c r="AX193" s="80"/>
      <c r="AY193" s="80"/>
      <c r="AZ193" s="80"/>
      <c r="BA193" s="80"/>
      <c r="BB193" s="80"/>
      <c r="BC193" s="80"/>
      <c r="BD193" s="80"/>
      <c r="BE193" s="80"/>
      <c r="BF193" s="80"/>
      <c r="BG193" s="80"/>
      <c r="BH193" s="80"/>
      <c r="BI193" s="80"/>
      <c r="BJ193" s="80"/>
      <c r="BK193" s="80"/>
      <c r="BL193" s="80"/>
      <c r="BM193" s="80"/>
      <c r="BN193" s="80"/>
      <c r="BO193" s="80"/>
      <c r="BP193" s="80"/>
    </row>
    <row r="194" spans="4:68" s="8" customFormat="1" outlineLevel="1" x14ac:dyDescent="0.2">
      <c r="D194" s="81" t="s">
        <v>204</v>
      </c>
      <c r="E194" s="80"/>
      <c r="F194" s="80"/>
      <c r="G194" s="450">
        <f>SUM(H194:I194)</f>
        <v>2</v>
      </c>
      <c r="H194" s="501">
        <v>1</v>
      </c>
      <c r="I194" s="501">
        <v>1</v>
      </c>
      <c r="J194" s="52"/>
      <c r="K194" s="157" t="s">
        <v>204</v>
      </c>
      <c r="L194" s="80"/>
      <c r="M194" s="80"/>
      <c r="N194" s="80"/>
      <c r="O194" s="80"/>
      <c r="P194" s="80"/>
      <c r="Q194" s="80"/>
      <c r="R194" s="80"/>
      <c r="S194" s="80"/>
      <c r="T194" s="80"/>
      <c r="U194" s="80"/>
      <c r="V194" s="80"/>
      <c r="W194" s="80"/>
      <c r="X194" s="80"/>
      <c r="Y194" s="80"/>
      <c r="Z194" s="80"/>
      <c r="AA194" s="80"/>
      <c r="AB194" s="80"/>
      <c r="AC194" s="80"/>
      <c r="AD194" s="80"/>
      <c r="AE194" s="80"/>
      <c r="AF194" s="80"/>
      <c r="AG194" s="80"/>
      <c r="AH194" s="80"/>
      <c r="AI194" s="80"/>
      <c r="AJ194" s="80"/>
      <c r="AK194" s="80"/>
      <c r="AL194" s="80"/>
      <c r="AM194" s="80"/>
      <c r="AN194" s="80"/>
      <c r="AO194" s="80"/>
      <c r="AP194" s="80"/>
      <c r="AQ194" s="80"/>
      <c r="AR194" s="80"/>
      <c r="AS194" s="80"/>
      <c r="AT194" s="80"/>
      <c r="AU194" s="80"/>
      <c r="AV194" s="80"/>
      <c r="AW194" s="80"/>
      <c r="AX194" s="80"/>
      <c r="AY194" s="80"/>
      <c r="AZ194" s="80"/>
      <c r="BA194" s="80"/>
      <c r="BB194" s="80"/>
      <c r="BC194" s="80"/>
      <c r="BD194" s="80"/>
      <c r="BE194" s="80"/>
      <c r="BF194" s="80"/>
      <c r="BG194" s="80"/>
      <c r="BH194" s="80"/>
      <c r="BI194" s="80"/>
      <c r="BJ194" s="80"/>
      <c r="BK194" s="80"/>
      <c r="BL194" s="80"/>
      <c r="BM194" s="80"/>
      <c r="BN194" s="80"/>
      <c r="BO194" s="80"/>
      <c r="BP194" s="80"/>
    </row>
    <row r="195" spans="4:68" s="8" customFormat="1" outlineLevel="1" x14ac:dyDescent="0.2">
      <c r="D195" s="81" t="s">
        <v>124</v>
      </c>
      <c r="E195" s="80"/>
      <c r="F195" s="80"/>
      <c r="G195" s="450">
        <f>SUM(H195:I195)</f>
        <v>0</v>
      </c>
      <c r="H195" s="501">
        <v>1</v>
      </c>
      <c r="I195" s="501">
        <v>-1</v>
      </c>
      <c r="J195" s="52"/>
      <c r="K195" s="157" t="s">
        <v>124</v>
      </c>
      <c r="L195" s="80"/>
      <c r="M195" s="80"/>
      <c r="N195" s="80"/>
      <c r="O195" s="80"/>
      <c r="P195" s="80"/>
      <c r="Q195" s="80"/>
      <c r="R195" s="80"/>
      <c r="S195" s="80"/>
      <c r="T195" s="80"/>
      <c r="U195" s="80"/>
      <c r="V195" s="80"/>
      <c r="W195" s="80"/>
      <c r="X195" s="80"/>
      <c r="Y195" s="80"/>
      <c r="Z195" s="80"/>
      <c r="AA195" s="80"/>
      <c r="AB195" s="80"/>
      <c r="AC195" s="80"/>
      <c r="AD195" s="80"/>
      <c r="AE195" s="80"/>
      <c r="AF195" s="80"/>
      <c r="AG195" s="80"/>
      <c r="AH195" s="80"/>
      <c r="AI195" s="80"/>
      <c r="AJ195" s="80"/>
      <c r="AK195" s="80"/>
      <c r="AL195" s="80"/>
      <c r="AM195" s="80"/>
      <c r="AN195" s="80"/>
      <c r="AO195" s="80"/>
      <c r="AP195" s="80"/>
      <c r="AQ195" s="80"/>
      <c r="AR195" s="80"/>
      <c r="AS195" s="80"/>
      <c r="AT195" s="80"/>
      <c r="AU195" s="80"/>
      <c r="AV195" s="80"/>
      <c r="AW195" s="80"/>
      <c r="AX195" s="80"/>
      <c r="AY195" s="80"/>
      <c r="AZ195" s="80"/>
      <c r="BA195" s="80"/>
      <c r="BB195" s="80"/>
      <c r="BC195" s="80"/>
      <c r="BD195" s="80"/>
      <c r="BE195" s="80"/>
      <c r="BF195" s="80"/>
      <c r="BG195" s="80"/>
      <c r="BH195" s="80"/>
      <c r="BI195" s="80"/>
      <c r="BJ195" s="80"/>
      <c r="BK195" s="80"/>
      <c r="BL195" s="80"/>
      <c r="BM195" s="80"/>
      <c r="BN195" s="80"/>
      <c r="BO195" s="80"/>
      <c r="BP195" s="80"/>
    </row>
    <row r="196" spans="4:68" s="8" customFormat="1" outlineLevel="1" x14ac:dyDescent="0.2">
      <c r="D196" s="81"/>
      <c r="E196" s="80"/>
      <c r="F196" s="80"/>
      <c r="G196" s="80"/>
      <c r="H196" s="450"/>
      <c r="I196" s="450"/>
      <c r="J196" s="83"/>
      <c r="K196" s="85"/>
      <c r="L196" s="80"/>
      <c r="M196" s="80"/>
      <c r="N196" s="80"/>
      <c r="O196" s="80"/>
      <c r="P196" s="80"/>
      <c r="Q196" s="80"/>
      <c r="R196" s="80"/>
      <c r="S196" s="80"/>
      <c r="T196" s="80"/>
      <c r="U196" s="80"/>
      <c r="V196" s="80"/>
      <c r="W196" s="80"/>
      <c r="X196" s="80"/>
      <c r="Y196" s="80"/>
      <c r="Z196" s="80"/>
      <c r="AA196" s="80"/>
      <c r="AB196" s="80"/>
      <c r="AC196" s="80"/>
      <c r="AD196" s="80"/>
      <c r="AE196" s="80"/>
      <c r="AF196" s="80"/>
      <c r="AG196" s="80"/>
      <c r="AH196" s="80"/>
      <c r="AI196" s="80"/>
      <c r="AJ196" s="80"/>
      <c r="AK196" s="80"/>
      <c r="AL196" s="80"/>
      <c r="AM196" s="80"/>
      <c r="AN196" s="80"/>
      <c r="AO196" s="80"/>
      <c r="AP196" s="80"/>
      <c r="AQ196" s="80"/>
      <c r="AR196" s="80"/>
      <c r="AS196" s="80"/>
      <c r="AT196" s="80"/>
      <c r="AU196" s="80"/>
      <c r="AV196" s="80"/>
      <c r="AW196" s="80"/>
      <c r="AX196" s="80"/>
      <c r="AY196" s="80"/>
      <c r="AZ196" s="80"/>
      <c r="BA196" s="80"/>
      <c r="BB196" s="80"/>
      <c r="BC196" s="80"/>
      <c r="BD196" s="80"/>
      <c r="BE196" s="80"/>
      <c r="BF196" s="80"/>
      <c r="BG196" s="80"/>
      <c r="BH196" s="80"/>
      <c r="BI196" s="80"/>
      <c r="BJ196" s="80"/>
      <c r="BK196" s="80"/>
      <c r="BL196" s="80"/>
      <c r="BM196" s="80"/>
      <c r="BN196" s="80"/>
      <c r="BO196" s="80"/>
      <c r="BP196" s="80"/>
    </row>
    <row r="197" spans="4:68" s="8" customFormat="1" outlineLevel="1" x14ac:dyDescent="0.2">
      <c r="D197" s="32" t="s">
        <v>140</v>
      </c>
      <c r="E197" s="80"/>
      <c r="F197" s="80"/>
      <c r="G197" s="80"/>
      <c r="H197" s="450"/>
      <c r="I197" s="450"/>
      <c r="J197" s="83"/>
      <c r="K197" s="85"/>
      <c r="L197" s="80"/>
      <c r="M197" s="80"/>
      <c r="N197" s="80"/>
      <c r="O197" s="80"/>
      <c r="P197" s="80"/>
      <c r="Q197" s="80"/>
      <c r="R197" s="80"/>
      <c r="S197" s="80"/>
      <c r="T197" s="80"/>
      <c r="U197" s="80"/>
      <c r="V197" s="80"/>
      <c r="W197" s="80"/>
      <c r="X197" s="80"/>
      <c r="Y197" s="80"/>
      <c r="Z197" s="80"/>
      <c r="AA197" s="80"/>
      <c r="AB197" s="80"/>
      <c r="AC197" s="80"/>
      <c r="AD197" s="80"/>
      <c r="AE197" s="80"/>
      <c r="AF197" s="80"/>
      <c r="AG197" s="80"/>
      <c r="AH197" s="80"/>
      <c r="AI197" s="80"/>
      <c r="AJ197" s="80"/>
      <c r="AK197" s="80"/>
      <c r="AL197" s="80"/>
      <c r="AM197" s="80"/>
      <c r="AN197" s="80"/>
      <c r="AO197" s="80"/>
      <c r="AP197" s="80"/>
      <c r="AQ197" s="80"/>
      <c r="AR197" s="80"/>
      <c r="AS197" s="80"/>
      <c r="AT197" s="80"/>
      <c r="AU197" s="80"/>
      <c r="AV197" s="80"/>
      <c r="AW197" s="80"/>
      <c r="AX197" s="80"/>
      <c r="AY197" s="80"/>
      <c r="AZ197" s="80"/>
      <c r="BA197" s="80"/>
      <c r="BB197" s="80"/>
      <c r="BC197" s="80"/>
      <c r="BD197" s="80"/>
      <c r="BE197" s="80"/>
      <c r="BF197" s="80"/>
      <c r="BG197" s="80"/>
      <c r="BH197" s="80"/>
      <c r="BI197" s="80"/>
      <c r="BJ197" s="80"/>
      <c r="BK197" s="80"/>
      <c r="BL197" s="80"/>
      <c r="BM197" s="80"/>
      <c r="BN197" s="80"/>
      <c r="BO197" s="80"/>
      <c r="BP197" s="80"/>
    </row>
    <row r="198" spans="4:68" s="8" customFormat="1" outlineLevel="1" x14ac:dyDescent="0.2">
      <c r="D198" s="81" t="s">
        <v>35</v>
      </c>
      <c r="E198" s="80"/>
      <c r="F198" s="80"/>
      <c r="G198" s="450">
        <f t="shared" ref="G198:G223" si="63">SUM(H198:I198)</f>
        <v>1</v>
      </c>
      <c r="H198" s="501">
        <v>0</v>
      </c>
      <c r="I198" s="156">
        <v>1</v>
      </c>
      <c r="J198" s="83"/>
      <c r="K198" s="157" t="s">
        <v>35</v>
      </c>
      <c r="L198" s="80"/>
      <c r="M198" s="80"/>
      <c r="N198" s="80"/>
      <c r="O198" s="80"/>
      <c r="P198" s="80"/>
      <c r="Q198" s="80"/>
      <c r="R198" s="80"/>
      <c r="S198" s="80"/>
      <c r="T198" s="80"/>
      <c r="U198" s="80"/>
      <c r="V198" s="80"/>
      <c r="W198" s="80"/>
      <c r="X198" s="80"/>
      <c r="Y198" s="80"/>
      <c r="Z198" s="80"/>
      <c r="AA198" s="80"/>
      <c r="AB198" s="80"/>
      <c r="AC198" s="80"/>
      <c r="AD198" s="80"/>
      <c r="AE198" s="80"/>
      <c r="AF198" s="80"/>
      <c r="AG198" s="80"/>
      <c r="AH198" s="80"/>
      <c r="AI198" s="80"/>
      <c r="AJ198" s="80"/>
      <c r="AK198" s="80"/>
      <c r="AL198" s="80"/>
      <c r="AM198" s="80"/>
      <c r="AN198" s="80"/>
      <c r="AO198" s="80"/>
      <c r="AP198" s="80"/>
      <c r="AQ198" s="80"/>
      <c r="AR198" s="80"/>
      <c r="AS198" s="80"/>
      <c r="AT198" s="80"/>
      <c r="AU198" s="80"/>
      <c r="AV198" s="80"/>
      <c r="AW198" s="80"/>
      <c r="AX198" s="80"/>
      <c r="AY198" s="80"/>
      <c r="AZ198" s="80"/>
      <c r="BA198" s="80"/>
      <c r="BB198" s="80"/>
      <c r="BC198" s="80"/>
      <c r="BD198" s="80"/>
      <c r="BE198" s="80"/>
      <c r="BF198" s="80"/>
      <c r="BG198" s="80"/>
      <c r="BH198" s="80"/>
      <c r="BI198" s="80"/>
      <c r="BJ198" s="80"/>
      <c r="BK198" s="80"/>
      <c r="BL198" s="80"/>
      <c r="BM198" s="80"/>
      <c r="BN198" s="80"/>
      <c r="BO198" s="80"/>
      <c r="BP198" s="80"/>
    </row>
    <row r="199" spans="4:68" s="8" customFormat="1" outlineLevel="1" x14ac:dyDescent="0.2">
      <c r="D199" s="81" t="s">
        <v>36</v>
      </c>
      <c r="E199" s="80"/>
      <c r="F199" s="80"/>
      <c r="G199" s="450">
        <f t="shared" si="63"/>
        <v>1</v>
      </c>
      <c r="H199" s="501">
        <v>0</v>
      </c>
      <c r="I199" s="156">
        <v>1</v>
      </c>
      <c r="J199" s="83"/>
      <c r="K199" s="157" t="s">
        <v>36</v>
      </c>
      <c r="L199" s="80"/>
      <c r="M199" s="80"/>
      <c r="N199" s="80"/>
      <c r="O199" s="80"/>
      <c r="P199" s="80"/>
      <c r="Q199" s="80"/>
      <c r="R199" s="80"/>
      <c r="S199" s="80"/>
      <c r="T199" s="80"/>
      <c r="U199" s="80"/>
      <c r="V199" s="80"/>
      <c r="W199" s="80"/>
      <c r="X199" s="80"/>
      <c r="Y199" s="80"/>
      <c r="Z199" s="80"/>
      <c r="AA199" s="80"/>
      <c r="AB199" s="80"/>
      <c r="AC199" s="80"/>
      <c r="AD199" s="80"/>
      <c r="AE199" s="80"/>
      <c r="AF199" s="80"/>
      <c r="AG199" s="80"/>
      <c r="AH199" s="80"/>
      <c r="AI199" s="80"/>
      <c r="AJ199" s="80"/>
      <c r="AK199" s="80"/>
      <c r="AL199" s="80"/>
      <c r="AM199" s="80"/>
      <c r="AN199" s="80"/>
      <c r="AO199" s="80"/>
      <c r="AP199" s="80"/>
      <c r="AQ199" s="80"/>
      <c r="AR199" s="80"/>
      <c r="AS199" s="80"/>
      <c r="AT199" s="80"/>
      <c r="AU199" s="80"/>
      <c r="AV199" s="80"/>
      <c r="AW199" s="80"/>
      <c r="AX199" s="80"/>
      <c r="AY199" s="80"/>
      <c r="AZ199" s="80"/>
      <c r="BA199" s="80"/>
      <c r="BB199" s="80"/>
      <c r="BC199" s="80"/>
      <c r="BD199" s="80"/>
      <c r="BE199" s="80"/>
      <c r="BF199" s="80"/>
      <c r="BG199" s="80"/>
      <c r="BH199" s="80"/>
      <c r="BI199" s="80"/>
      <c r="BJ199" s="80"/>
      <c r="BK199" s="80"/>
      <c r="BL199" s="80"/>
      <c r="BM199" s="80"/>
      <c r="BN199" s="80"/>
      <c r="BO199" s="80"/>
      <c r="BP199" s="80"/>
    </row>
    <row r="200" spans="4:68" s="8" customFormat="1" outlineLevel="1" x14ac:dyDescent="0.2">
      <c r="D200" s="81" t="s">
        <v>37</v>
      </c>
      <c r="E200" s="80"/>
      <c r="F200" s="80"/>
      <c r="G200" s="450">
        <f t="shared" si="63"/>
        <v>1</v>
      </c>
      <c r="H200" s="501">
        <v>0</v>
      </c>
      <c r="I200" s="156">
        <v>1</v>
      </c>
      <c r="J200" s="83"/>
      <c r="K200" s="157" t="s">
        <v>37</v>
      </c>
      <c r="L200" s="80"/>
      <c r="M200" s="80"/>
      <c r="N200" s="80"/>
      <c r="O200" s="80"/>
      <c r="P200" s="80"/>
      <c r="Q200" s="80"/>
      <c r="R200" s="80"/>
      <c r="S200" s="80"/>
      <c r="T200" s="80"/>
      <c r="U200" s="80"/>
      <c r="V200" s="80"/>
      <c r="W200" s="80"/>
      <c r="X200" s="80"/>
      <c r="Y200" s="80"/>
      <c r="Z200" s="80"/>
      <c r="AA200" s="80"/>
      <c r="AB200" s="80"/>
      <c r="AC200" s="80"/>
      <c r="AD200" s="80"/>
      <c r="AE200" s="80"/>
      <c r="AF200" s="80"/>
      <c r="AG200" s="80"/>
      <c r="AH200" s="80"/>
      <c r="AI200" s="80"/>
      <c r="AJ200" s="80"/>
      <c r="AK200" s="80"/>
      <c r="AL200" s="80"/>
      <c r="AM200" s="80"/>
      <c r="AN200" s="80"/>
      <c r="AO200" s="80"/>
      <c r="AP200" s="80"/>
      <c r="AQ200" s="80"/>
      <c r="AR200" s="80"/>
      <c r="AS200" s="80"/>
      <c r="AT200" s="80"/>
      <c r="AU200" s="80"/>
      <c r="AV200" s="80"/>
      <c r="AW200" s="80"/>
      <c r="AX200" s="80"/>
      <c r="AY200" s="80"/>
      <c r="AZ200" s="80"/>
      <c r="BA200" s="80"/>
      <c r="BB200" s="80"/>
      <c r="BC200" s="80"/>
      <c r="BD200" s="80"/>
      <c r="BE200" s="80"/>
      <c r="BF200" s="80"/>
      <c r="BG200" s="80"/>
      <c r="BH200" s="80"/>
      <c r="BI200" s="80"/>
      <c r="BJ200" s="80"/>
      <c r="BK200" s="80"/>
      <c r="BL200" s="80"/>
      <c r="BM200" s="80"/>
      <c r="BN200" s="80"/>
      <c r="BO200" s="80"/>
      <c r="BP200" s="80"/>
    </row>
    <row r="201" spans="4:68" s="8" customFormat="1" outlineLevel="1" x14ac:dyDescent="0.2">
      <c r="D201" s="81" t="s">
        <v>38</v>
      </c>
      <c r="E201" s="80"/>
      <c r="F201" s="80"/>
      <c r="G201" s="450">
        <f t="shared" si="63"/>
        <v>1</v>
      </c>
      <c r="H201" s="501">
        <v>0</v>
      </c>
      <c r="I201" s="156">
        <v>1</v>
      </c>
      <c r="J201" s="83"/>
      <c r="K201" s="155" t="s">
        <v>38</v>
      </c>
      <c r="L201" s="80"/>
      <c r="M201" s="80"/>
      <c r="N201" s="80"/>
      <c r="O201" s="80"/>
      <c r="P201" s="80"/>
      <c r="Q201" s="80"/>
      <c r="R201" s="80"/>
      <c r="S201" s="80"/>
      <c r="T201" s="80"/>
      <c r="U201" s="80"/>
      <c r="V201" s="80"/>
      <c r="W201" s="80"/>
      <c r="X201" s="80"/>
      <c r="Y201" s="80"/>
      <c r="Z201" s="80"/>
      <c r="AA201" s="80"/>
      <c r="AB201" s="80"/>
      <c r="AC201" s="80"/>
      <c r="AD201" s="80"/>
      <c r="AE201" s="80"/>
      <c r="AF201" s="80"/>
      <c r="AG201" s="80"/>
      <c r="AH201" s="80"/>
      <c r="AI201" s="80"/>
      <c r="AJ201" s="80"/>
      <c r="AK201" s="80"/>
      <c r="AL201" s="80"/>
      <c r="AM201" s="80"/>
      <c r="AN201" s="80"/>
      <c r="AO201" s="80"/>
      <c r="AP201" s="80"/>
      <c r="AQ201" s="80"/>
      <c r="AR201" s="80"/>
      <c r="AS201" s="80"/>
      <c r="AT201" s="80"/>
      <c r="AU201" s="80"/>
      <c r="AV201" s="80"/>
      <c r="AW201" s="80"/>
      <c r="AX201" s="80"/>
      <c r="AY201" s="80"/>
      <c r="AZ201" s="80"/>
      <c r="BA201" s="80"/>
      <c r="BB201" s="80"/>
      <c r="BC201" s="80"/>
      <c r="BD201" s="80"/>
      <c r="BE201" s="80"/>
      <c r="BF201" s="80"/>
      <c r="BG201" s="80"/>
      <c r="BH201" s="80"/>
      <c r="BI201" s="80"/>
      <c r="BJ201" s="80"/>
      <c r="BK201" s="80"/>
      <c r="BL201" s="80"/>
      <c r="BM201" s="80"/>
      <c r="BN201" s="80"/>
      <c r="BO201" s="80"/>
      <c r="BP201" s="80"/>
    </row>
    <row r="202" spans="4:68" s="8" customFormat="1" outlineLevel="1" x14ac:dyDescent="0.2">
      <c r="D202" s="81" t="s">
        <v>39</v>
      </c>
      <c r="E202" s="80"/>
      <c r="F202" s="80"/>
      <c r="G202" s="450">
        <f t="shared" si="63"/>
        <v>1</v>
      </c>
      <c r="H202" s="501">
        <v>0</v>
      </c>
      <c r="I202" s="156">
        <v>1</v>
      </c>
      <c r="J202" s="83"/>
      <c r="K202" s="155" t="s">
        <v>39</v>
      </c>
      <c r="L202" s="80"/>
      <c r="M202" s="80"/>
      <c r="N202" s="80"/>
      <c r="O202" s="80"/>
      <c r="P202" s="80"/>
      <c r="Q202" s="80"/>
      <c r="R202" s="80"/>
      <c r="S202" s="80"/>
      <c r="T202" s="80"/>
      <c r="U202" s="80"/>
      <c r="V202" s="80"/>
      <c r="W202" s="80"/>
      <c r="X202" s="80"/>
      <c r="Y202" s="80"/>
      <c r="Z202" s="80"/>
      <c r="AA202" s="80"/>
      <c r="AB202" s="80"/>
      <c r="AC202" s="80"/>
      <c r="AD202" s="80"/>
      <c r="AE202" s="80"/>
      <c r="AF202" s="80"/>
      <c r="AG202" s="80"/>
      <c r="AH202" s="80"/>
      <c r="AI202" s="80"/>
      <c r="AJ202" s="80"/>
      <c r="AK202" s="80"/>
      <c r="AL202" s="80"/>
      <c r="AM202" s="80"/>
      <c r="AN202" s="80"/>
      <c r="AO202" s="80"/>
      <c r="AP202" s="80"/>
      <c r="AQ202" s="80"/>
      <c r="AR202" s="80"/>
      <c r="AS202" s="80"/>
      <c r="AT202" s="80"/>
      <c r="AU202" s="80"/>
      <c r="AV202" s="80"/>
      <c r="AW202" s="80"/>
      <c r="AX202" s="80"/>
      <c r="AY202" s="80"/>
      <c r="AZ202" s="80"/>
      <c r="BA202" s="80"/>
      <c r="BB202" s="80"/>
      <c r="BC202" s="80"/>
      <c r="BD202" s="80"/>
      <c r="BE202" s="80"/>
      <c r="BF202" s="80"/>
      <c r="BG202" s="80"/>
      <c r="BH202" s="80"/>
      <c r="BI202" s="80"/>
      <c r="BJ202" s="80"/>
      <c r="BK202" s="80"/>
      <c r="BL202" s="80"/>
      <c r="BM202" s="80"/>
      <c r="BN202" s="80"/>
      <c r="BO202" s="80"/>
      <c r="BP202" s="80"/>
    </row>
    <row r="203" spans="4:68" s="8" customFormat="1" outlineLevel="1" x14ac:dyDescent="0.2">
      <c r="D203" s="81" t="s">
        <v>40</v>
      </c>
      <c r="E203" s="80"/>
      <c r="F203" s="80"/>
      <c r="G203" s="450">
        <f t="shared" si="63"/>
        <v>1</v>
      </c>
      <c r="H203" s="156">
        <v>1</v>
      </c>
      <c r="I203" s="156">
        <v>0</v>
      </c>
      <c r="J203" s="83"/>
      <c r="K203" s="157" t="s">
        <v>40</v>
      </c>
      <c r="L203" s="80"/>
      <c r="M203" s="80"/>
      <c r="N203" s="80"/>
      <c r="O203" s="80"/>
      <c r="P203" s="80"/>
      <c r="Q203" s="80"/>
      <c r="R203" s="80"/>
      <c r="S203" s="80"/>
      <c r="T203" s="80"/>
      <c r="U203" s="80"/>
      <c r="V203" s="80"/>
      <c r="W203" s="80"/>
      <c r="X203" s="80"/>
      <c r="Y203" s="80"/>
      <c r="Z203" s="80"/>
      <c r="AA203" s="80"/>
      <c r="AB203" s="80"/>
      <c r="AC203" s="80"/>
      <c r="AD203" s="80"/>
      <c r="AE203" s="80"/>
      <c r="AF203" s="80"/>
      <c r="AG203" s="80"/>
      <c r="AH203" s="80"/>
      <c r="AI203" s="80"/>
      <c r="AJ203" s="80"/>
      <c r="AK203" s="80"/>
      <c r="AL203" s="80"/>
      <c r="AM203" s="80"/>
      <c r="AN203" s="80"/>
      <c r="AO203" s="80"/>
      <c r="AP203" s="80"/>
      <c r="AQ203" s="80"/>
      <c r="AR203" s="80"/>
      <c r="AS203" s="80"/>
      <c r="AT203" s="80"/>
      <c r="AU203" s="80"/>
      <c r="AV203" s="80"/>
      <c r="AW203" s="80"/>
      <c r="AX203" s="80"/>
      <c r="AY203" s="80"/>
      <c r="AZ203" s="80"/>
      <c r="BA203" s="80"/>
      <c r="BB203" s="80"/>
      <c r="BC203" s="80"/>
      <c r="BD203" s="80"/>
      <c r="BE203" s="80"/>
      <c r="BF203" s="80"/>
      <c r="BG203" s="80"/>
      <c r="BH203" s="80"/>
      <c r="BI203" s="80"/>
      <c r="BJ203" s="80"/>
      <c r="BK203" s="80"/>
      <c r="BL203" s="80"/>
      <c r="BM203" s="80"/>
      <c r="BN203" s="80"/>
      <c r="BO203" s="80"/>
      <c r="BP203" s="80"/>
    </row>
    <row r="204" spans="4:68" s="8" customFormat="1" outlineLevel="1" x14ac:dyDescent="0.2">
      <c r="D204" s="81" t="s">
        <v>41</v>
      </c>
      <c r="E204" s="80"/>
      <c r="F204" s="80"/>
      <c r="G204" s="450">
        <f t="shared" si="63"/>
        <v>1</v>
      </c>
      <c r="H204" s="501">
        <v>0</v>
      </c>
      <c r="I204" s="156">
        <v>1</v>
      </c>
      <c r="J204" s="83"/>
      <c r="K204" s="157" t="s">
        <v>41</v>
      </c>
      <c r="L204" s="80"/>
      <c r="M204" s="80"/>
      <c r="N204" s="80"/>
      <c r="O204" s="80"/>
      <c r="P204" s="80"/>
      <c r="Q204" s="80"/>
      <c r="R204" s="80"/>
      <c r="S204" s="80"/>
      <c r="T204" s="80"/>
      <c r="U204" s="80"/>
      <c r="V204" s="80"/>
      <c r="W204" s="80"/>
      <c r="X204" s="80"/>
      <c r="Y204" s="80"/>
      <c r="Z204" s="80"/>
      <c r="AA204" s="80"/>
      <c r="AB204" s="80"/>
      <c r="AC204" s="80"/>
      <c r="AD204" s="80"/>
      <c r="AE204" s="80"/>
      <c r="AF204" s="80"/>
      <c r="AG204" s="80"/>
      <c r="AH204" s="80"/>
      <c r="AI204" s="80"/>
      <c r="AJ204" s="80"/>
      <c r="AK204" s="80"/>
      <c r="AL204" s="80"/>
      <c r="AM204" s="80"/>
      <c r="AN204" s="80"/>
      <c r="AO204" s="80"/>
      <c r="AP204" s="80"/>
      <c r="AQ204" s="80"/>
      <c r="AR204" s="80"/>
      <c r="AS204" s="80"/>
      <c r="AT204" s="80"/>
      <c r="AU204" s="80"/>
      <c r="AV204" s="80"/>
      <c r="AW204" s="80"/>
      <c r="AX204" s="80"/>
      <c r="AY204" s="80"/>
      <c r="AZ204" s="80"/>
      <c r="BA204" s="80"/>
      <c r="BB204" s="80"/>
      <c r="BC204" s="80"/>
      <c r="BD204" s="80"/>
      <c r="BE204" s="80"/>
      <c r="BF204" s="80"/>
      <c r="BG204" s="80"/>
      <c r="BH204" s="80"/>
      <c r="BI204" s="80"/>
      <c r="BJ204" s="80"/>
      <c r="BK204" s="80"/>
      <c r="BL204" s="80"/>
      <c r="BM204" s="80"/>
      <c r="BN204" s="80"/>
      <c r="BO204" s="80"/>
      <c r="BP204" s="80"/>
    </row>
    <row r="205" spans="4:68" s="8" customFormat="1" outlineLevel="1" x14ac:dyDescent="0.2">
      <c r="D205" s="81" t="s">
        <v>42</v>
      </c>
      <c r="E205" s="80"/>
      <c r="F205" s="80"/>
      <c r="G205" s="450">
        <f t="shared" si="63"/>
        <v>1</v>
      </c>
      <c r="H205" s="501">
        <v>0</v>
      </c>
      <c r="I205" s="156">
        <v>1</v>
      </c>
      <c r="J205" s="83"/>
      <c r="K205" s="157" t="s">
        <v>42</v>
      </c>
      <c r="L205" s="80"/>
      <c r="M205" s="80"/>
      <c r="N205" s="80"/>
      <c r="O205" s="80"/>
      <c r="P205" s="80"/>
      <c r="Q205" s="80"/>
      <c r="R205" s="80"/>
      <c r="S205" s="80"/>
      <c r="T205" s="80"/>
      <c r="U205" s="80"/>
      <c r="V205" s="80"/>
      <c r="W205" s="80"/>
      <c r="X205" s="80"/>
      <c r="Y205" s="80"/>
      <c r="Z205" s="80"/>
      <c r="AA205" s="80"/>
      <c r="AB205" s="80"/>
      <c r="AC205" s="80"/>
      <c r="AD205" s="80"/>
      <c r="AE205" s="80"/>
      <c r="AF205" s="80"/>
      <c r="AG205" s="80"/>
      <c r="AH205" s="80"/>
      <c r="AI205" s="80"/>
      <c r="AJ205" s="80"/>
      <c r="AK205" s="80"/>
      <c r="AL205" s="80"/>
      <c r="AM205" s="80"/>
      <c r="AN205" s="80"/>
      <c r="AO205" s="80"/>
      <c r="AP205" s="80"/>
      <c r="AQ205" s="80"/>
      <c r="AR205" s="80"/>
      <c r="AS205" s="80"/>
      <c r="AT205" s="80"/>
      <c r="AU205" s="80"/>
      <c r="AV205" s="80"/>
      <c r="AW205" s="80"/>
      <c r="AX205" s="80"/>
      <c r="AY205" s="80"/>
      <c r="AZ205" s="80"/>
      <c r="BA205" s="80"/>
      <c r="BB205" s="80"/>
      <c r="BC205" s="80"/>
      <c r="BD205" s="80"/>
      <c r="BE205" s="80"/>
      <c r="BF205" s="80"/>
      <c r="BG205" s="80"/>
      <c r="BH205" s="80"/>
      <c r="BI205" s="80"/>
      <c r="BJ205" s="80"/>
      <c r="BK205" s="80"/>
      <c r="BL205" s="80"/>
      <c r="BM205" s="80"/>
      <c r="BN205" s="80"/>
      <c r="BO205" s="80"/>
      <c r="BP205" s="80"/>
    </row>
    <row r="206" spans="4:68" s="8" customFormat="1" outlineLevel="1" x14ac:dyDescent="0.2">
      <c r="D206" s="81" t="s">
        <v>43</v>
      </c>
      <c r="E206" s="80"/>
      <c r="F206" s="80"/>
      <c r="G206" s="450"/>
      <c r="H206" s="450"/>
      <c r="I206" s="154"/>
      <c r="J206" s="83"/>
      <c r="K206" s="85"/>
      <c r="L206" s="80"/>
      <c r="M206" s="80"/>
      <c r="N206" s="80"/>
      <c r="O206" s="80"/>
      <c r="P206" s="80"/>
      <c r="Q206" s="80"/>
      <c r="R206" s="80"/>
      <c r="S206" s="80"/>
      <c r="T206" s="80"/>
      <c r="U206" s="80"/>
      <c r="V206" s="80"/>
      <c r="W206" s="80"/>
      <c r="X206" s="80"/>
      <c r="Y206" s="80"/>
      <c r="Z206" s="80"/>
      <c r="AA206" s="80"/>
      <c r="AB206" s="80"/>
      <c r="AC206" s="80"/>
      <c r="AD206" s="80"/>
      <c r="AE206" s="80"/>
      <c r="AF206" s="80"/>
      <c r="AG206" s="80"/>
      <c r="AH206" s="80"/>
      <c r="AI206" s="80"/>
      <c r="AJ206" s="80"/>
      <c r="AK206" s="80"/>
      <c r="AL206" s="80"/>
      <c r="AM206" s="80"/>
      <c r="AN206" s="80"/>
      <c r="AO206" s="80"/>
      <c r="AP206" s="80"/>
      <c r="AQ206" s="80"/>
      <c r="AR206" s="80"/>
      <c r="AS206" s="80"/>
      <c r="AT206" s="80"/>
      <c r="AU206" s="80"/>
      <c r="AV206" s="80"/>
      <c r="AW206" s="80"/>
      <c r="AX206" s="80"/>
      <c r="AY206" s="80"/>
      <c r="AZ206" s="80"/>
      <c r="BA206" s="80"/>
      <c r="BB206" s="80"/>
      <c r="BC206" s="80"/>
      <c r="BD206" s="80"/>
      <c r="BE206" s="80"/>
      <c r="BF206" s="80"/>
      <c r="BG206" s="80"/>
      <c r="BH206" s="80"/>
      <c r="BI206" s="80"/>
      <c r="BJ206" s="80"/>
      <c r="BK206" s="80"/>
      <c r="BL206" s="80"/>
      <c r="BM206" s="80"/>
      <c r="BN206" s="80"/>
      <c r="BO206" s="80"/>
      <c r="BP206" s="80"/>
    </row>
    <row r="207" spans="4:68" s="8" customFormat="1" outlineLevel="1" x14ac:dyDescent="0.2">
      <c r="D207" s="402" t="s">
        <v>44</v>
      </c>
      <c r="E207" s="80"/>
      <c r="F207" s="80"/>
      <c r="G207" s="450">
        <f>SUM(H207:I207)</f>
        <v>1</v>
      </c>
      <c r="H207" s="501">
        <v>1</v>
      </c>
      <c r="I207" s="156">
        <v>0</v>
      </c>
      <c r="J207" s="83"/>
      <c r="K207" s="157" t="s">
        <v>43</v>
      </c>
      <c r="L207" s="80"/>
      <c r="M207" s="80"/>
      <c r="N207" s="80"/>
      <c r="O207" s="80"/>
      <c r="P207" s="80"/>
      <c r="Q207" s="80"/>
      <c r="R207" s="80"/>
      <c r="S207" s="80"/>
      <c r="T207" s="80"/>
      <c r="U207" s="80"/>
      <c r="V207" s="80"/>
      <c r="W207" s="80"/>
      <c r="X207" s="80"/>
      <c r="Y207" s="80"/>
      <c r="Z207" s="80"/>
      <c r="AA207" s="80"/>
      <c r="AB207" s="80"/>
      <c r="AC207" s="80"/>
      <c r="AD207" s="80"/>
      <c r="AE207" s="80"/>
      <c r="AF207" s="80"/>
      <c r="AG207" s="80"/>
      <c r="AH207" s="80"/>
      <c r="AI207" s="80"/>
      <c r="AJ207" s="80"/>
      <c r="AK207" s="80"/>
      <c r="AL207" s="80"/>
      <c r="AM207" s="80"/>
      <c r="AN207" s="80"/>
      <c r="AO207" s="80"/>
      <c r="AP207" s="80"/>
      <c r="AQ207" s="80"/>
      <c r="AR207" s="80"/>
      <c r="AS207" s="80"/>
      <c r="AT207" s="80"/>
      <c r="AU207" s="80"/>
      <c r="AV207" s="80"/>
      <c r="AW207" s="80"/>
      <c r="AX207" s="80"/>
      <c r="AY207" s="80"/>
      <c r="AZ207" s="80"/>
      <c r="BA207" s="80"/>
      <c r="BB207" s="80"/>
      <c r="BC207" s="80"/>
      <c r="BD207" s="80"/>
      <c r="BE207" s="80"/>
      <c r="BF207" s="80"/>
      <c r="BG207" s="80"/>
      <c r="BH207" s="80"/>
      <c r="BI207" s="80"/>
      <c r="BJ207" s="80"/>
      <c r="BK207" s="80"/>
      <c r="BL207" s="80"/>
      <c r="BM207" s="80"/>
      <c r="BN207" s="80"/>
      <c r="BO207" s="80"/>
      <c r="BP207" s="80"/>
    </row>
    <row r="208" spans="4:68" s="8" customFormat="1" outlineLevel="1" x14ac:dyDescent="0.2">
      <c r="D208" s="402" t="s">
        <v>45</v>
      </c>
      <c r="E208" s="80"/>
      <c r="F208" s="80"/>
      <c r="G208" s="450"/>
      <c r="H208" s="450"/>
      <c r="I208" s="154"/>
      <c r="J208" s="83"/>
      <c r="K208" s="85"/>
      <c r="L208" s="80"/>
      <c r="M208" s="80"/>
      <c r="N208" s="80"/>
      <c r="O208" s="80"/>
      <c r="P208" s="80"/>
      <c r="Q208" s="80"/>
      <c r="R208" s="80"/>
      <c r="S208" s="17"/>
      <c r="T208" s="17"/>
      <c r="U208" s="17"/>
      <c r="V208" s="17"/>
      <c r="W208" s="17"/>
      <c r="X208" s="17"/>
      <c r="Y208" s="17"/>
      <c r="Z208" s="17"/>
      <c r="AA208" s="17"/>
      <c r="AB208" s="17"/>
      <c r="AC208" s="17"/>
      <c r="AD208" s="17"/>
      <c r="AE208" s="17"/>
      <c r="AF208" s="17"/>
      <c r="AG208" s="17"/>
      <c r="AH208" s="17"/>
      <c r="AI208" s="17"/>
      <c r="AJ208" s="17"/>
      <c r="AK208" s="17"/>
      <c r="AL208" s="17"/>
      <c r="AM208" s="17"/>
      <c r="AN208" s="17"/>
      <c r="AO208" s="17"/>
      <c r="AP208" s="17"/>
      <c r="AQ208" s="17"/>
      <c r="AR208" s="17"/>
      <c r="AS208" s="17"/>
      <c r="AT208" s="17"/>
      <c r="AU208" s="17"/>
      <c r="AV208" s="17"/>
      <c r="AW208" s="17"/>
      <c r="AX208" s="17"/>
      <c r="AY208" s="17"/>
      <c r="AZ208" s="17"/>
      <c r="BA208" s="17"/>
      <c r="BB208" s="17"/>
      <c r="BC208" s="17"/>
      <c r="BD208" s="17"/>
      <c r="BE208" s="17"/>
      <c r="BF208" s="17"/>
      <c r="BG208" s="17"/>
      <c r="BH208" s="17"/>
      <c r="BI208" s="17"/>
      <c r="BJ208" s="17"/>
      <c r="BK208" s="17"/>
      <c r="BL208" s="17"/>
      <c r="BM208" s="17"/>
      <c r="BN208" s="17"/>
      <c r="BO208" s="17"/>
      <c r="BP208" s="17"/>
    </row>
    <row r="209" spans="4:68" s="8" customFormat="1" outlineLevel="1" x14ac:dyDescent="0.2">
      <c r="D209" s="403" t="s">
        <v>46</v>
      </c>
      <c r="E209" s="80"/>
      <c r="F209" s="80"/>
      <c r="G209" s="450">
        <f>SUM(H209:I209)</f>
        <v>1</v>
      </c>
      <c r="H209" s="501">
        <v>1</v>
      </c>
      <c r="I209" s="156">
        <v>0</v>
      </c>
      <c r="J209" s="83"/>
      <c r="K209" s="157" t="s">
        <v>43</v>
      </c>
      <c r="L209" s="80"/>
      <c r="M209" s="80"/>
      <c r="N209" s="80"/>
      <c r="O209" s="80"/>
      <c r="P209" s="80"/>
      <c r="Q209" s="80"/>
      <c r="R209" s="80"/>
      <c r="S209" s="80"/>
      <c r="T209" s="80"/>
      <c r="U209" s="80"/>
      <c r="V209" s="80"/>
      <c r="W209" s="80"/>
      <c r="X209" s="80"/>
      <c r="Y209" s="80"/>
      <c r="Z209" s="80"/>
      <c r="AA209" s="80"/>
      <c r="AB209" s="80"/>
      <c r="AC209" s="80"/>
      <c r="AD209" s="80"/>
      <c r="AE209" s="80"/>
      <c r="AF209" s="80"/>
      <c r="AG209" s="80"/>
      <c r="AH209" s="80"/>
      <c r="AI209" s="80"/>
      <c r="AJ209" s="80"/>
      <c r="AK209" s="80"/>
      <c r="AL209" s="80"/>
      <c r="AM209" s="80"/>
      <c r="AN209" s="80"/>
      <c r="AO209" s="80"/>
      <c r="AP209" s="80"/>
      <c r="AQ209" s="80"/>
      <c r="AR209" s="80"/>
      <c r="AS209" s="80"/>
      <c r="AT209" s="80"/>
      <c r="AU209" s="80"/>
      <c r="AV209" s="80"/>
      <c r="AW209" s="80"/>
      <c r="AX209" s="80"/>
      <c r="AY209" s="80"/>
      <c r="AZ209" s="80"/>
      <c r="BA209" s="80"/>
      <c r="BB209" s="80"/>
      <c r="BC209" s="80"/>
      <c r="BD209" s="80"/>
      <c r="BE209" s="80"/>
      <c r="BF209" s="80"/>
      <c r="BG209" s="80"/>
      <c r="BH209" s="80"/>
      <c r="BI209" s="80"/>
      <c r="BJ209" s="80"/>
      <c r="BK209" s="80"/>
      <c r="BL209" s="80"/>
      <c r="BM209" s="80"/>
      <c r="BN209" s="80"/>
      <c r="BO209" s="80"/>
      <c r="BP209" s="80"/>
    </row>
    <row r="210" spans="4:68" s="8" customFormat="1" outlineLevel="1" x14ac:dyDescent="0.2">
      <c r="D210" s="403" t="s">
        <v>47</v>
      </c>
      <c r="E210" s="80"/>
      <c r="F210" s="80"/>
      <c r="G210" s="450">
        <f>SUM(H210:I210)</f>
        <v>2</v>
      </c>
      <c r="H210" s="501">
        <v>1</v>
      </c>
      <c r="I210" s="156">
        <v>1</v>
      </c>
      <c r="J210" s="83"/>
      <c r="K210" s="157" t="s">
        <v>43</v>
      </c>
      <c r="L210" s="80"/>
      <c r="M210" s="80"/>
      <c r="N210" s="80"/>
      <c r="O210" s="159">
        <v>5</v>
      </c>
      <c r="P210" s="66" t="s">
        <v>526</v>
      </c>
      <c r="Q210" s="80"/>
      <c r="R210" s="80"/>
      <c r="S210" s="52"/>
      <c r="T210" s="52"/>
      <c r="U210" s="52"/>
      <c r="V210" s="52"/>
      <c r="W210" s="52"/>
      <c r="X210" s="83"/>
      <c r="Y210" s="83"/>
      <c r="Z210" s="83"/>
      <c r="AA210" s="83"/>
      <c r="AB210" s="83"/>
      <c r="AC210" s="83"/>
      <c r="AD210" s="83"/>
      <c r="AE210" s="83"/>
      <c r="AF210" s="83"/>
      <c r="AG210" s="83"/>
      <c r="AH210" s="83"/>
      <c r="AI210" s="83"/>
      <c r="AJ210" s="83"/>
      <c r="AK210" s="83"/>
      <c r="AL210" s="83"/>
      <c r="AM210" s="83"/>
      <c r="AN210" s="83"/>
      <c r="AO210" s="83"/>
      <c r="AP210" s="83"/>
      <c r="AQ210" s="83"/>
      <c r="AR210" s="83"/>
      <c r="AS210" s="83"/>
      <c r="AT210" s="83"/>
      <c r="AU210" s="83"/>
      <c r="AV210" s="83"/>
      <c r="AW210" s="83"/>
      <c r="AX210" s="83"/>
      <c r="AY210" s="83"/>
      <c r="AZ210" s="83"/>
      <c r="BA210" s="83"/>
      <c r="BB210" s="83"/>
      <c r="BC210" s="83"/>
      <c r="BD210" s="83"/>
      <c r="BE210" s="83"/>
      <c r="BF210" s="83"/>
      <c r="BG210" s="83"/>
      <c r="BH210" s="83"/>
      <c r="BI210" s="83"/>
      <c r="BJ210" s="83"/>
      <c r="BK210" s="83"/>
      <c r="BL210" s="83"/>
      <c r="BM210" s="83"/>
      <c r="BN210" s="83"/>
      <c r="BO210" s="83"/>
      <c r="BP210" s="83"/>
    </row>
    <row r="211" spans="4:68" s="8" customFormat="1" outlineLevel="1" x14ac:dyDescent="0.2">
      <c r="D211" s="402" t="s">
        <v>48</v>
      </c>
      <c r="E211" s="80"/>
      <c r="F211" s="80"/>
      <c r="G211" s="450">
        <f>SUM(H211:I211)</f>
        <v>1</v>
      </c>
      <c r="H211" s="501">
        <v>1</v>
      </c>
      <c r="I211" s="156">
        <v>0</v>
      </c>
      <c r="J211" s="83"/>
      <c r="K211" s="157" t="s">
        <v>43</v>
      </c>
      <c r="L211" s="80"/>
      <c r="M211" s="80"/>
      <c r="N211" s="80"/>
      <c r="O211" s="80"/>
      <c r="P211" s="80"/>
      <c r="Q211" s="80"/>
      <c r="R211" s="80"/>
      <c r="S211" s="80"/>
      <c r="T211" s="80"/>
      <c r="U211" s="80"/>
      <c r="V211" s="80"/>
      <c r="W211" s="80"/>
      <c r="X211" s="80"/>
      <c r="Y211" s="80"/>
      <c r="Z211" s="80"/>
      <c r="AA211" s="80"/>
      <c r="AB211" s="80"/>
      <c r="AC211" s="80"/>
      <c r="AD211" s="80"/>
      <c r="AE211" s="80"/>
      <c r="AF211" s="80"/>
      <c r="AG211" s="80"/>
      <c r="AH211" s="80"/>
      <c r="AI211" s="80"/>
      <c r="AJ211" s="80"/>
      <c r="AK211" s="80"/>
      <c r="AL211" s="80"/>
      <c r="AM211" s="80"/>
      <c r="AN211" s="80"/>
      <c r="AO211" s="80"/>
      <c r="AP211" s="80"/>
      <c r="AQ211" s="80"/>
      <c r="AR211" s="80"/>
      <c r="AS211" s="80"/>
      <c r="AT211" s="80"/>
      <c r="AU211" s="80"/>
      <c r="AV211" s="80"/>
      <c r="AW211" s="80"/>
      <c r="AX211" s="80"/>
      <c r="AY211" s="80"/>
      <c r="AZ211" s="80"/>
      <c r="BA211" s="80"/>
      <c r="BB211" s="80"/>
      <c r="BC211" s="80"/>
      <c r="BD211" s="80"/>
      <c r="BE211" s="80"/>
      <c r="BF211" s="80"/>
      <c r="BG211" s="80"/>
      <c r="BH211" s="80"/>
      <c r="BI211" s="80"/>
      <c r="BJ211" s="80"/>
      <c r="BK211" s="80"/>
      <c r="BL211" s="80"/>
      <c r="BM211" s="80"/>
      <c r="BN211" s="80"/>
      <c r="BO211" s="80"/>
      <c r="BP211" s="80"/>
    </row>
    <row r="212" spans="4:68" s="8" customFormat="1" outlineLevel="1" x14ac:dyDescent="0.2">
      <c r="D212" s="402" t="s">
        <v>49</v>
      </c>
      <c r="E212" s="80"/>
      <c r="F212" s="80"/>
      <c r="G212" s="450">
        <f>SUM(H212:I212)</f>
        <v>1</v>
      </c>
      <c r="H212" s="501">
        <v>1</v>
      </c>
      <c r="I212" s="156">
        <v>0</v>
      </c>
      <c r="J212" s="83"/>
      <c r="K212" s="157" t="s">
        <v>43</v>
      </c>
      <c r="L212" s="80"/>
      <c r="M212" s="80"/>
      <c r="N212" s="80"/>
      <c r="O212" s="80"/>
      <c r="P212" s="80"/>
      <c r="Q212" s="80"/>
      <c r="R212" s="80"/>
      <c r="S212" s="80"/>
      <c r="T212" s="80"/>
      <c r="U212" s="80"/>
      <c r="V212" s="80"/>
      <c r="W212" s="80"/>
      <c r="X212" s="80"/>
      <c r="Y212" s="80"/>
      <c r="Z212" s="80"/>
      <c r="AA212" s="80"/>
      <c r="AB212" s="80"/>
      <c r="AC212" s="80"/>
      <c r="AD212" s="80"/>
      <c r="AE212" s="80"/>
      <c r="AF212" s="80"/>
      <c r="AG212" s="80"/>
      <c r="AH212" s="80"/>
      <c r="AI212" s="80"/>
      <c r="AJ212" s="80"/>
      <c r="AK212" s="80"/>
      <c r="AL212" s="80"/>
      <c r="AM212" s="80"/>
      <c r="AN212" s="80"/>
      <c r="AO212" s="80"/>
      <c r="AP212" s="80"/>
      <c r="AQ212" s="80"/>
      <c r="AR212" s="80"/>
      <c r="AS212" s="80"/>
      <c r="AT212" s="80"/>
      <c r="AU212" s="80"/>
      <c r="AV212" s="80"/>
      <c r="AW212" s="80"/>
      <c r="AX212" s="80"/>
      <c r="AY212" s="80"/>
      <c r="AZ212" s="80"/>
      <c r="BA212" s="80"/>
      <c r="BB212" s="80"/>
      <c r="BC212" s="80"/>
      <c r="BD212" s="80"/>
      <c r="BE212" s="80"/>
      <c r="BF212" s="80"/>
      <c r="BG212" s="80"/>
      <c r="BH212" s="80"/>
      <c r="BI212" s="80"/>
      <c r="BJ212" s="80"/>
      <c r="BK212" s="80"/>
      <c r="BL212" s="80"/>
      <c r="BM212" s="80"/>
      <c r="BN212" s="80"/>
      <c r="BO212" s="80"/>
      <c r="BP212" s="80"/>
    </row>
    <row r="213" spans="4:68" s="8" customFormat="1" outlineLevel="1" x14ac:dyDescent="0.2">
      <c r="D213" s="402" t="s">
        <v>50</v>
      </c>
      <c r="E213" s="80"/>
      <c r="F213" s="80"/>
      <c r="G213" s="450">
        <f>SUM(H213:I213)</f>
        <v>1</v>
      </c>
      <c r="H213" s="501">
        <v>0</v>
      </c>
      <c r="I213" s="156">
        <v>1</v>
      </c>
      <c r="J213" s="83"/>
      <c r="K213" s="157" t="s">
        <v>43</v>
      </c>
      <c r="L213" s="80"/>
      <c r="M213" s="80"/>
      <c r="N213" s="80"/>
      <c r="O213" s="80"/>
      <c r="P213" s="80"/>
      <c r="Q213" s="80"/>
      <c r="R213" s="80"/>
      <c r="S213" s="80"/>
      <c r="T213" s="80"/>
      <c r="U213" s="80"/>
      <c r="V213" s="80"/>
      <c r="W213" s="80"/>
      <c r="X213" s="80"/>
      <c r="Y213" s="80"/>
      <c r="Z213" s="80"/>
      <c r="AA213" s="80"/>
      <c r="AB213" s="80"/>
      <c r="AC213" s="80"/>
      <c r="AD213" s="80"/>
      <c r="AE213" s="80"/>
      <c r="AF213" s="80"/>
      <c r="AG213" s="80"/>
      <c r="AH213" s="80"/>
      <c r="AI213" s="80"/>
      <c r="AJ213" s="80"/>
      <c r="AK213" s="80"/>
      <c r="AL213" s="80"/>
      <c r="AM213" s="80"/>
      <c r="AN213" s="80"/>
      <c r="AO213" s="80"/>
      <c r="AP213" s="80"/>
      <c r="AQ213" s="80"/>
      <c r="AR213" s="80"/>
      <c r="AS213" s="80"/>
      <c r="AT213" s="80"/>
      <c r="AU213" s="80"/>
      <c r="AV213" s="80"/>
      <c r="AW213" s="80"/>
      <c r="AX213" s="80"/>
      <c r="AY213" s="80"/>
      <c r="AZ213" s="80"/>
      <c r="BA213" s="80"/>
      <c r="BB213" s="80"/>
      <c r="BC213" s="80"/>
      <c r="BD213" s="80"/>
      <c r="BE213" s="80"/>
      <c r="BF213" s="80"/>
      <c r="BG213" s="80"/>
      <c r="BH213" s="80"/>
      <c r="BI213" s="80"/>
      <c r="BJ213" s="80"/>
      <c r="BK213" s="80"/>
      <c r="BL213" s="80"/>
      <c r="BM213" s="80"/>
      <c r="BN213" s="80"/>
      <c r="BO213" s="80"/>
      <c r="BP213" s="80"/>
    </row>
    <row r="214" spans="4:68" s="8" customFormat="1" outlineLevel="1" x14ac:dyDescent="0.2">
      <c r="D214" s="81" t="s">
        <v>51</v>
      </c>
      <c r="E214" s="80"/>
      <c r="F214" s="80"/>
      <c r="G214" s="450"/>
      <c r="H214" s="450"/>
      <c r="I214" s="154"/>
      <c r="J214" s="83"/>
      <c r="K214" s="85"/>
      <c r="L214" s="80"/>
      <c r="M214" s="80"/>
      <c r="N214" s="80"/>
      <c r="O214" s="80"/>
      <c r="P214" s="80"/>
      <c r="Q214" s="80"/>
      <c r="R214" s="80"/>
      <c r="S214" s="80"/>
      <c r="T214" s="80"/>
      <c r="U214" s="80"/>
      <c r="V214" s="80"/>
      <c r="W214" s="80"/>
      <c r="X214" s="80"/>
      <c r="Y214" s="80"/>
      <c r="Z214" s="80"/>
      <c r="AA214" s="80"/>
      <c r="AB214" s="80"/>
      <c r="AC214" s="80"/>
      <c r="AD214" s="80"/>
      <c r="AE214" s="80"/>
      <c r="AF214" s="80"/>
      <c r="AG214" s="80"/>
      <c r="AH214" s="80"/>
      <c r="AI214" s="80"/>
      <c r="AJ214" s="80"/>
      <c r="AK214" s="80"/>
      <c r="AL214" s="80"/>
      <c r="AM214" s="80"/>
      <c r="AN214" s="80"/>
      <c r="AO214" s="80"/>
      <c r="AP214" s="80"/>
      <c r="AQ214" s="80"/>
      <c r="AR214" s="80"/>
      <c r="AS214" s="80"/>
      <c r="AT214" s="80"/>
      <c r="AU214" s="80"/>
      <c r="AV214" s="80"/>
      <c r="AW214" s="80"/>
      <c r="AX214" s="80"/>
      <c r="AY214" s="80"/>
      <c r="AZ214" s="80"/>
      <c r="BA214" s="80"/>
      <c r="BB214" s="80"/>
      <c r="BC214" s="80"/>
      <c r="BD214" s="80"/>
      <c r="BE214" s="80"/>
      <c r="BF214" s="80"/>
      <c r="BG214" s="80"/>
      <c r="BH214" s="80"/>
      <c r="BI214" s="80"/>
      <c r="BJ214" s="80"/>
      <c r="BK214" s="80"/>
      <c r="BL214" s="80"/>
      <c r="BM214" s="80"/>
      <c r="BN214" s="80"/>
      <c r="BO214" s="80"/>
      <c r="BP214" s="80"/>
    </row>
    <row r="215" spans="4:68" s="8" customFormat="1" outlineLevel="1" x14ac:dyDescent="0.2">
      <c r="D215" s="402" t="s">
        <v>52</v>
      </c>
      <c r="E215" s="80"/>
      <c r="F215" s="80"/>
      <c r="G215" s="450">
        <f>SUM(H215:I215)</f>
        <v>1</v>
      </c>
      <c r="H215" s="501">
        <v>1</v>
      </c>
      <c r="I215" s="156">
        <v>0</v>
      </c>
      <c r="J215" s="83"/>
      <c r="K215" s="157" t="s">
        <v>51</v>
      </c>
      <c r="L215" s="80"/>
      <c r="M215" s="80"/>
      <c r="N215" s="80"/>
      <c r="O215" s="80"/>
      <c r="P215" s="80"/>
      <c r="Q215" s="80"/>
      <c r="R215" s="80"/>
      <c r="S215" s="80"/>
      <c r="T215" s="80"/>
      <c r="U215" s="80"/>
      <c r="V215" s="80"/>
      <c r="W215" s="80"/>
      <c r="X215" s="80"/>
      <c r="Y215" s="80"/>
      <c r="Z215" s="80"/>
      <c r="AA215" s="80"/>
      <c r="AB215" s="80"/>
      <c r="AC215" s="80"/>
      <c r="AD215" s="80"/>
      <c r="AE215" s="80"/>
      <c r="AF215" s="80"/>
      <c r="AG215" s="80"/>
      <c r="AH215" s="80"/>
      <c r="AI215" s="80"/>
      <c r="AJ215" s="80"/>
      <c r="AK215" s="80"/>
      <c r="AL215" s="80"/>
      <c r="AM215" s="80"/>
      <c r="AN215" s="80"/>
      <c r="AO215" s="80"/>
      <c r="AP215" s="80"/>
      <c r="AQ215" s="80"/>
      <c r="AR215" s="80"/>
      <c r="AS215" s="80"/>
      <c r="AT215" s="80"/>
      <c r="AU215" s="80"/>
      <c r="AV215" s="80"/>
      <c r="AW215" s="80"/>
      <c r="AX215" s="80"/>
      <c r="AY215" s="80"/>
      <c r="AZ215" s="80"/>
      <c r="BA215" s="80"/>
      <c r="BB215" s="80"/>
      <c r="BC215" s="80"/>
      <c r="BD215" s="80"/>
      <c r="BE215" s="80"/>
      <c r="BF215" s="80"/>
      <c r="BG215" s="80"/>
      <c r="BH215" s="80"/>
      <c r="BI215" s="80"/>
      <c r="BJ215" s="80"/>
      <c r="BK215" s="80"/>
      <c r="BL215" s="80"/>
      <c r="BM215" s="80"/>
      <c r="BN215" s="80"/>
      <c r="BO215" s="80"/>
      <c r="BP215" s="80"/>
    </row>
    <row r="216" spans="4:68" s="8" customFormat="1" outlineLevel="1" x14ac:dyDescent="0.2">
      <c r="D216" s="402" t="s">
        <v>45</v>
      </c>
      <c r="E216" s="80"/>
      <c r="F216" s="80"/>
      <c r="G216" s="450"/>
      <c r="H216" s="450"/>
      <c r="I216" s="154"/>
      <c r="J216" s="83"/>
      <c r="K216" s="85"/>
      <c r="L216" s="80"/>
      <c r="M216" s="80"/>
      <c r="N216" s="80"/>
      <c r="O216" s="80"/>
      <c r="P216" s="80"/>
      <c r="Q216" s="80"/>
      <c r="R216" s="80"/>
      <c r="S216" s="80"/>
      <c r="T216" s="80"/>
      <c r="U216" s="80"/>
      <c r="V216" s="80"/>
      <c r="W216" s="80"/>
      <c r="X216" s="80"/>
      <c r="Y216" s="80"/>
      <c r="Z216" s="80"/>
      <c r="AA216" s="80"/>
      <c r="AB216" s="80"/>
      <c r="AC216" s="80"/>
      <c r="AD216" s="80"/>
      <c r="AE216" s="80"/>
      <c r="AF216" s="80"/>
      <c r="AG216" s="80"/>
      <c r="AH216" s="80"/>
      <c r="AI216" s="80"/>
      <c r="AJ216" s="80"/>
      <c r="AK216" s="80"/>
      <c r="AL216" s="80"/>
      <c r="AM216" s="80"/>
      <c r="AN216" s="80"/>
      <c r="AO216" s="80"/>
      <c r="AP216" s="80"/>
      <c r="AQ216" s="80"/>
      <c r="AR216" s="80"/>
      <c r="AS216" s="80"/>
      <c r="AT216" s="80"/>
      <c r="AU216" s="80"/>
      <c r="AV216" s="80"/>
      <c r="AW216" s="80"/>
      <c r="AX216" s="80"/>
      <c r="AY216" s="80"/>
      <c r="AZ216" s="80"/>
      <c r="BA216" s="80"/>
      <c r="BB216" s="80"/>
      <c r="BC216" s="80"/>
      <c r="BD216" s="80"/>
      <c r="BE216" s="80"/>
      <c r="BF216" s="80"/>
      <c r="BG216" s="80"/>
      <c r="BH216" s="80"/>
      <c r="BI216" s="80"/>
      <c r="BJ216" s="80"/>
      <c r="BK216" s="80"/>
      <c r="BL216" s="80"/>
      <c r="BM216" s="80"/>
      <c r="BN216" s="80"/>
      <c r="BO216" s="80"/>
      <c r="BP216" s="80"/>
    </row>
    <row r="217" spans="4:68" s="8" customFormat="1" outlineLevel="1" x14ac:dyDescent="0.2">
      <c r="D217" s="403" t="s">
        <v>46</v>
      </c>
      <c r="E217" s="80"/>
      <c r="F217" s="80"/>
      <c r="G217" s="450">
        <f>SUM(H217:I217)</f>
        <v>1</v>
      </c>
      <c r="H217" s="501">
        <v>1</v>
      </c>
      <c r="I217" s="156">
        <v>0</v>
      </c>
      <c r="J217" s="83"/>
      <c r="K217" s="157" t="s">
        <v>51</v>
      </c>
      <c r="L217" s="80"/>
      <c r="M217" s="80"/>
      <c r="N217" s="80"/>
      <c r="O217" s="80"/>
      <c r="P217" s="80"/>
      <c r="Q217" s="80"/>
      <c r="R217" s="80"/>
      <c r="S217" s="80"/>
      <c r="T217" s="80"/>
      <c r="U217" s="80"/>
      <c r="V217" s="80"/>
      <c r="W217" s="80"/>
      <c r="X217" s="80"/>
      <c r="Y217" s="80"/>
      <c r="Z217" s="80"/>
      <c r="AA217" s="80"/>
      <c r="AB217" s="80"/>
      <c r="AC217" s="80"/>
      <c r="AD217" s="80"/>
      <c r="AE217" s="80"/>
      <c r="AF217" s="80"/>
      <c r="AG217" s="80"/>
      <c r="AH217" s="80"/>
      <c r="AI217" s="80"/>
      <c r="AJ217" s="80"/>
      <c r="AK217" s="80"/>
      <c r="AL217" s="80"/>
      <c r="AM217" s="80"/>
      <c r="AN217" s="80"/>
      <c r="AO217" s="80"/>
      <c r="AP217" s="80"/>
      <c r="AQ217" s="80"/>
      <c r="AR217" s="80"/>
      <c r="AS217" s="80"/>
      <c r="AT217" s="80"/>
      <c r="AU217" s="80"/>
      <c r="AV217" s="80"/>
      <c r="AW217" s="80"/>
      <c r="AX217" s="80"/>
      <c r="AY217" s="80"/>
      <c r="AZ217" s="80"/>
      <c r="BA217" s="80"/>
      <c r="BB217" s="80"/>
      <c r="BC217" s="80"/>
      <c r="BD217" s="80"/>
      <c r="BE217" s="80"/>
      <c r="BF217" s="80"/>
      <c r="BG217" s="80"/>
      <c r="BH217" s="80"/>
      <c r="BI217" s="80"/>
      <c r="BJ217" s="80"/>
      <c r="BK217" s="80"/>
      <c r="BL217" s="80"/>
      <c r="BM217" s="80"/>
      <c r="BN217" s="80"/>
      <c r="BO217" s="80"/>
      <c r="BP217" s="80"/>
    </row>
    <row r="218" spans="4:68" s="8" customFormat="1" outlineLevel="1" x14ac:dyDescent="0.2">
      <c r="D218" s="403" t="s">
        <v>47</v>
      </c>
      <c r="E218" s="80"/>
      <c r="F218" s="80"/>
      <c r="G218" s="450">
        <f>SUM(H218:I218)</f>
        <v>2</v>
      </c>
      <c r="H218" s="501">
        <v>1</v>
      </c>
      <c r="I218" s="156">
        <v>1</v>
      </c>
      <c r="J218" s="83"/>
      <c r="K218" s="157" t="s">
        <v>51</v>
      </c>
      <c r="L218" s="80"/>
      <c r="M218" s="80"/>
      <c r="N218" s="80"/>
      <c r="O218" s="159">
        <v>5</v>
      </c>
      <c r="P218" s="66" t="s">
        <v>526</v>
      </c>
      <c r="Q218" s="80"/>
      <c r="R218" s="80"/>
      <c r="S218" s="80"/>
      <c r="T218" s="80"/>
      <c r="U218" s="80"/>
      <c r="V218" s="80"/>
      <c r="W218" s="80"/>
      <c r="X218" s="80"/>
      <c r="Y218" s="80"/>
      <c r="Z218" s="80"/>
      <c r="AA218" s="80"/>
      <c r="AB218" s="80"/>
      <c r="AC218" s="80"/>
      <c r="AD218" s="80"/>
      <c r="AE218" s="80"/>
      <c r="AF218" s="80"/>
      <c r="AG218" s="80"/>
      <c r="AH218" s="80"/>
      <c r="AI218" s="80"/>
      <c r="AJ218" s="80"/>
      <c r="AK218" s="80"/>
      <c r="AL218" s="80"/>
      <c r="AM218" s="80"/>
      <c r="AN218" s="80"/>
      <c r="AO218" s="80"/>
      <c r="AP218" s="80"/>
      <c r="AQ218" s="80"/>
      <c r="AR218" s="80"/>
      <c r="AS218" s="80"/>
      <c r="AT218" s="80"/>
      <c r="AU218" s="80"/>
      <c r="AV218" s="80"/>
      <c r="AW218" s="80"/>
      <c r="AX218" s="80"/>
      <c r="AY218" s="80"/>
      <c r="AZ218" s="80"/>
      <c r="BA218" s="80"/>
      <c r="BB218" s="80"/>
      <c r="BC218" s="80"/>
      <c r="BD218" s="80"/>
      <c r="BE218" s="80"/>
      <c r="BF218" s="80"/>
      <c r="BG218" s="80"/>
      <c r="BH218" s="80"/>
      <c r="BI218" s="80"/>
      <c r="BJ218" s="80"/>
      <c r="BK218" s="80"/>
      <c r="BL218" s="80"/>
      <c r="BM218" s="80"/>
      <c r="BN218" s="80"/>
      <c r="BO218" s="80"/>
      <c r="BP218" s="80"/>
    </row>
    <row r="219" spans="4:68" s="8" customFormat="1" outlineLevel="1" x14ac:dyDescent="0.2">
      <c r="D219" s="402" t="s">
        <v>35</v>
      </c>
      <c r="E219" s="80"/>
      <c r="F219" s="80"/>
      <c r="G219" s="450">
        <f>SUM(H219:I219)</f>
        <v>1</v>
      </c>
      <c r="H219" s="501">
        <v>0</v>
      </c>
      <c r="I219" s="156">
        <v>1</v>
      </c>
      <c r="J219" s="83"/>
      <c r="K219" s="157" t="s">
        <v>51</v>
      </c>
      <c r="L219" s="80"/>
      <c r="M219" s="80"/>
      <c r="N219" s="80"/>
      <c r="O219" s="80"/>
      <c r="P219" s="80"/>
      <c r="Q219" s="80"/>
      <c r="R219" s="80"/>
      <c r="S219" s="80"/>
      <c r="T219" s="80"/>
      <c r="U219" s="80"/>
      <c r="V219" s="80"/>
      <c r="W219" s="80"/>
      <c r="X219" s="80"/>
      <c r="Y219" s="80"/>
      <c r="Z219" s="80"/>
      <c r="AA219" s="80"/>
      <c r="AB219" s="80"/>
      <c r="AC219" s="80"/>
      <c r="AD219" s="80"/>
      <c r="AE219" s="80"/>
      <c r="AF219" s="80"/>
      <c r="AG219" s="80"/>
      <c r="AH219" s="80"/>
      <c r="AI219" s="80"/>
      <c r="AJ219" s="80"/>
      <c r="AK219" s="80"/>
      <c r="AL219" s="80"/>
      <c r="AM219" s="80"/>
      <c r="AN219" s="80"/>
      <c r="AO219" s="80"/>
      <c r="AP219" s="80"/>
      <c r="AQ219" s="80"/>
      <c r="AR219" s="80"/>
      <c r="AS219" s="80"/>
      <c r="AT219" s="80"/>
      <c r="AU219" s="80"/>
      <c r="AV219" s="80"/>
      <c r="AW219" s="80"/>
      <c r="AX219" s="80"/>
      <c r="AY219" s="80"/>
      <c r="AZ219" s="80"/>
      <c r="BA219" s="80"/>
      <c r="BB219" s="80"/>
      <c r="BC219" s="80"/>
      <c r="BD219" s="80"/>
      <c r="BE219" s="80"/>
      <c r="BF219" s="80"/>
      <c r="BG219" s="80"/>
      <c r="BH219" s="80"/>
      <c r="BI219" s="80"/>
      <c r="BJ219" s="80"/>
      <c r="BK219" s="80"/>
      <c r="BL219" s="80"/>
      <c r="BM219" s="80"/>
      <c r="BN219" s="80"/>
      <c r="BO219" s="80"/>
      <c r="BP219" s="80"/>
    </row>
    <row r="220" spans="4:68" s="8" customFormat="1" outlineLevel="1" x14ac:dyDescent="0.2">
      <c r="D220" s="81" t="s">
        <v>53</v>
      </c>
      <c r="E220" s="80"/>
      <c r="F220" s="80"/>
      <c r="G220" s="450"/>
      <c r="H220" s="450"/>
      <c r="I220" s="154"/>
      <c r="J220" s="83"/>
      <c r="K220" s="85"/>
      <c r="L220" s="80"/>
      <c r="M220" s="80"/>
      <c r="N220" s="80"/>
      <c r="O220" s="80"/>
      <c r="P220" s="80"/>
      <c r="Q220" s="80"/>
      <c r="R220" s="80"/>
      <c r="S220" s="80"/>
      <c r="T220" s="80"/>
      <c r="U220" s="80"/>
      <c r="V220" s="80"/>
      <c r="W220" s="80"/>
      <c r="X220" s="80"/>
      <c r="Y220" s="80"/>
      <c r="Z220" s="80"/>
      <c r="AA220" s="80"/>
      <c r="AB220" s="80"/>
      <c r="AC220" s="80"/>
      <c r="AD220" s="80"/>
      <c r="AE220" s="80"/>
      <c r="AF220" s="80"/>
      <c r="AG220" s="80"/>
      <c r="AH220" s="80"/>
      <c r="AI220" s="80"/>
      <c r="AJ220" s="80"/>
      <c r="AK220" s="80"/>
      <c r="AL220" s="80"/>
      <c r="AM220" s="80"/>
      <c r="AN220" s="80"/>
      <c r="AO220" s="80"/>
      <c r="AP220" s="80"/>
      <c r="AQ220" s="80"/>
      <c r="AR220" s="80"/>
      <c r="AS220" s="80"/>
      <c r="AT220" s="80"/>
      <c r="AU220" s="80"/>
      <c r="AV220" s="80"/>
      <c r="AW220" s="80"/>
      <c r="AX220" s="80"/>
      <c r="AY220" s="80"/>
      <c r="AZ220" s="80"/>
      <c r="BA220" s="80"/>
      <c r="BB220" s="80"/>
      <c r="BC220" s="80"/>
      <c r="BD220" s="80"/>
      <c r="BE220" s="80"/>
      <c r="BF220" s="80"/>
      <c r="BG220" s="80"/>
      <c r="BH220" s="80"/>
      <c r="BI220" s="80"/>
      <c r="BJ220" s="80"/>
      <c r="BK220" s="80"/>
      <c r="BL220" s="80"/>
      <c r="BM220" s="80"/>
      <c r="BN220" s="80"/>
      <c r="BO220" s="80"/>
      <c r="BP220" s="80"/>
    </row>
    <row r="221" spans="4:68" s="8" customFormat="1" outlineLevel="1" x14ac:dyDescent="0.2">
      <c r="D221" s="403" t="s">
        <v>46</v>
      </c>
      <c r="E221" s="80"/>
      <c r="F221" s="80"/>
      <c r="G221" s="450">
        <f>SUM(H221:I221)</f>
        <v>1</v>
      </c>
      <c r="H221" s="501">
        <v>1</v>
      </c>
      <c r="I221" s="156">
        <v>0</v>
      </c>
      <c r="J221" s="83"/>
      <c r="K221" s="157" t="s">
        <v>53</v>
      </c>
      <c r="L221" s="80"/>
      <c r="M221" s="80"/>
      <c r="N221" s="80"/>
      <c r="O221" s="80"/>
      <c r="P221" s="80"/>
      <c r="Q221" s="80"/>
      <c r="R221" s="80"/>
      <c r="S221" s="80"/>
      <c r="T221" s="80"/>
      <c r="U221" s="80"/>
      <c r="V221" s="80"/>
      <c r="W221" s="80"/>
      <c r="X221" s="80"/>
      <c r="Y221" s="80"/>
      <c r="Z221" s="80"/>
      <c r="AA221" s="80"/>
      <c r="AB221" s="80"/>
      <c r="AC221" s="80"/>
      <c r="AD221" s="80"/>
      <c r="AE221" s="80"/>
      <c r="AF221" s="80"/>
      <c r="AG221" s="80"/>
      <c r="AH221" s="80"/>
      <c r="AI221" s="80"/>
      <c r="AJ221" s="80"/>
      <c r="AK221" s="80"/>
      <c r="AL221" s="80"/>
      <c r="AM221" s="80"/>
      <c r="AN221" s="80"/>
      <c r="AO221" s="80"/>
      <c r="AP221" s="80"/>
      <c r="AQ221" s="80"/>
      <c r="AR221" s="80"/>
      <c r="AS221" s="80"/>
      <c r="AT221" s="80"/>
      <c r="AU221" s="80"/>
      <c r="AV221" s="80"/>
      <c r="AW221" s="80"/>
      <c r="AX221" s="80"/>
      <c r="AY221" s="80"/>
      <c r="AZ221" s="80"/>
      <c r="BA221" s="80"/>
      <c r="BB221" s="80"/>
      <c r="BC221" s="80"/>
      <c r="BD221" s="80"/>
      <c r="BE221" s="80"/>
      <c r="BF221" s="80"/>
      <c r="BG221" s="80"/>
      <c r="BH221" s="80"/>
      <c r="BI221" s="80"/>
      <c r="BJ221" s="80"/>
      <c r="BK221" s="80"/>
      <c r="BL221" s="80"/>
      <c r="BM221" s="80"/>
      <c r="BN221" s="80"/>
      <c r="BO221" s="80"/>
      <c r="BP221" s="80"/>
    </row>
    <row r="222" spans="4:68" s="8" customFormat="1" outlineLevel="1" x14ac:dyDescent="0.2">
      <c r="D222" s="403" t="s">
        <v>47</v>
      </c>
      <c r="E222" s="80"/>
      <c r="F222" s="80"/>
      <c r="G222" s="450">
        <f>SUM(H222:I222)</f>
        <v>2</v>
      </c>
      <c r="H222" s="501">
        <v>1</v>
      </c>
      <c r="I222" s="156">
        <v>1</v>
      </c>
      <c r="J222" s="83"/>
      <c r="K222" s="157" t="s">
        <v>53</v>
      </c>
      <c r="L222" s="80"/>
      <c r="M222" s="80"/>
      <c r="N222" s="80"/>
      <c r="O222" s="159">
        <v>5</v>
      </c>
      <c r="P222" s="66" t="s">
        <v>526</v>
      </c>
      <c r="Q222" s="80"/>
      <c r="R222" s="80"/>
      <c r="S222" s="80"/>
      <c r="T222" s="80"/>
      <c r="U222" s="80"/>
      <c r="V222" s="80"/>
      <c r="W222" s="80"/>
      <c r="X222" s="80"/>
      <c r="Y222" s="80"/>
      <c r="Z222" s="80"/>
      <c r="AA222" s="80"/>
      <c r="AB222" s="80"/>
      <c r="AC222" s="80"/>
      <c r="AD222" s="80"/>
      <c r="AE222" s="80"/>
      <c r="AF222" s="80"/>
      <c r="AG222" s="80"/>
      <c r="AH222" s="80"/>
      <c r="AI222" s="80"/>
      <c r="AJ222" s="80"/>
      <c r="AK222" s="80"/>
      <c r="AL222" s="80"/>
      <c r="AM222" s="80"/>
      <c r="AN222" s="80"/>
      <c r="AO222" s="80"/>
      <c r="AP222" s="80"/>
      <c r="AQ222" s="80"/>
      <c r="AR222" s="80"/>
      <c r="AS222" s="80"/>
      <c r="AT222" s="80"/>
      <c r="AU222" s="80"/>
      <c r="AV222" s="80"/>
      <c r="AW222" s="80"/>
      <c r="AX222" s="80"/>
      <c r="AY222" s="80"/>
      <c r="AZ222" s="80"/>
      <c r="BA222" s="80"/>
      <c r="BB222" s="80"/>
      <c r="BC222" s="80"/>
      <c r="BD222" s="80"/>
      <c r="BE222" s="80"/>
      <c r="BF222" s="80"/>
      <c r="BG222" s="80"/>
      <c r="BH222" s="80"/>
      <c r="BI222" s="80"/>
      <c r="BJ222" s="80"/>
      <c r="BK222" s="80"/>
      <c r="BL222" s="80"/>
      <c r="BM222" s="80"/>
      <c r="BN222" s="80"/>
      <c r="BO222" s="80"/>
      <c r="BP222" s="80"/>
    </row>
    <row r="223" spans="4:68" s="8" customFormat="1" outlineLevel="1" x14ac:dyDescent="0.2">
      <c r="D223" s="81" t="s">
        <v>54</v>
      </c>
      <c r="E223" s="80"/>
      <c r="F223" s="80"/>
      <c r="G223" s="450">
        <f t="shared" si="63"/>
        <v>1</v>
      </c>
      <c r="H223" s="501">
        <v>0</v>
      </c>
      <c r="I223" s="156">
        <v>1</v>
      </c>
      <c r="J223" s="83"/>
      <c r="K223" s="157" t="s">
        <v>54</v>
      </c>
      <c r="L223" s="80"/>
      <c r="M223" s="80"/>
      <c r="N223" s="80"/>
      <c r="O223" s="80"/>
      <c r="P223" s="80"/>
      <c r="Q223" s="80"/>
      <c r="R223" s="80"/>
      <c r="S223" s="80"/>
      <c r="T223" s="80"/>
      <c r="U223" s="80"/>
      <c r="V223" s="80"/>
      <c r="W223" s="80"/>
      <c r="X223" s="80"/>
      <c r="Y223" s="80"/>
      <c r="Z223" s="80"/>
      <c r="AA223" s="80"/>
      <c r="AB223" s="80"/>
      <c r="AC223" s="80"/>
      <c r="AD223" s="80"/>
      <c r="AE223" s="80"/>
      <c r="AF223" s="80"/>
      <c r="AG223" s="80"/>
      <c r="AH223" s="80"/>
      <c r="AI223" s="80"/>
      <c r="AJ223" s="80"/>
      <c r="AK223" s="80"/>
      <c r="AL223" s="80"/>
      <c r="AM223" s="80"/>
      <c r="AN223" s="80"/>
      <c r="AO223" s="80"/>
      <c r="AP223" s="80"/>
      <c r="AQ223" s="80"/>
      <c r="AR223" s="80"/>
      <c r="AS223" s="80"/>
      <c r="AT223" s="80"/>
      <c r="AU223" s="80"/>
      <c r="AV223" s="80"/>
      <c r="AW223" s="80"/>
      <c r="AX223" s="80"/>
      <c r="AY223" s="80"/>
      <c r="AZ223" s="80"/>
      <c r="BA223" s="80"/>
      <c r="BB223" s="80"/>
      <c r="BC223" s="80"/>
      <c r="BD223" s="80"/>
      <c r="BE223" s="80"/>
      <c r="BF223" s="80"/>
      <c r="BG223" s="80"/>
      <c r="BH223" s="80"/>
      <c r="BI223" s="80"/>
      <c r="BJ223" s="80"/>
      <c r="BK223" s="80"/>
      <c r="BL223" s="80"/>
      <c r="BM223" s="80"/>
      <c r="BN223" s="80"/>
      <c r="BO223" s="80"/>
      <c r="BP223" s="80"/>
    </row>
    <row r="224" spans="4:68" outlineLevel="1" x14ac:dyDescent="0.2">
      <c r="D224" s="432"/>
      <c r="E224" s="432"/>
      <c r="F224" s="432"/>
      <c r="G224" s="432"/>
      <c r="H224" s="432"/>
      <c r="I224" s="432"/>
      <c r="J224" s="401"/>
      <c r="K224" s="432"/>
      <c r="L224" s="432"/>
      <c r="M224" s="432"/>
      <c r="N224" s="432"/>
      <c r="O224" s="432"/>
      <c r="P224" s="432"/>
      <c r="Q224" s="432"/>
      <c r="R224" s="432"/>
      <c r="S224" s="432"/>
      <c r="T224" s="432"/>
      <c r="U224" s="432"/>
      <c r="V224" s="432"/>
      <c r="W224" s="432"/>
      <c r="X224" s="432"/>
      <c r="Y224" s="432"/>
      <c r="Z224" s="432"/>
      <c r="AA224" s="432"/>
      <c r="AB224" s="432"/>
      <c r="AC224" s="432"/>
      <c r="AD224" s="432"/>
      <c r="AE224" s="432"/>
      <c r="AF224" s="432"/>
      <c r="AG224" s="432"/>
      <c r="AH224" s="432"/>
      <c r="AI224" s="432"/>
      <c r="AJ224" s="432"/>
      <c r="AK224" s="432"/>
      <c r="AL224" s="432"/>
      <c r="AM224" s="432"/>
      <c r="AN224" s="432"/>
      <c r="AO224" s="432"/>
      <c r="AP224" s="432"/>
      <c r="AQ224" s="432"/>
      <c r="AR224" s="432"/>
      <c r="AS224" s="432"/>
      <c r="AT224" s="432"/>
      <c r="AU224" s="432"/>
      <c r="AV224" s="432"/>
      <c r="AW224" s="432"/>
      <c r="AX224" s="432"/>
      <c r="AY224" s="432"/>
      <c r="AZ224" s="432"/>
      <c r="BA224" s="432"/>
      <c r="BB224" s="432"/>
      <c r="BC224" s="432"/>
      <c r="BD224" s="432"/>
      <c r="BE224" s="432"/>
      <c r="BF224" s="432"/>
      <c r="BG224" s="432"/>
      <c r="BH224" s="432"/>
      <c r="BI224" s="432"/>
      <c r="BJ224" s="432"/>
      <c r="BK224" s="432"/>
      <c r="BL224" s="432"/>
      <c r="BM224" s="432"/>
      <c r="BN224" s="432"/>
      <c r="BO224" s="432"/>
      <c r="BP224" s="432"/>
    </row>
    <row r="225" spans="4:4" outlineLevel="1" x14ac:dyDescent="0.2">
      <c r="D225" s="432"/>
    </row>
    <row r="226" spans="4:4" x14ac:dyDescent="0.2">
      <c r="D226" s="432"/>
    </row>
    <row r="231" spans="4:4" x14ac:dyDescent="0.2">
      <c r="D231" s="390" t="s">
        <v>527</v>
      </c>
    </row>
    <row r="232" spans="4:4" x14ac:dyDescent="0.2">
      <c r="D232" s="156" t="s">
        <v>128</v>
      </c>
    </row>
    <row r="233" spans="4:4" x14ac:dyDescent="0.2">
      <c r="D233" s="156" t="s">
        <v>153</v>
      </c>
    </row>
  </sheetData>
  <mergeCells count="1">
    <mergeCell ref="K4:L4"/>
  </mergeCells>
  <conditionalFormatting sqref="F161">
    <cfRule type="containsText" dxfId="5" priority="5" operator="containsText" text="Ok">
      <formula>NOT(ISERROR(SEARCH("Ok",F161)))</formula>
    </cfRule>
    <cfRule type="containsText" dxfId="4" priority="6" operator="containsText" text="Check">
      <formula>NOT(ISERROR(SEARCH("Check",F161)))</formula>
    </cfRule>
  </conditionalFormatting>
  <conditionalFormatting sqref="R104:R142">
    <cfRule type="containsText" dxfId="3" priority="3" operator="containsText" text="Ok">
      <formula>NOT(ISERROR(SEARCH("Ok",R104)))</formula>
    </cfRule>
    <cfRule type="containsText" dxfId="2" priority="4" operator="containsText" text="Check">
      <formula>NOT(ISERROR(SEARCH("Check",R104)))</formula>
    </cfRule>
  </conditionalFormatting>
  <conditionalFormatting sqref="J47:J50">
    <cfRule type="containsText" dxfId="1" priority="1" operator="containsText" text="Ok">
      <formula>NOT(ISERROR(SEARCH("Ok",J47)))</formula>
    </cfRule>
    <cfRule type="containsText" dxfId="0" priority="2" operator="containsText" text="Check">
      <formula>NOT(ISERROR(SEARCH("Check",J47)))</formula>
    </cfRule>
  </conditionalFormatting>
  <pageMargins left="0.7" right="0.7" top="0.75" bottom="0.75" header="0.3" footer="0.3"/>
  <pageSetup paperSize="9" orientation="portrait" r:id="rId1"/>
  <headerFooter>
    <oddFooter>&amp;L&amp;1#&amp;"Calibri"&amp;8&amp;K000000For Official use only</oddFooter>
  </headerFooter>
  <customProperties>
    <customPr name="EpmWorksheetKeyString_GUID" r:id="rId2"/>
  </customProperties>
  <drawing r:id="rId3"/>
  <legacyDrawing r:id="rId4"/>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0" tint="-0.249977111117893"/>
  </sheetPr>
  <dimension ref="A1:N42"/>
  <sheetViews>
    <sheetView showGridLines="0" topLeftCell="A7" zoomScaleNormal="100" workbookViewId="0">
      <selection activeCell="B1" sqref="B1"/>
    </sheetView>
  </sheetViews>
  <sheetFormatPr defaultColWidth="9.140625" defaultRowHeight="10.199999999999999" x14ac:dyDescent="0.2"/>
  <cols>
    <col min="1" max="1" width="26.85546875" customWidth="1"/>
    <col min="2" max="2" width="18.28515625" customWidth="1"/>
    <col min="3" max="13" width="13.28515625" customWidth="1"/>
  </cols>
  <sheetData>
    <row r="1" spans="1:13" ht="14.4" x14ac:dyDescent="0.3">
      <c r="A1" s="68" t="s">
        <v>148</v>
      </c>
      <c r="B1" s="161">
        <f>Assumptions!J39</f>
        <v>3.4399999999999993E-2</v>
      </c>
      <c r="C1" s="117" t="s">
        <v>528</v>
      </c>
      <c r="L1" s="69"/>
      <c r="M1" s="69"/>
    </row>
    <row r="2" spans="1:13" ht="14.4" x14ac:dyDescent="0.3">
      <c r="A2" s="68" t="s">
        <v>162</v>
      </c>
      <c r="B2" s="162">
        <v>-1</v>
      </c>
    </row>
    <row r="3" spans="1:13" ht="14.4" x14ac:dyDescent="0.3">
      <c r="A3" s="68" t="s">
        <v>160</v>
      </c>
      <c r="B3" s="162">
        <v>1</v>
      </c>
    </row>
    <row r="4" spans="1:13" ht="14.4" x14ac:dyDescent="0.3">
      <c r="H4" s="163"/>
    </row>
    <row r="5" spans="1:13" ht="14.4" x14ac:dyDescent="0.3">
      <c r="A5" s="68" t="s">
        <v>529</v>
      </c>
      <c r="C5">
        <v>1</v>
      </c>
      <c r="D5">
        <v>2</v>
      </c>
      <c r="E5">
        <v>3</v>
      </c>
      <c r="F5">
        <v>4</v>
      </c>
      <c r="G5">
        <v>5</v>
      </c>
      <c r="H5">
        <v>6</v>
      </c>
      <c r="I5">
        <v>7</v>
      </c>
      <c r="J5">
        <v>8</v>
      </c>
      <c r="K5">
        <v>9</v>
      </c>
      <c r="L5">
        <v>10</v>
      </c>
      <c r="M5">
        <v>11</v>
      </c>
    </row>
    <row r="6" spans="1:13" ht="14.4" x14ac:dyDescent="0.3">
      <c r="A6" s="68" t="s">
        <v>530</v>
      </c>
      <c r="C6">
        <v>0</v>
      </c>
      <c r="D6">
        <v>1</v>
      </c>
      <c r="E6">
        <v>2</v>
      </c>
      <c r="F6">
        <v>3</v>
      </c>
      <c r="G6">
        <v>4</v>
      </c>
      <c r="H6">
        <v>5</v>
      </c>
      <c r="I6">
        <v>6</v>
      </c>
      <c r="J6">
        <v>7</v>
      </c>
      <c r="K6">
        <v>8</v>
      </c>
      <c r="L6">
        <v>9</v>
      </c>
      <c r="M6">
        <v>10</v>
      </c>
    </row>
    <row r="7" spans="1:13" ht="14.4" x14ac:dyDescent="0.3">
      <c r="A7" s="68" t="s">
        <v>531</v>
      </c>
      <c r="C7" s="164">
        <f>1/G8</f>
        <v>1.1448643906768894</v>
      </c>
      <c r="D7" s="164">
        <f>1/F8</f>
        <v>1.106790787584</v>
      </c>
      <c r="E7" s="164">
        <f>1/E8</f>
        <v>1.0699833599999999</v>
      </c>
      <c r="F7" s="164">
        <f>1/D8</f>
        <v>1.0344</v>
      </c>
      <c r="G7" s="164">
        <f>1/C8</f>
        <v>1</v>
      </c>
      <c r="H7" s="164">
        <f t="shared" ref="H7:M7" si="0">1/D8</f>
        <v>1.0344</v>
      </c>
      <c r="I7" s="164">
        <f t="shared" si="0"/>
        <v>1.0699833599999999</v>
      </c>
      <c r="J7" s="164">
        <f t="shared" si="0"/>
        <v>1.106790787584</v>
      </c>
      <c r="K7" s="164">
        <f t="shared" si="0"/>
        <v>1.1448643906768894</v>
      </c>
      <c r="L7" s="164">
        <f t="shared" si="0"/>
        <v>1.1842477257161743</v>
      </c>
      <c r="M7" s="164">
        <f t="shared" si="0"/>
        <v>1.2249858474808106</v>
      </c>
    </row>
    <row r="8" spans="1:13" ht="14.4" x14ac:dyDescent="0.3">
      <c r="A8" s="68" t="s">
        <v>532</v>
      </c>
      <c r="C8" s="164">
        <f t="shared" ref="C8:M8" si="1">1/(1+$B$1)^(C6)</f>
        <v>1</v>
      </c>
      <c r="D8" s="164">
        <f t="shared" si="1"/>
        <v>0.96674400618716161</v>
      </c>
      <c r="E8" s="164">
        <f t="shared" si="1"/>
        <v>0.93459397349880291</v>
      </c>
      <c r="F8" s="164">
        <f t="shared" si="1"/>
        <v>0.90351312209861068</v>
      </c>
      <c r="G8" s="164">
        <f t="shared" si="1"/>
        <v>0.87346589530028107</v>
      </c>
      <c r="H8" s="164">
        <f t="shared" si="1"/>
        <v>0.8444179188904497</v>
      </c>
      <c r="I8" s="164">
        <f t="shared" si="1"/>
        <v>0.81633596180437906</v>
      </c>
      <c r="J8" s="164">
        <f t="shared" si="1"/>
        <v>0.78918789810941514</v>
      </c>
      <c r="K8" s="164">
        <f t="shared" si="1"/>
        <v>0.76294267025272167</v>
      </c>
      <c r="L8" s="164">
        <f t="shared" si="1"/>
        <v>0.73757025353124683</v>
      </c>
      <c r="M8" s="164">
        <f t="shared" si="1"/>
        <v>0.71304162174327812</v>
      </c>
    </row>
    <row r="9" spans="1:13" ht="15" thickBot="1" x14ac:dyDescent="0.35">
      <c r="A9" s="70" t="s">
        <v>533</v>
      </c>
      <c r="C9" s="68" t="s">
        <v>534</v>
      </c>
      <c r="D9" s="68" t="s">
        <v>535</v>
      </c>
      <c r="E9" s="68" t="s">
        <v>536</v>
      </c>
      <c r="F9" s="68" t="s">
        <v>537</v>
      </c>
      <c r="G9" s="68" t="s">
        <v>538</v>
      </c>
      <c r="H9" s="68" t="s">
        <v>539</v>
      </c>
      <c r="I9" s="68" t="s">
        <v>540</v>
      </c>
      <c r="J9" s="68" t="s">
        <v>541</v>
      </c>
      <c r="K9" s="68" t="s">
        <v>542</v>
      </c>
      <c r="L9" s="68" t="s">
        <v>543</v>
      </c>
      <c r="M9" s="68" t="s">
        <v>544</v>
      </c>
    </row>
    <row r="10" spans="1:13" ht="14.4" x14ac:dyDescent="0.3">
      <c r="A10" s="68" t="s">
        <v>160</v>
      </c>
      <c r="C10" s="71">
        <f>$B$3*(1+$B$1)^0.5</f>
        <v>1.0170545708072896</v>
      </c>
      <c r="D10" s="71"/>
      <c r="E10" s="71"/>
      <c r="F10" s="71"/>
      <c r="G10" s="71"/>
      <c r="H10" s="71"/>
      <c r="I10" s="71"/>
      <c r="J10" s="71"/>
      <c r="K10" s="71"/>
      <c r="L10" s="71"/>
    </row>
    <row r="11" spans="1:13" ht="14.4" x14ac:dyDescent="0.3">
      <c r="A11" s="68" t="s">
        <v>545</v>
      </c>
      <c r="C11" s="72"/>
      <c r="D11" s="118">
        <f>-$C$10*$B$1/F8</f>
        <v>-3.8722932052725909E-2</v>
      </c>
      <c r="E11" s="118">
        <f>-$C$10*$B$1/E8</f>
        <v>-3.7435162463965499E-2</v>
      </c>
      <c r="F11" s="118">
        <f>-$C$10*$B$1/D8</f>
        <v>-3.6190218932681269E-2</v>
      </c>
      <c r="G11" s="118">
        <f>-$C$10*$B$1/C8</f>
        <v>-3.4986677235770751E-2</v>
      </c>
      <c r="H11" s="72"/>
      <c r="I11" s="72"/>
      <c r="J11" s="72"/>
      <c r="K11" s="72"/>
      <c r="L11" s="72"/>
    </row>
    <row r="12" spans="1:13" ht="14.4" x14ac:dyDescent="0.3">
      <c r="A12" s="68" t="s">
        <v>546</v>
      </c>
      <c r="C12" s="71">
        <v>0</v>
      </c>
      <c r="D12" s="71">
        <v>0</v>
      </c>
      <c r="E12" s="71">
        <v>0</v>
      </c>
      <c r="F12" s="71">
        <v>0</v>
      </c>
      <c r="G12" s="71">
        <v>0</v>
      </c>
      <c r="H12" s="74">
        <f>-SUMPRODUCT(C10:G10,C7:G7)*0.3-SUM(C11:G11)</f>
        <v>-0.20198187776258641</v>
      </c>
      <c r="I12" s="71"/>
      <c r="J12" s="71"/>
      <c r="K12" s="71"/>
      <c r="L12" s="71"/>
    </row>
    <row r="13" spans="1:13" ht="15" thickBot="1" x14ac:dyDescent="0.35">
      <c r="A13" s="68" t="s">
        <v>547</v>
      </c>
      <c r="C13" s="75">
        <f>SUM(C10:C12)</f>
        <v>1.0170545708072896</v>
      </c>
      <c r="D13" s="75">
        <f t="shared" ref="D13:M13" si="2">SUM(D10:D12)</f>
        <v>-3.8722932052725909E-2</v>
      </c>
      <c r="E13" s="75">
        <f t="shared" si="2"/>
        <v>-3.7435162463965499E-2</v>
      </c>
      <c r="F13" s="75">
        <f t="shared" si="2"/>
        <v>-3.6190218932681269E-2</v>
      </c>
      <c r="G13" s="75">
        <f t="shared" si="2"/>
        <v>-3.4986677235770751E-2</v>
      </c>
      <c r="H13" s="75">
        <f t="shared" si="2"/>
        <v>-0.20198187776258641</v>
      </c>
      <c r="I13" s="75">
        <f t="shared" si="2"/>
        <v>0</v>
      </c>
      <c r="J13" s="75">
        <f t="shared" si="2"/>
        <v>0</v>
      </c>
      <c r="K13" s="75">
        <f t="shared" si="2"/>
        <v>0</v>
      </c>
      <c r="L13" s="75">
        <f t="shared" si="2"/>
        <v>0</v>
      </c>
      <c r="M13" s="75">
        <f t="shared" si="2"/>
        <v>0</v>
      </c>
    </row>
    <row r="14" spans="1:13" ht="15" thickTop="1" x14ac:dyDescent="0.3">
      <c r="A14" s="68"/>
      <c r="C14" s="71"/>
      <c r="D14" s="71"/>
      <c r="E14" s="71"/>
      <c r="F14" s="71"/>
      <c r="G14" s="71"/>
      <c r="H14" s="71"/>
      <c r="I14" s="71"/>
      <c r="J14" s="71"/>
      <c r="K14" s="71"/>
      <c r="L14" s="71"/>
      <c r="M14" s="71"/>
    </row>
    <row r="15" spans="1:13" ht="14.4" x14ac:dyDescent="0.3">
      <c r="A15" s="68" t="s">
        <v>160</v>
      </c>
      <c r="C15" s="71">
        <f>$B$3*(1+$B$1)^0.5</f>
        <v>1.0170545708072896</v>
      </c>
      <c r="D15" s="71"/>
      <c r="E15" s="71"/>
      <c r="F15" s="71"/>
      <c r="G15" s="71"/>
      <c r="H15" s="71"/>
      <c r="I15" s="71"/>
      <c r="J15" s="71"/>
      <c r="K15" s="71"/>
      <c r="L15" s="71"/>
      <c r="M15" s="71"/>
    </row>
    <row r="16" spans="1:13" ht="14.4" x14ac:dyDescent="0.3">
      <c r="A16" s="68" t="s">
        <v>548</v>
      </c>
      <c r="C16" s="72"/>
      <c r="D16" s="118"/>
      <c r="E16" s="118"/>
      <c r="F16" s="118"/>
      <c r="G16" s="118"/>
      <c r="H16" s="72"/>
      <c r="I16" s="72"/>
      <c r="J16" s="72"/>
      <c r="K16" s="72"/>
      <c r="L16" s="72"/>
    </row>
    <row r="17" spans="1:14" ht="14.4" x14ac:dyDescent="0.3">
      <c r="A17" s="68" t="s">
        <v>546</v>
      </c>
      <c r="C17" s="71">
        <v>0</v>
      </c>
      <c r="D17" s="71">
        <v>0</v>
      </c>
      <c r="E17" s="71">
        <v>0</v>
      </c>
      <c r="F17" s="71">
        <v>0</v>
      </c>
      <c r="G17" s="71">
        <v>0</v>
      </c>
      <c r="H17" s="74">
        <f>-SUMPRODUCT(C15:G15,C7:G7)*0.7-SUM(C16:G16)</f>
        <v>-0.81507269304470298</v>
      </c>
      <c r="I17" s="71"/>
      <c r="J17" s="71"/>
      <c r="K17" s="71"/>
      <c r="L17" s="71"/>
    </row>
    <row r="18" spans="1:14" ht="15" thickBot="1" x14ac:dyDescent="0.35">
      <c r="A18" s="68" t="s">
        <v>549</v>
      </c>
      <c r="C18" s="75">
        <f>SUM(C15:C17)</f>
        <v>1.0170545708072896</v>
      </c>
      <c r="D18" s="75">
        <f t="shared" ref="D18:M18" si="3">SUM(D15:D17)</f>
        <v>0</v>
      </c>
      <c r="E18" s="75">
        <f t="shared" si="3"/>
        <v>0</v>
      </c>
      <c r="F18" s="75">
        <f t="shared" si="3"/>
        <v>0</v>
      </c>
      <c r="G18" s="75">
        <f t="shared" si="3"/>
        <v>0</v>
      </c>
      <c r="H18" s="75">
        <f t="shared" si="3"/>
        <v>-0.81507269304470298</v>
      </c>
      <c r="I18" s="75">
        <f t="shared" si="3"/>
        <v>0</v>
      </c>
      <c r="J18" s="75">
        <f t="shared" si="3"/>
        <v>0</v>
      </c>
      <c r="K18" s="75">
        <f t="shared" si="3"/>
        <v>0</v>
      </c>
      <c r="L18" s="75">
        <f t="shared" si="3"/>
        <v>0</v>
      </c>
      <c r="M18" s="75">
        <f t="shared" si="3"/>
        <v>0</v>
      </c>
    </row>
    <row r="19" spans="1:14" ht="15" thickTop="1" x14ac:dyDescent="0.3">
      <c r="A19" s="68"/>
      <c r="C19" s="71"/>
      <c r="D19" s="71"/>
      <c r="E19" s="71"/>
      <c r="F19" s="71"/>
      <c r="G19" s="71"/>
      <c r="H19" s="71"/>
      <c r="I19" s="71"/>
      <c r="J19" s="71"/>
      <c r="K19" s="71"/>
      <c r="L19" s="71"/>
      <c r="M19" s="71"/>
    </row>
    <row r="20" spans="1:14" ht="14.4" x14ac:dyDescent="0.3">
      <c r="A20" s="68"/>
      <c r="C20" t="s">
        <v>550</v>
      </c>
      <c r="D20" s="71"/>
      <c r="E20" s="71"/>
      <c r="F20" s="71"/>
      <c r="G20" s="71"/>
      <c r="H20" s="71"/>
      <c r="I20" s="71"/>
      <c r="J20" s="71"/>
      <c r="K20" s="71"/>
      <c r="L20" s="71"/>
      <c r="M20" s="71"/>
    </row>
    <row r="21" spans="1:14" ht="14.4" x14ac:dyDescent="0.3">
      <c r="A21" s="68" t="s">
        <v>529</v>
      </c>
      <c r="C21" s="115">
        <f>Calcs!J168</f>
        <v>0</v>
      </c>
      <c r="D21">
        <f>C21+1</f>
        <v>1</v>
      </c>
      <c r="E21">
        <f t="shared" ref="E21:M21" si="4">D21+1</f>
        <v>2</v>
      </c>
      <c r="F21">
        <f t="shared" si="4"/>
        <v>3</v>
      </c>
      <c r="G21">
        <f t="shared" si="4"/>
        <v>4</v>
      </c>
      <c r="H21">
        <f t="shared" si="4"/>
        <v>5</v>
      </c>
      <c r="I21">
        <f t="shared" si="4"/>
        <v>6</v>
      </c>
      <c r="J21">
        <f t="shared" si="4"/>
        <v>7</v>
      </c>
      <c r="K21">
        <f t="shared" si="4"/>
        <v>8</v>
      </c>
      <c r="L21">
        <f t="shared" si="4"/>
        <v>9</v>
      </c>
      <c r="M21">
        <f t="shared" si="4"/>
        <v>10</v>
      </c>
      <c r="N21" s="116" t="s">
        <v>239</v>
      </c>
    </row>
    <row r="22" spans="1:14" ht="14.4" x14ac:dyDescent="0.3">
      <c r="A22" s="68" t="s">
        <v>530</v>
      </c>
      <c r="B22" s="52"/>
      <c r="C22">
        <f t="shared" ref="C22:M22" si="5">$C$21+C5</f>
        <v>1</v>
      </c>
      <c r="D22">
        <f t="shared" si="5"/>
        <v>2</v>
      </c>
      <c r="E22">
        <f t="shared" si="5"/>
        <v>3</v>
      </c>
      <c r="F22">
        <f t="shared" si="5"/>
        <v>4</v>
      </c>
      <c r="G22">
        <f t="shared" si="5"/>
        <v>5</v>
      </c>
      <c r="H22">
        <f t="shared" si="5"/>
        <v>6</v>
      </c>
      <c r="I22">
        <f t="shared" si="5"/>
        <v>7</v>
      </c>
      <c r="J22">
        <f t="shared" si="5"/>
        <v>8</v>
      </c>
      <c r="K22">
        <f t="shared" si="5"/>
        <v>9</v>
      </c>
      <c r="L22">
        <f t="shared" si="5"/>
        <v>10</v>
      </c>
      <c r="M22">
        <f t="shared" si="5"/>
        <v>11</v>
      </c>
      <c r="N22" s="116"/>
    </row>
    <row r="23" spans="1:14" ht="14.4" x14ac:dyDescent="0.3">
      <c r="A23" s="68"/>
      <c r="B23" s="52"/>
      <c r="N23" s="116"/>
    </row>
    <row r="24" spans="1:14" ht="14.4" x14ac:dyDescent="0.3">
      <c r="A24" s="68" t="s">
        <v>551</v>
      </c>
      <c r="C24" s="119">
        <f>INDEX(Calcs!$R$168:$BP$168,1,C22)</f>
        <v>0</v>
      </c>
      <c r="D24" s="119">
        <f>INDEX(Calcs!$R$168:$BP$168,1,D22)</f>
        <v>0</v>
      </c>
      <c r="E24" s="119">
        <f>INDEX(Calcs!$R$168:$BP$168,1,E22)</f>
        <v>0</v>
      </c>
      <c r="F24" s="119">
        <f>INDEX(Calcs!$R$168:$BP$168,1,F22)</f>
        <v>0</v>
      </c>
      <c r="G24" s="119">
        <f>INDEX(Calcs!$R$168:$BP$168,1,G22)</f>
        <v>0</v>
      </c>
      <c r="H24" s="120"/>
      <c r="I24" s="120"/>
      <c r="J24" s="120"/>
      <c r="K24" s="120"/>
      <c r="L24" s="120"/>
      <c r="M24" s="120"/>
      <c r="N24" s="116" t="s">
        <v>552</v>
      </c>
    </row>
    <row r="25" spans="1:14" ht="14.4" x14ac:dyDescent="0.3">
      <c r="A25" s="68" t="s">
        <v>553</v>
      </c>
      <c r="C25" s="120">
        <f>C24</f>
        <v>0</v>
      </c>
      <c r="D25" s="120">
        <f>D24-(C24)</f>
        <v>0</v>
      </c>
      <c r="E25" s="120">
        <f t="shared" ref="E25:G25" si="6">E24-(D24)</f>
        <v>0</v>
      </c>
      <c r="F25" s="120">
        <f t="shared" si="6"/>
        <v>0</v>
      </c>
      <c r="G25" s="120">
        <f t="shared" si="6"/>
        <v>0</v>
      </c>
      <c r="H25" s="120"/>
      <c r="I25" s="120"/>
      <c r="J25" s="120"/>
      <c r="K25" s="120"/>
      <c r="L25" s="120"/>
      <c r="M25" s="120"/>
    </row>
    <row r="26" spans="1:14" ht="14.4" x14ac:dyDescent="0.3">
      <c r="A26" s="68" t="s">
        <v>554</v>
      </c>
      <c r="C26" s="121"/>
      <c r="D26" s="120">
        <f>$C$25</f>
        <v>0</v>
      </c>
      <c r="E26" s="120">
        <f t="shared" ref="E26:H26" si="7">$C$25</f>
        <v>0</v>
      </c>
      <c r="F26" s="120">
        <f>$C$25</f>
        <v>0</v>
      </c>
      <c r="G26" s="120">
        <f t="shared" si="7"/>
        <v>0</v>
      </c>
      <c r="H26" s="120">
        <f t="shared" si="7"/>
        <v>0</v>
      </c>
      <c r="I26" s="121"/>
      <c r="J26" s="121"/>
      <c r="K26" s="121"/>
      <c r="L26" s="121"/>
      <c r="M26" s="121"/>
    </row>
    <row r="27" spans="1:14" ht="14.4" x14ac:dyDescent="0.3">
      <c r="A27" s="68" t="s">
        <v>555</v>
      </c>
      <c r="C27" s="121"/>
      <c r="D27" s="121"/>
      <c r="E27" s="120">
        <f>$D$25</f>
        <v>0</v>
      </c>
      <c r="F27" s="120">
        <f t="shared" ref="F27:H27" si="8">$D$25</f>
        <v>0</v>
      </c>
      <c r="G27" s="120">
        <f t="shared" si="8"/>
        <v>0</v>
      </c>
      <c r="H27" s="120">
        <f t="shared" si="8"/>
        <v>0</v>
      </c>
      <c r="I27" s="120">
        <f>$D$25</f>
        <v>0</v>
      </c>
      <c r="J27" s="121"/>
      <c r="K27" s="121"/>
      <c r="L27" s="121"/>
      <c r="M27" s="121"/>
    </row>
    <row r="28" spans="1:14" ht="14.4" x14ac:dyDescent="0.3">
      <c r="A28" s="68" t="s">
        <v>556</v>
      </c>
      <c r="C28" s="121"/>
      <c r="D28" s="121"/>
      <c r="E28" s="121"/>
      <c r="F28" s="120">
        <f>$E$25</f>
        <v>0</v>
      </c>
      <c r="G28" s="120">
        <f t="shared" ref="G28:J28" si="9">$E$25</f>
        <v>0</v>
      </c>
      <c r="H28" s="120">
        <f t="shared" si="9"/>
        <v>0</v>
      </c>
      <c r="I28" s="120">
        <f t="shared" si="9"/>
        <v>0</v>
      </c>
      <c r="J28" s="120">
        <f t="shared" si="9"/>
        <v>0</v>
      </c>
      <c r="K28" s="121"/>
      <c r="L28" s="121"/>
      <c r="M28" s="121"/>
    </row>
    <row r="29" spans="1:14" ht="14.4" x14ac:dyDescent="0.3">
      <c r="A29" s="68" t="s">
        <v>557</v>
      </c>
      <c r="C29" s="121"/>
      <c r="D29" s="121"/>
      <c r="E29" s="121"/>
      <c r="F29" s="121"/>
      <c r="G29" s="120">
        <f>$F$25</f>
        <v>0</v>
      </c>
      <c r="H29" s="120">
        <f t="shared" ref="H29:K29" si="10">$F$25</f>
        <v>0</v>
      </c>
      <c r="I29" s="120">
        <f t="shared" si="10"/>
        <v>0</v>
      </c>
      <c r="J29" s="120">
        <f t="shared" si="10"/>
        <v>0</v>
      </c>
      <c r="K29" s="120">
        <f t="shared" si="10"/>
        <v>0</v>
      </c>
      <c r="L29" s="121"/>
      <c r="M29" s="121"/>
    </row>
    <row r="30" spans="1:14" ht="14.4" x14ac:dyDescent="0.3">
      <c r="A30" s="68" t="s">
        <v>558</v>
      </c>
      <c r="C30" s="121"/>
      <c r="D30" s="121"/>
      <c r="E30" s="121"/>
      <c r="F30" s="121"/>
      <c r="G30" s="121"/>
      <c r="H30" s="120">
        <f>$G$25</f>
        <v>0</v>
      </c>
      <c r="I30" s="120">
        <f t="shared" ref="I30:L30" si="11">$G$25</f>
        <v>0</v>
      </c>
      <c r="J30" s="120">
        <f t="shared" si="11"/>
        <v>0</v>
      </c>
      <c r="K30" s="120">
        <f t="shared" si="11"/>
        <v>0</v>
      </c>
      <c r="L30" s="120">
        <f t="shared" si="11"/>
        <v>0</v>
      </c>
      <c r="M30" s="121"/>
    </row>
    <row r="31" spans="1:14" ht="15" thickBot="1" x14ac:dyDescent="0.35">
      <c r="A31" s="68" t="s">
        <v>559</v>
      </c>
      <c r="C31" s="122">
        <f>SUM(C25:C30)</f>
        <v>0</v>
      </c>
      <c r="D31" s="122">
        <f t="shared" ref="D31:H31" si="12">SUM(D25:D30)</f>
        <v>0</v>
      </c>
      <c r="E31" s="122">
        <f t="shared" si="12"/>
        <v>0</v>
      </c>
      <c r="F31" s="122">
        <f t="shared" si="12"/>
        <v>0</v>
      </c>
      <c r="G31" s="122">
        <f t="shared" si="12"/>
        <v>0</v>
      </c>
      <c r="H31" s="122">
        <f t="shared" si="12"/>
        <v>0</v>
      </c>
      <c r="I31" s="122">
        <f>SUM(I25:I30)+SUM($C$25:$G$25)</f>
        <v>0</v>
      </c>
      <c r="J31" s="122">
        <f t="shared" ref="J31:M31" si="13">SUM(J25:J30)+SUM($C$25:$G$25)</f>
        <v>0</v>
      </c>
      <c r="K31" s="122">
        <f t="shared" si="13"/>
        <v>0</v>
      </c>
      <c r="L31" s="122">
        <f t="shared" si="13"/>
        <v>0</v>
      </c>
      <c r="M31" s="122">
        <f t="shared" si="13"/>
        <v>0</v>
      </c>
      <c r="N31" s="117" t="s">
        <v>560</v>
      </c>
    </row>
    <row r="32" spans="1:14" ht="15.6" thickTop="1" thickBot="1" x14ac:dyDescent="0.35">
      <c r="A32" s="68" t="s">
        <v>561</v>
      </c>
      <c r="C32" s="122">
        <f>SUM(C25:C30)</f>
        <v>0</v>
      </c>
      <c r="D32" s="122">
        <f t="shared" ref="D32:M32" si="14">SUM(D25:D30)</f>
        <v>0</v>
      </c>
      <c r="E32" s="122">
        <f t="shared" si="14"/>
        <v>0</v>
      </c>
      <c r="F32" s="122">
        <f t="shared" si="14"/>
        <v>0</v>
      </c>
      <c r="G32" s="122">
        <f t="shared" si="14"/>
        <v>0</v>
      </c>
      <c r="H32" s="122">
        <f t="shared" si="14"/>
        <v>0</v>
      </c>
      <c r="I32" s="122">
        <f t="shared" si="14"/>
        <v>0</v>
      </c>
      <c r="J32" s="122">
        <f t="shared" si="14"/>
        <v>0</v>
      </c>
      <c r="K32" s="122">
        <f t="shared" si="14"/>
        <v>0</v>
      </c>
      <c r="L32" s="122">
        <f t="shared" si="14"/>
        <v>0</v>
      </c>
      <c r="M32" s="122">
        <f t="shared" si="14"/>
        <v>0</v>
      </c>
    </row>
    <row r="33" spans="1:14" ht="15.6" thickTop="1" thickBot="1" x14ac:dyDescent="0.35">
      <c r="A33" s="68" t="s">
        <v>562</v>
      </c>
      <c r="C33" s="122"/>
      <c r="D33" s="122"/>
      <c r="E33" s="122"/>
      <c r="F33" s="122"/>
      <c r="G33" s="122"/>
      <c r="H33" s="122"/>
      <c r="I33" s="122">
        <f>SUM($C$25:$G$25)</f>
        <v>0</v>
      </c>
      <c r="J33" s="122">
        <f t="shared" ref="J33:M33" si="15">SUM($C$25:$G$25)</f>
        <v>0</v>
      </c>
      <c r="K33" s="122">
        <f t="shared" si="15"/>
        <v>0</v>
      </c>
      <c r="L33" s="122">
        <f t="shared" si="15"/>
        <v>0</v>
      </c>
      <c r="M33" s="122">
        <f t="shared" si="15"/>
        <v>0</v>
      </c>
      <c r="N33" s="117" t="s">
        <v>560</v>
      </c>
    </row>
    <row r="34" spans="1:14" ht="15" thickTop="1" x14ac:dyDescent="0.3">
      <c r="A34" s="68"/>
      <c r="C34" s="120"/>
      <c r="D34" s="120"/>
      <c r="E34" s="120"/>
      <c r="F34" s="120"/>
      <c r="G34" s="120"/>
      <c r="H34" s="120"/>
      <c r="I34" s="120"/>
      <c r="J34" s="120"/>
      <c r="K34" s="120"/>
      <c r="L34" s="120"/>
      <c r="M34" s="120"/>
      <c r="N34" s="117"/>
    </row>
    <row r="35" spans="1:14" x14ac:dyDescent="0.2">
      <c r="C35" s="52" t="s">
        <v>64</v>
      </c>
      <c r="D35" s="52" t="s">
        <v>64</v>
      </c>
      <c r="E35" s="52" t="s">
        <v>64</v>
      </c>
      <c r="F35" s="52" t="s">
        <v>64</v>
      </c>
      <c r="G35" s="52" t="s">
        <v>64</v>
      </c>
      <c r="H35" s="52" t="s">
        <v>64</v>
      </c>
      <c r="I35" s="52" t="s">
        <v>63</v>
      </c>
      <c r="J35" s="52" t="s">
        <v>63</v>
      </c>
      <c r="K35" s="52" t="s">
        <v>63</v>
      </c>
      <c r="L35" s="52" t="s">
        <v>63</v>
      </c>
      <c r="M35" s="52" t="s">
        <v>63</v>
      </c>
    </row>
    <row r="36" spans="1:14" ht="14.4" x14ac:dyDescent="0.3">
      <c r="A36" s="68" t="s">
        <v>563</v>
      </c>
      <c r="C36" s="165">
        <f>SUMPRODUCT(C12:L12,C8:L8)</f>
        <v>-0.17055711687386843</v>
      </c>
      <c r="D36" s="116" t="s">
        <v>564</v>
      </c>
    </row>
    <row r="37" spans="1:14" ht="14.4" x14ac:dyDescent="0.3">
      <c r="A37" s="68" t="s">
        <v>565</v>
      </c>
      <c r="C37" s="165">
        <f>SUMPRODUCT(C17:L17,C8:L8)</f>
        <v>-0.68826198720524245</v>
      </c>
      <c r="D37" s="116" t="s">
        <v>566</v>
      </c>
    </row>
    <row r="38" spans="1:14" ht="14.4" x14ac:dyDescent="0.3">
      <c r="A38" s="68" t="s">
        <v>567</v>
      </c>
      <c r="C38" s="170">
        <f>SUMPRODUCT(C31:M31,C8:M8)</f>
        <v>0</v>
      </c>
      <c r="D38" s="76"/>
      <c r="E38" s="164"/>
    </row>
    <row r="39" spans="1:14" ht="15" thickBot="1" x14ac:dyDescent="0.35">
      <c r="A39" s="68" t="s">
        <v>329</v>
      </c>
      <c r="C39" s="171">
        <f>SUM(C36:C38)</f>
        <v>-0.85881910407911088</v>
      </c>
    </row>
    <row r="40" spans="1:14" ht="10.8" thickTop="1" x14ac:dyDescent="0.2">
      <c r="H40" s="77"/>
    </row>
    <row r="41" spans="1:14" x14ac:dyDescent="0.2">
      <c r="C41" s="72"/>
    </row>
    <row r="42" spans="1:14" x14ac:dyDescent="0.2">
      <c r="H42" s="73"/>
    </row>
  </sheetData>
  <pageMargins left="0.7" right="0.7" top="0.75" bottom="0.75" header="0.3" footer="0.3"/>
  <pageSetup paperSize="9" orientation="portrait" r:id="rId1"/>
  <headerFooter>
    <oddFooter>&amp;L&amp;1#&amp;"Calibri"&amp;8&amp;K000000For Official use only</oddFooter>
  </headerFooter>
  <customProperties>
    <customPr name="EpmWorksheetKeyString_GUID" r:id="rId2"/>
  </customPropertie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AF50E9-49A2-4A3E-9ABC-061FE78ABB93}">
  <sheetPr>
    <tabColor theme="7"/>
    <outlinePr summaryBelow="0"/>
  </sheetPr>
  <dimension ref="A1:BF67"/>
  <sheetViews>
    <sheetView showGridLines="0" tabSelected="1" zoomScale="120" zoomScaleNormal="120" workbookViewId="0">
      <pane ySplit="5" topLeftCell="A9" activePane="bottomLeft" state="frozen"/>
      <selection pane="bottomLeft" activeCell="G27" sqref="G27"/>
    </sheetView>
  </sheetViews>
  <sheetFormatPr defaultColWidth="9.140625" defaultRowHeight="10.199999999999999" outlineLevelRow="1" x14ac:dyDescent="0.2"/>
  <cols>
    <col min="1" max="3" width="0.85546875" customWidth="1"/>
    <col min="4" max="4" width="40.7109375" customWidth="1"/>
    <col min="5" max="24" width="12.85546875" customWidth="1"/>
    <col min="25" max="26" width="10.7109375" customWidth="1"/>
  </cols>
  <sheetData>
    <row r="1" spans="1:58" s="2" customFormat="1" ht="10.35" customHeight="1" x14ac:dyDescent="0.2">
      <c r="A1" s="1" t="s">
        <v>12</v>
      </c>
      <c r="B1" s="392"/>
      <c r="C1" s="392"/>
      <c r="D1" s="392"/>
      <c r="E1" s="392"/>
      <c r="F1" s="392"/>
      <c r="G1" s="392"/>
      <c r="H1" s="392"/>
      <c r="I1" s="392"/>
      <c r="J1" s="392"/>
      <c r="K1" s="392"/>
      <c r="L1" s="392"/>
      <c r="M1" s="392"/>
      <c r="N1" s="392"/>
      <c r="O1" s="392"/>
      <c r="P1" s="392"/>
      <c r="Q1" s="392"/>
      <c r="R1" s="392"/>
      <c r="S1" s="392"/>
      <c r="T1" s="392"/>
      <c r="U1" s="3"/>
      <c r="V1" s="4"/>
      <c r="W1" s="392"/>
      <c r="X1" s="5"/>
      <c r="Y1" s="392"/>
      <c r="Z1" s="392"/>
      <c r="AA1" s="392"/>
      <c r="AB1" s="392"/>
      <c r="AC1" s="392"/>
      <c r="AD1" s="392"/>
      <c r="AE1" s="392"/>
      <c r="AF1" s="392"/>
      <c r="AG1" s="392"/>
      <c r="AH1" s="392"/>
      <c r="AI1" s="392"/>
      <c r="AJ1" s="392"/>
      <c r="AK1" s="392"/>
      <c r="AL1" s="392"/>
      <c r="AM1" s="392"/>
      <c r="AN1" s="392"/>
      <c r="AO1" s="392"/>
      <c r="AP1" s="392"/>
      <c r="AQ1" s="392"/>
      <c r="AR1" s="392"/>
      <c r="AS1" s="392"/>
      <c r="AT1" s="392"/>
      <c r="AU1" s="1"/>
      <c r="AV1" s="392"/>
      <c r="AW1" s="6"/>
      <c r="AX1" s="392"/>
      <c r="AY1" s="392"/>
      <c r="AZ1" s="392"/>
      <c r="BA1" s="392"/>
      <c r="BB1" s="392"/>
      <c r="BC1" s="392"/>
      <c r="BD1" s="1"/>
      <c r="BE1" s="392"/>
      <c r="BF1" s="6"/>
    </row>
    <row r="2" spans="1:58" s="2" customFormat="1" ht="10.35" customHeight="1" x14ac:dyDescent="0.2">
      <c r="A2" s="392"/>
      <c r="B2" s="160" t="str">
        <f ca="1">RIGHT(CELL("filename",A1),LEN(CELL("filename",A1))-FIND("]",CELL("filename",A1)))</f>
        <v>QuickCalc</v>
      </c>
      <c r="C2" s="392"/>
      <c r="D2" s="392"/>
      <c r="E2" s="348" t="str">
        <f>"FY"&amp;RIGHT(Assumptions!$L$19+E9,2)</f>
        <v>FY22</v>
      </c>
      <c r="F2" s="348" t="str">
        <f>"FY"&amp;RIGHT(Assumptions!$L$19+F9,2)</f>
        <v>FY23</v>
      </c>
      <c r="G2" s="348" t="str">
        <f>"FY"&amp;RIGHT(Assumptions!$L$19+G9,2)</f>
        <v>FY24</v>
      </c>
      <c r="H2" s="348" t="str">
        <f>"FY"&amp;RIGHT(Assumptions!$L$19+H9,2)</f>
        <v>FY25</v>
      </c>
      <c r="I2" s="348" t="str">
        <f>"FY"&amp;RIGHT(Assumptions!$L$19+I9,2)</f>
        <v>FY26</v>
      </c>
      <c r="J2" s="348" t="str">
        <f>"FY"&amp;RIGHT(Assumptions!$L$19+J9,2)</f>
        <v>FY27</v>
      </c>
      <c r="K2" s="348" t="str">
        <f>"FY"&amp;RIGHT(Assumptions!$L$19+K9,2)</f>
        <v>FY28</v>
      </c>
      <c r="L2" s="348" t="str">
        <f>"FY"&amp;RIGHT(Assumptions!$L$19+L9,2)</f>
        <v>FY29</v>
      </c>
      <c r="M2" s="348" t="str">
        <f>"FY"&amp;RIGHT(Assumptions!$L$19+M9,2)</f>
        <v>FY30</v>
      </c>
      <c r="N2" s="348" t="str">
        <f>"FY"&amp;RIGHT(Assumptions!$L$19+N9,2)</f>
        <v>FY31</v>
      </c>
      <c r="O2" s="348" t="str">
        <f>"FY"&amp;RIGHT(Assumptions!$L$19+O9,2)</f>
        <v>FY32</v>
      </c>
      <c r="P2" s="348" t="str">
        <f>"FY"&amp;RIGHT(Assumptions!$L$19+P9,2)</f>
        <v>FY33</v>
      </c>
      <c r="Q2" s="348" t="str">
        <f>"FY"&amp;RIGHT(Assumptions!$L$19+Q9,2)</f>
        <v>FY34</v>
      </c>
      <c r="R2" s="348" t="str">
        <f>"FY"&amp;RIGHT(Assumptions!$L$19+R9,2)</f>
        <v>FY35</v>
      </c>
      <c r="S2" s="348" t="str">
        <f>"FY"&amp;RIGHT(Assumptions!$L$19+S9,2)</f>
        <v>FY36</v>
      </c>
      <c r="T2" s="348" t="str">
        <f>"FY"&amp;RIGHT(Assumptions!$L$19+T9,2)</f>
        <v>FY37</v>
      </c>
      <c r="U2" s="348" t="str">
        <f>"FY"&amp;RIGHT(Assumptions!$L$19+U9,2)</f>
        <v>FY38</v>
      </c>
      <c r="V2" s="348" t="str">
        <f>"FY"&amp;RIGHT(Assumptions!$L$19+V9,2)</f>
        <v>FY39</v>
      </c>
      <c r="W2" s="348" t="str">
        <f>"FY"&amp;RIGHT(Assumptions!$L$19+W9,2)</f>
        <v>FY40</v>
      </c>
      <c r="X2" s="348" t="str">
        <f>"FY"&amp;RIGHT(Assumptions!$L$19+X9,2)</f>
        <v>FY41</v>
      </c>
      <c r="Y2" s="348" t="str">
        <f>"FY"&amp;RIGHT(Assumptions!$L$19+Y9,2)</f>
        <v>FY42</v>
      </c>
      <c r="Z2" s="348" t="str">
        <f>"FY"&amp;RIGHT(Assumptions!$L$19+Z9,2)</f>
        <v>FY43</v>
      </c>
      <c r="AA2" s="348" t="str">
        <f>"FY"&amp;RIGHT(Assumptions!$L$19+AA9,2)</f>
        <v>FY44</v>
      </c>
      <c r="AB2" s="348" t="str">
        <f>"FY"&amp;RIGHT(Assumptions!$L$19+AB9,2)</f>
        <v>FY45</v>
      </c>
      <c r="AC2" s="348" t="str">
        <f>"FY"&amp;RIGHT(Assumptions!$L$19+AC9,2)</f>
        <v>FY46</v>
      </c>
      <c r="AD2" s="348" t="str">
        <f>"FY"&amp;RIGHT(Assumptions!$L$19+AD9,2)</f>
        <v>FY47</v>
      </c>
      <c r="AE2" s="348" t="str">
        <f>"FY"&amp;RIGHT(Assumptions!$L$19+AE9,2)</f>
        <v>FY48</v>
      </c>
      <c r="AF2" s="348" t="str">
        <f>"FY"&amp;RIGHT(Assumptions!$L$19+AF9,2)</f>
        <v>FY49</v>
      </c>
      <c r="AG2" s="348" t="str">
        <f>"FY"&amp;RIGHT(Assumptions!$L$19+AG9,2)</f>
        <v>FY50</v>
      </c>
      <c r="AH2" s="348" t="str">
        <f>"FY"&amp;RIGHT(Assumptions!$L$19+AH9,2)</f>
        <v>FY51</v>
      </c>
      <c r="AI2" s="348" t="str">
        <f>"FY"&amp;RIGHT(Assumptions!$L$19+AI9,2)</f>
        <v>FY52</v>
      </c>
      <c r="AJ2" s="348" t="str">
        <f>"FY"&amp;RIGHT(Assumptions!$L$19+AJ9,2)</f>
        <v>FY53</v>
      </c>
      <c r="AK2" s="348" t="str">
        <f>"FY"&amp;RIGHT(Assumptions!$L$19+AK9,2)</f>
        <v>FY54</v>
      </c>
      <c r="AL2" s="348" t="str">
        <f>"FY"&amp;RIGHT(Assumptions!$L$19+AL9,2)</f>
        <v>FY55</v>
      </c>
      <c r="AM2" s="348" t="str">
        <f>"FY"&amp;RIGHT(Assumptions!$L$19+AM9,2)</f>
        <v>FY56</v>
      </c>
      <c r="AN2" s="348" t="str">
        <f>"FY"&amp;RIGHT(Assumptions!$L$19+AN9,2)</f>
        <v>FY57</v>
      </c>
      <c r="AO2" s="348" t="str">
        <f>"FY"&amp;RIGHT(Assumptions!$L$19+AO9,2)</f>
        <v>FY58</v>
      </c>
      <c r="AP2" s="348" t="str">
        <f>"FY"&amp;RIGHT(Assumptions!$L$19+AP9,2)</f>
        <v>FY59</v>
      </c>
      <c r="AQ2" s="348" t="str">
        <f>"FY"&amp;RIGHT(Assumptions!$L$19+AQ9,2)</f>
        <v>FY60</v>
      </c>
      <c r="AR2" s="348" t="str">
        <f>"FY"&amp;RIGHT(Assumptions!$L$19+AR9,2)</f>
        <v>FY61</v>
      </c>
      <c r="AS2" s="348" t="str">
        <f>"FY"&amp;RIGHT(Assumptions!$L$19+AS9,2)</f>
        <v>FY62</v>
      </c>
      <c r="AT2" s="348" t="str">
        <f>"FY"&amp;RIGHT(Assumptions!$L$19+AT9,2)</f>
        <v>FY63</v>
      </c>
      <c r="AU2" s="348" t="str">
        <f>"FY"&amp;RIGHT(Assumptions!$L$19+AU9,2)</f>
        <v>FY64</v>
      </c>
      <c r="AV2" s="348" t="str">
        <f>"FY"&amp;RIGHT(Assumptions!$L$19+AV9,2)</f>
        <v>FY65</v>
      </c>
      <c r="AW2" s="348" t="str">
        <f>"FY"&amp;RIGHT(Assumptions!$L$19+AW9,2)</f>
        <v>FY66</v>
      </c>
      <c r="AX2" s="348" t="str">
        <f>"FY"&amp;RIGHT(Assumptions!$L$19+AX9,2)</f>
        <v>FY67</v>
      </c>
      <c r="AY2" s="348" t="str">
        <f>"FY"&amp;RIGHT(Assumptions!$L$19+AY9,2)</f>
        <v>FY68</v>
      </c>
      <c r="AZ2" s="348" t="str">
        <f>"FY"&amp;RIGHT(Assumptions!$L$19+AZ9,2)</f>
        <v>FY69</v>
      </c>
      <c r="BA2" s="348" t="str">
        <f>"FY"&amp;RIGHT(Assumptions!$L$19+BA9,2)</f>
        <v>FY70</v>
      </c>
      <c r="BB2" s="348" t="str">
        <f>"FY"&amp;RIGHT(Assumptions!$L$19+BB9,2)</f>
        <v>FY71</v>
      </c>
      <c r="BC2" s="392"/>
      <c r="BD2" s="392"/>
      <c r="BE2" s="392"/>
      <c r="BF2" s="392"/>
    </row>
    <row r="3" spans="1:58" s="2" customFormat="1" ht="10.35" customHeight="1" x14ac:dyDescent="0.2">
      <c r="A3" s="1"/>
      <c r="B3" s="392"/>
      <c r="C3" s="392"/>
      <c r="D3" s="392"/>
      <c r="E3" s="392"/>
      <c r="F3" s="392"/>
      <c r="G3" s="6"/>
      <c r="H3" s="392"/>
      <c r="I3" s="392"/>
      <c r="J3" s="392"/>
      <c r="K3" s="392"/>
      <c r="L3" s="392"/>
      <c r="M3" s="392"/>
      <c r="N3" s="392"/>
      <c r="O3" s="392"/>
      <c r="P3" s="392"/>
      <c r="Q3" s="392"/>
      <c r="R3" s="392"/>
      <c r="S3" s="392"/>
      <c r="T3" s="392"/>
      <c r="U3" s="392"/>
      <c r="V3" s="4"/>
      <c r="W3" s="392"/>
      <c r="X3" s="5"/>
      <c r="Y3" s="392"/>
      <c r="Z3" s="392"/>
      <c r="AA3" s="392"/>
      <c r="AB3" s="392"/>
      <c r="AC3" s="392"/>
      <c r="AD3" s="392"/>
      <c r="AE3" s="392"/>
      <c r="AF3" s="392"/>
      <c r="AG3" s="392"/>
      <c r="AH3" s="392"/>
      <c r="AI3" s="392"/>
      <c r="AJ3" s="392"/>
      <c r="AK3" s="392"/>
      <c r="AL3" s="392"/>
      <c r="AM3" s="392"/>
      <c r="AN3" s="392"/>
      <c r="AO3" s="392"/>
      <c r="AP3" s="392"/>
      <c r="AQ3" s="392"/>
      <c r="AR3" s="392"/>
      <c r="AS3" s="392"/>
      <c r="AT3" s="392"/>
      <c r="AU3" s="1"/>
      <c r="AV3" s="6"/>
      <c r="AW3" s="6"/>
      <c r="AX3" s="392"/>
      <c r="AY3" s="392"/>
      <c r="AZ3" s="392"/>
      <c r="BA3" s="392"/>
      <c r="BB3" s="392"/>
      <c r="BC3" s="392"/>
      <c r="BD3" s="392"/>
      <c r="BE3" s="392"/>
      <c r="BF3" s="392"/>
    </row>
    <row r="4" spans="1:58" s="2" customFormat="1" ht="10.35" customHeight="1" x14ac:dyDescent="0.2">
      <c r="A4" s="7"/>
      <c r="B4" s="392"/>
      <c r="C4" s="392"/>
      <c r="D4" s="11" t="s">
        <v>13</v>
      </c>
      <c r="E4" s="393" t="s">
        <v>14</v>
      </c>
      <c r="F4" s="394" t="s">
        <v>15</v>
      </c>
      <c r="G4" s="133" t="s">
        <v>16</v>
      </c>
      <c r="H4" s="395" t="s">
        <v>17</v>
      </c>
      <c r="I4" s="396" t="s">
        <v>18</v>
      </c>
      <c r="J4" s="397" t="s">
        <v>19</v>
      </c>
      <c r="K4" s="510" t="s">
        <v>20</v>
      </c>
      <c r="L4" s="510"/>
      <c r="M4" s="392"/>
      <c r="N4" s="392"/>
      <c r="O4" s="392"/>
      <c r="P4" s="392"/>
      <c r="Q4" s="392"/>
      <c r="R4" s="392"/>
      <c r="S4" s="392"/>
      <c r="T4" s="392"/>
      <c r="U4" s="392"/>
      <c r="V4" s="4"/>
      <c r="W4" s="392"/>
      <c r="X4" s="5"/>
      <c r="Y4" s="392"/>
      <c r="Z4" s="392"/>
      <c r="AA4" s="392"/>
      <c r="AB4" s="392"/>
      <c r="AC4" s="392"/>
      <c r="AD4" s="392"/>
      <c r="AE4" s="392"/>
      <c r="AF4" s="392"/>
      <c r="AG4" s="392"/>
      <c r="AH4" s="392"/>
      <c r="AI4" s="392"/>
      <c r="AJ4" s="392"/>
      <c r="AK4" s="392"/>
      <c r="AL4" s="392"/>
      <c r="AM4" s="392"/>
      <c r="AN4" s="392"/>
      <c r="AO4" s="392"/>
      <c r="AP4" s="392"/>
      <c r="AQ4" s="392"/>
      <c r="AR4" s="392"/>
      <c r="AS4" s="392"/>
      <c r="AT4" s="392"/>
      <c r="AU4" s="1"/>
      <c r="AV4" s="6"/>
      <c r="AW4" s="6"/>
      <c r="AX4" s="392"/>
      <c r="AY4" s="392"/>
      <c r="AZ4" s="392"/>
      <c r="BA4" s="392"/>
      <c r="BB4" s="392"/>
      <c r="BC4" s="392"/>
      <c r="BD4" s="392"/>
      <c r="BE4" s="392"/>
      <c r="BF4" s="392"/>
    </row>
    <row r="5" spans="1:58" s="2" customFormat="1" ht="10.35" customHeight="1" x14ac:dyDescent="0.2">
      <c r="A5" s="392"/>
      <c r="B5" s="392"/>
      <c r="C5" s="392"/>
      <c r="D5" s="392"/>
      <c r="E5" s="392"/>
      <c r="F5" s="392"/>
      <c r="G5" s="392"/>
      <c r="H5" s="392"/>
      <c r="I5" s="392"/>
      <c r="J5" s="392"/>
      <c r="K5" s="392"/>
      <c r="L5" s="392"/>
      <c r="M5" s="392"/>
      <c r="N5" s="392"/>
      <c r="O5" s="392"/>
      <c r="P5" s="392"/>
      <c r="Q5" s="392"/>
      <c r="R5" s="392"/>
      <c r="S5" s="392"/>
      <c r="T5" s="392"/>
      <c r="U5" s="392"/>
      <c r="V5" s="1"/>
      <c r="W5" s="392"/>
      <c r="X5" s="5"/>
      <c r="Y5" s="392"/>
      <c r="Z5" s="392"/>
      <c r="AA5" s="392"/>
      <c r="AB5" s="392"/>
      <c r="AC5" s="392"/>
      <c r="AD5" s="392"/>
      <c r="AE5" s="392"/>
      <c r="AF5" s="392"/>
      <c r="AG5" s="392"/>
      <c r="AH5" s="392"/>
      <c r="AI5" s="392"/>
      <c r="AJ5" s="392"/>
      <c r="AK5" s="392"/>
      <c r="AL5" s="392"/>
      <c r="AM5" s="392"/>
      <c r="AN5" s="392"/>
      <c r="AO5" s="392"/>
      <c r="AP5" s="392"/>
      <c r="AQ5" s="392"/>
      <c r="AR5" s="392"/>
      <c r="AS5" s="392"/>
      <c r="AT5" s="392"/>
      <c r="AU5" s="1"/>
      <c r="AV5" s="6"/>
      <c r="AW5" s="6"/>
      <c r="AX5" s="392"/>
      <c r="AY5" s="392"/>
      <c r="AZ5" s="392"/>
      <c r="BA5" s="392"/>
      <c r="BB5" s="392"/>
      <c r="BC5" s="392"/>
      <c r="BD5" s="392"/>
      <c r="BE5" s="392"/>
      <c r="BF5" s="392"/>
    </row>
    <row r="7" spans="1:58" s="14" customFormat="1" x14ac:dyDescent="0.2">
      <c r="A7" s="398"/>
      <c r="B7" s="16" t="s">
        <v>21</v>
      </c>
      <c r="C7" s="398"/>
      <c r="D7" s="398"/>
      <c r="E7" s="398"/>
      <c r="F7" s="398"/>
      <c r="G7" s="25"/>
      <c r="H7" s="398"/>
      <c r="I7" s="398"/>
      <c r="J7" s="398"/>
      <c r="K7" s="399"/>
      <c r="L7" s="398"/>
      <c r="M7" s="398"/>
      <c r="N7" s="398"/>
      <c r="O7" s="398"/>
      <c r="P7" s="398"/>
      <c r="Q7" s="398"/>
      <c r="R7" s="398"/>
      <c r="S7" s="398"/>
      <c r="T7" s="398"/>
      <c r="U7" s="398"/>
      <c r="V7" s="398"/>
      <c r="W7" s="398"/>
      <c r="X7" s="398"/>
      <c r="Y7" s="398"/>
      <c r="Z7" s="398"/>
      <c r="AA7" s="398"/>
      <c r="AB7" s="398"/>
      <c r="AC7" s="398"/>
      <c r="AD7" s="398"/>
      <c r="AE7" s="398"/>
      <c r="AF7" s="398"/>
      <c r="AG7" s="398"/>
      <c r="AH7" s="398"/>
      <c r="AI7" s="398"/>
      <c r="AJ7" s="398"/>
      <c r="AK7" s="398"/>
      <c r="AL7" s="398"/>
      <c r="AM7" s="398"/>
      <c r="AN7" s="398"/>
      <c r="AO7" s="398"/>
      <c r="AP7" s="398"/>
      <c r="AQ7" s="398"/>
      <c r="AR7" s="398"/>
      <c r="AS7" s="398"/>
      <c r="AT7" s="398"/>
      <c r="AU7" s="398"/>
      <c r="AV7" s="398"/>
      <c r="AW7" s="398"/>
      <c r="AX7" s="398"/>
      <c r="AY7" s="398"/>
      <c r="AZ7" s="398"/>
      <c r="BA7" s="398"/>
      <c r="BB7" s="398"/>
      <c r="BC7" s="398"/>
      <c r="BD7" s="398"/>
      <c r="BE7" s="398"/>
      <c r="BF7" s="398"/>
    </row>
    <row r="8" spans="1:58" s="8" customFormat="1" outlineLevel="1" x14ac:dyDescent="0.2">
      <c r="A8" s="80"/>
      <c r="B8" s="20"/>
      <c r="C8" s="80"/>
      <c r="D8" s="80"/>
      <c r="E8" s="80"/>
      <c r="F8" s="80"/>
      <c r="G8" s="17"/>
      <c r="H8" s="80"/>
      <c r="I8" s="80"/>
      <c r="J8" s="80"/>
      <c r="K8" s="83"/>
      <c r="L8" s="80"/>
      <c r="M8" s="80"/>
      <c r="N8" s="80"/>
      <c r="O8" s="80"/>
      <c r="P8" s="80"/>
      <c r="Q8" s="80"/>
      <c r="R8" s="80"/>
      <c r="S8" s="80"/>
      <c r="T8" s="80"/>
      <c r="U8" s="80"/>
      <c r="V8" s="80"/>
      <c r="W8" s="80"/>
      <c r="X8" s="80"/>
      <c r="Y8" s="80"/>
      <c r="Z8" s="80"/>
      <c r="AA8" s="80"/>
      <c r="AB8" s="80"/>
      <c r="AC8" s="80"/>
      <c r="AD8" s="80"/>
      <c r="AE8" s="80"/>
      <c r="AF8" s="80"/>
      <c r="AG8" s="80"/>
      <c r="AH8" s="80"/>
      <c r="AI8" s="80"/>
      <c r="AJ8" s="80"/>
      <c r="AK8" s="80"/>
      <c r="AL8" s="80"/>
      <c r="AM8" s="80"/>
      <c r="AN8" s="80"/>
      <c r="AO8" s="80"/>
      <c r="AP8" s="80"/>
      <c r="AQ8" s="80"/>
      <c r="AR8" s="80"/>
      <c r="AS8" s="80"/>
      <c r="AT8" s="80"/>
      <c r="AU8" s="80"/>
      <c r="AV8" s="80"/>
      <c r="AW8" s="80"/>
      <c r="AX8" s="80"/>
      <c r="AY8" s="80"/>
      <c r="AZ8" s="80"/>
      <c r="BA8" s="80"/>
      <c r="BB8" s="80"/>
      <c r="BC8" s="80"/>
      <c r="BD8" s="80"/>
      <c r="BE8" s="80"/>
      <c r="BF8" s="80"/>
    </row>
    <row r="9" spans="1:58" s="8" customFormat="1" outlineLevel="1" x14ac:dyDescent="0.2">
      <c r="A9" s="80"/>
      <c r="B9" s="20"/>
      <c r="C9" s="80"/>
      <c r="D9" s="10" t="s">
        <v>22</v>
      </c>
      <c r="E9" s="83">
        <v>0</v>
      </c>
      <c r="F9" s="83">
        <f>E9+1</f>
        <v>1</v>
      </c>
      <c r="G9" s="83">
        <f t="shared" ref="G9:BB9" si="0">F9+1</f>
        <v>2</v>
      </c>
      <c r="H9" s="83">
        <f t="shared" si="0"/>
        <v>3</v>
      </c>
      <c r="I9" s="83">
        <f t="shared" si="0"/>
        <v>4</v>
      </c>
      <c r="J9" s="83">
        <f t="shared" si="0"/>
        <v>5</v>
      </c>
      <c r="K9" s="83">
        <f t="shared" si="0"/>
        <v>6</v>
      </c>
      <c r="L9" s="83">
        <f t="shared" si="0"/>
        <v>7</v>
      </c>
      <c r="M9" s="83">
        <f t="shared" si="0"/>
        <v>8</v>
      </c>
      <c r="N9" s="83">
        <f t="shared" si="0"/>
        <v>9</v>
      </c>
      <c r="O9" s="83">
        <f t="shared" si="0"/>
        <v>10</v>
      </c>
      <c r="P9" s="83">
        <f t="shared" si="0"/>
        <v>11</v>
      </c>
      <c r="Q9" s="83">
        <f t="shared" si="0"/>
        <v>12</v>
      </c>
      <c r="R9" s="83">
        <f t="shared" si="0"/>
        <v>13</v>
      </c>
      <c r="S9" s="83">
        <f t="shared" si="0"/>
        <v>14</v>
      </c>
      <c r="T9" s="83">
        <f t="shared" si="0"/>
        <v>15</v>
      </c>
      <c r="U9" s="83">
        <f t="shared" si="0"/>
        <v>16</v>
      </c>
      <c r="V9" s="83">
        <f t="shared" si="0"/>
        <v>17</v>
      </c>
      <c r="W9" s="83">
        <f t="shared" si="0"/>
        <v>18</v>
      </c>
      <c r="X9" s="83">
        <f t="shared" si="0"/>
        <v>19</v>
      </c>
      <c r="Y9" s="83">
        <f t="shared" si="0"/>
        <v>20</v>
      </c>
      <c r="Z9" s="83">
        <f t="shared" si="0"/>
        <v>21</v>
      </c>
      <c r="AA9" s="83">
        <f t="shared" si="0"/>
        <v>22</v>
      </c>
      <c r="AB9" s="83">
        <f t="shared" si="0"/>
        <v>23</v>
      </c>
      <c r="AC9" s="83">
        <f t="shared" si="0"/>
        <v>24</v>
      </c>
      <c r="AD9" s="83">
        <f t="shared" si="0"/>
        <v>25</v>
      </c>
      <c r="AE9" s="83">
        <f t="shared" si="0"/>
        <v>26</v>
      </c>
      <c r="AF9" s="83">
        <f t="shared" si="0"/>
        <v>27</v>
      </c>
      <c r="AG9" s="83">
        <f t="shared" si="0"/>
        <v>28</v>
      </c>
      <c r="AH9" s="83">
        <f t="shared" si="0"/>
        <v>29</v>
      </c>
      <c r="AI9" s="83">
        <f t="shared" si="0"/>
        <v>30</v>
      </c>
      <c r="AJ9" s="83">
        <f t="shared" si="0"/>
        <v>31</v>
      </c>
      <c r="AK9" s="83">
        <f t="shared" si="0"/>
        <v>32</v>
      </c>
      <c r="AL9" s="83">
        <f t="shared" si="0"/>
        <v>33</v>
      </c>
      <c r="AM9" s="83">
        <f t="shared" si="0"/>
        <v>34</v>
      </c>
      <c r="AN9" s="83">
        <f t="shared" si="0"/>
        <v>35</v>
      </c>
      <c r="AO9" s="83">
        <f t="shared" si="0"/>
        <v>36</v>
      </c>
      <c r="AP9" s="83">
        <f t="shared" si="0"/>
        <v>37</v>
      </c>
      <c r="AQ9" s="83">
        <f t="shared" si="0"/>
        <v>38</v>
      </c>
      <c r="AR9" s="83">
        <f t="shared" si="0"/>
        <v>39</v>
      </c>
      <c r="AS9" s="83">
        <f t="shared" si="0"/>
        <v>40</v>
      </c>
      <c r="AT9" s="83">
        <f t="shared" si="0"/>
        <v>41</v>
      </c>
      <c r="AU9" s="83">
        <f t="shared" si="0"/>
        <v>42</v>
      </c>
      <c r="AV9" s="83">
        <f t="shared" si="0"/>
        <v>43</v>
      </c>
      <c r="AW9" s="83">
        <f t="shared" si="0"/>
        <v>44</v>
      </c>
      <c r="AX9" s="83">
        <f t="shared" si="0"/>
        <v>45</v>
      </c>
      <c r="AY9" s="83">
        <f t="shared" si="0"/>
        <v>46</v>
      </c>
      <c r="AZ9" s="83">
        <f t="shared" si="0"/>
        <v>47</v>
      </c>
      <c r="BA9" s="83">
        <f t="shared" si="0"/>
        <v>48</v>
      </c>
      <c r="BB9" s="83">
        <f t="shared" si="0"/>
        <v>49</v>
      </c>
      <c r="BC9" s="80"/>
      <c r="BD9" s="80"/>
      <c r="BE9" s="80"/>
      <c r="BF9" s="80"/>
    </row>
    <row r="10" spans="1:58" outlineLevel="1" x14ac:dyDescent="0.2"/>
    <row r="11" spans="1:58" s="60" customFormat="1" ht="10.35" customHeight="1" x14ac:dyDescent="0.2">
      <c r="D11" s="61" t="s">
        <v>23</v>
      </c>
    </row>
    <row r="12" spans="1:58" ht="10.35" customHeight="1" x14ac:dyDescent="0.2">
      <c r="D12" s="65"/>
    </row>
    <row r="13" spans="1:58" ht="10.35" customHeight="1" x14ac:dyDescent="0.2">
      <c r="D13" s="65"/>
    </row>
    <row r="14" spans="1:58" ht="10.35" customHeight="1" x14ac:dyDescent="0.2">
      <c r="D14" s="65"/>
    </row>
    <row r="20" spans="4:54" x14ac:dyDescent="0.2">
      <c r="D20" s="10" t="s">
        <v>24</v>
      </c>
      <c r="E20" s="24" t="str">
        <f>"FY"&amp;RIGHT(Assumptions!$L$19+E9,2)</f>
        <v>FY22</v>
      </c>
      <c r="F20" s="17" t="str">
        <f>"FY"&amp;RIGHT(Assumptions!$L$19+F9,2)</f>
        <v>FY23</v>
      </c>
      <c r="G20" s="17" t="str">
        <f>"FY"&amp;RIGHT(Assumptions!$L$19+G9,2)</f>
        <v>FY24</v>
      </c>
      <c r="H20" s="17" t="str">
        <f>"FY"&amp;RIGHT(Assumptions!$L$19+H9,2)</f>
        <v>FY25</v>
      </c>
      <c r="I20" s="17" t="str">
        <f>"FY"&amp;RIGHT(Assumptions!$L$19+I9,2)</f>
        <v>FY26</v>
      </c>
      <c r="J20" s="17" t="str">
        <f>"FY"&amp;RIGHT(Assumptions!$L$19+J9,2)</f>
        <v>FY27</v>
      </c>
      <c r="K20" s="17" t="str">
        <f>"FY"&amp;RIGHT(Assumptions!$L$19+K9,2)</f>
        <v>FY28</v>
      </c>
      <c r="L20" s="17" t="str">
        <f>"FY"&amp;RIGHT(Assumptions!$L$19+L9,2)</f>
        <v>FY29</v>
      </c>
      <c r="M20" s="17" t="str">
        <f>"FY"&amp;RIGHT(Assumptions!$L$19+M9,2)</f>
        <v>FY30</v>
      </c>
      <c r="N20" s="17" t="str">
        <f>"FY"&amp;RIGHT(Assumptions!$L$19+N9,2)</f>
        <v>FY31</v>
      </c>
      <c r="O20" s="17" t="str">
        <f>"FY"&amp;RIGHT(Assumptions!$L$19+O9,2)</f>
        <v>FY32</v>
      </c>
      <c r="P20" s="17" t="str">
        <f>"FY"&amp;RIGHT(Assumptions!$L$19+P9,2)</f>
        <v>FY33</v>
      </c>
      <c r="Q20" s="17" t="str">
        <f>"FY"&amp;RIGHT(Assumptions!$L$19+Q9,2)</f>
        <v>FY34</v>
      </c>
      <c r="R20" s="17" t="str">
        <f>"FY"&amp;RIGHT(Assumptions!$L$19+R9,2)</f>
        <v>FY35</v>
      </c>
      <c r="S20" s="17" t="str">
        <f>"FY"&amp;RIGHT(Assumptions!$L$19+S9,2)</f>
        <v>FY36</v>
      </c>
      <c r="T20" s="17" t="str">
        <f>"FY"&amp;RIGHT(Assumptions!$L$19+T9,2)</f>
        <v>FY37</v>
      </c>
      <c r="U20" s="17" t="str">
        <f>"FY"&amp;RIGHT(Assumptions!$L$19+U9,2)</f>
        <v>FY38</v>
      </c>
      <c r="V20" s="17" t="str">
        <f>"FY"&amp;RIGHT(Assumptions!$L$19+V9,2)</f>
        <v>FY39</v>
      </c>
      <c r="W20" s="17" t="str">
        <f>"FY"&amp;RIGHT(Assumptions!$L$19+W9,2)</f>
        <v>FY40</v>
      </c>
      <c r="X20" s="17" t="str">
        <f>"FY"&amp;RIGHT(Assumptions!$L$19+X9,2)</f>
        <v>FY41</v>
      </c>
      <c r="Y20" s="17" t="str">
        <f>"FY"&amp;RIGHT(Assumptions!$L$19+Y9,2)</f>
        <v>FY42</v>
      </c>
      <c r="Z20" s="17" t="str">
        <f>"FY"&amp;RIGHT(Assumptions!$L$19+Z9,2)</f>
        <v>FY43</v>
      </c>
      <c r="AA20" s="17" t="str">
        <f>"FY"&amp;RIGHT(Assumptions!$L$19+AA9,2)</f>
        <v>FY44</v>
      </c>
      <c r="AB20" s="17" t="str">
        <f>"FY"&amp;RIGHT(Assumptions!$L$19+AB9,2)</f>
        <v>FY45</v>
      </c>
      <c r="AC20" s="17" t="str">
        <f>"FY"&amp;RIGHT(Assumptions!$L$19+AC9,2)</f>
        <v>FY46</v>
      </c>
      <c r="AD20" s="17" t="str">
        <f>"FY"&amp;RIGHT(Assumptions!$L$19+AD9,2)</f>
        <v>FY47</v>
      </c>
      <c r="AE20" s="17" t="str">
        <f>"FY"&amp;RIGHT(Assumptions!$L$19+AE9,2)</f>
        <v>FY48</v>
      </c>
      <c r="AF20" s="17" t="str">
        <f>"FY"&amp;RIGHT(Assumptions!$L$19+AF9,2)</f>
        <v>FY49</v>
      </c>
      <c r="AG20" s="17" t="str">
        <f>"FY"&amp;RIGHT(Assumptions!$L$19+AG9,2)</f>
        <v>FY50</v>
      </c>
      <c r="AH20" s="17" t="str">
        <f>"FY"&amp;RIGHT(Assumptions!$L$19+AH9,2)</f>
        <v>FY51</v>
      </c>
      <c r="AI20" s="17" t="str">
        <f>"FY"&amp;RIGHT(Assumptions!$L$19+AI9,2)</f>
        <v>FY52</v>
      </c>
      <c r="AJ20" s="17" t="str">
        <f>"FY"&amp;RIGHT(Assumptions!$L$19+AJ9,2)</f>
        <v>FY53</v>
      </c>
      <c r="AK20" s="17" t="str">
        <f>"FY"&amp;RIGHT(Assumptions!$L$19+AK9,2)</f>
        <v>FY54</v>
      </c>
      <c r="AL20" s="17" t="str">
        <f>"FY"&amp;RIGHT(Assumptions!$L$19+AL9,2)</f>
        <v>FY55</v>
      </c>
      <c r="AM20" s="17" t="str">
        <f>"FY"&amp;RIGHT(Assumptions!$L$19+AM9,2)</f>
        <v>FY56</v>
      </c>
      <c r="AN20" s="17" t="str">
        <f>"FY"&amp;RIGHT(Assumptions!$L$19+AN9,2)</f>
        <v>FY57</v>
      </c>
      <c r="AO20" s="17" t="str">
        <f>"FY"&amp;RIGHT(Assumptions!$L$19+AO9,2)</f>
        <v>FY58</v>
      </c>
      <c r="AP20" s="17" t="str">
        <f>"FY"&amp;RIGHT(Assumptions!$L$19+AP9,2)</f>
        <v>FY59</v>
      </c>
      <c r="AQ20" s="17" t="str">
        <f>"FY"&amp;RIGHT(Assumptions!$L$19+AQ9,2)</f>
        <v>FY60</v>
      </c>
      <c r="AR20" s="17" t="str">
        <f>"FY"&amp;RIGHT(Assumptions!$L$19+AR9,2)</f>
        <v>FY61</v>
      </c>
      <c r="AS20" s="17" t="str">
        <f>"FY"&amp;RIGHT(Assumptions!$L$19+AS9,2)</f>
        <v>FY62</v>
      </c>
      <c r="AT20" s="17" t="str">
        <f>"FY"&amp;RIGHT(Assumptions!$L$19+AT9,2)</f>
        <v>FY63</v>
      </c>
      <c r="AU20" s="17" t="str">
        <f>"FY"&amp;RIGHT(Assumptions!$L$19+AU9,2)</f>
        <v>FY64</v>
      </c>
      <c r="AV20" s="17" t="str">
        <f>"FY"&amp;RIGHT(Assumptions!$L$19+AV9,2)</f>
        <v>FY65</v>
      </c>
      <c r="AW20" s="17" t="str">
        <f>"FY"&amp;RIGHT(Assumptions!$L$19+AW9,2)</f>
        <v>FY66</v>
      </c>
      <c r="AX20" s="17" t="str">
        <f>"FY"&amp;RIGHT(Assumptions!$L$19+AX9,2)</f>
        <v>FY67</v>
      </c>
      <c r="AY20" s="17" t="str">
        <f>"FY"&amp;RIGHT(Assumptions!$L$19+AY9,2)</f>
        <v>FY68</v>
      </c>
      <c r="AZ20" s="17" t="str">
        <f>"FY"&amp;RIGHT(Assumptions!$L$19+AZ9,2)</f>
        <v>FY69</v>
      </c>
      <c r="BA20" s="17" t="str">
        <f>"FY"&amp;RIGHT(Assumptions!$L$19+BA9,2)</f>
        <v>FY70</v>
      </c>
      <c r="BB20" s="17" t="str">
        <f>"FY"&amp;RIGHT(Assumptions!$L$19+BB9,2)</f>
        <v>FY71</v>
      </c>
    </row>
    <row r="21" spans="4:54" x14ac:dyDescent="0.2">
      <c r="D21" s="10"/>
      <c r="E21" s="23"/>
      <c r="F21" s="23"/>
      <c r="G21" s="23"/>
      <c r="H21" s="23"/>
      <c r="I21" s="23"/>
      <c r="J21" s="23"/>
      <c r="K21" s="23"/>
      <c r="L21" s="23"/>
      <c r="M21" s="23"/>
      <c r="N21" s="23"/>
      <c r="O21" s="23"/>
      <c r="P21" s="23"/>
      <c r="Q21" s="23"/>
      <c r="R21" s="23"/>
      <c r="S21" s="23"/>
      <c r="T21" s="23"/>
      <c r="U21" s="23"/>
      <c r="V21" s="23"/>
      <c r="W21" s="23"/>
      <c r="X21" s="23"/>
      <c r="Y21" s="23"/>
      <c r="Z21" s="23"/>
      <c r="AA21" s="23"/>
      <c r="AB21" s="23"/>
      <c r="AC21" s="23"/>
      <c r="AD21" s="23"/>
      <c r="AE21" s="23"/>
      <c r="AF21" s="23"/>
      <c r="AG21" s="23"/>
      <c r="AH21" s="23"/>
      <c r="AI21" s="23"/>
      <c r="AJ21" s="23"/>
      <c r="AK21" s="23"/>
      <c r="AL21" s="23"/>
      <c r="AM21" s="23"/>
      <c r="AN21" s="23"/>
      <c r="AO21" s="23"/>
      <c r="AP21" s="23"/>
      <c r="AQ21" s="23"/>
      <c r="AR21" s="23"/>
      <c r="AS21" s="23"/>
      <c r="AT21" s="23"/>
      <c r="AU21" s="23"/>
      <c r="AV21" s="23"/>
      <c r="AW21" s="23"/>
      <c r="AX21" s="23"/>
      <c r="AY21" s="23"/>
      <c r="AZ21" s="23"/>
      <c r="BA21" s="23"/>
      <c r="BB21" s="23"/>
    </row>
    <row r="22" spans="4:54" x14ac:dyDescent="0.2">
      <c r="D22" s="315" t="s">
        <v>25</v>
      </c>
      <c r="E22" s="400"/>
      <c r="F22" s="400"/>
      <c r="G22" s="400"/>
      <c r="H22" s="400">
        <v>-2714370</v>
      </c>
      <c r="I22" s="400">
        <v>-3261225</v>
      </c>
      <c r="J22" s="400">
        <v>-3274476</v>
      </c>
      <c r="K22" s="400">
        <v>-2730746</v>
      </c>
      <c r="L22" s="400">
        <v>-3349622</v>
      </c>
      <c r="M22" s="400"/>
      <c r="N22" s="400"/>
      <c r="O22" s="400"/>
      <c r="P22" s="400"/>
      <c r="Q22" s="400"/>
      <c r="R22" s="400"/>
      <c r="S22" s="400"/>
      <c r="T22" s="400"/>
      <c r="U22" s="400"/>
      <c r="V22" s="400"/>
      <c r="W22" s="400"/>
      <c r="X22" s="400"/>
      <c r="Y22" s="400"/>
      <c r="Z22" s="400"/>
      <c r="AA22" s="400"/>
      <c r="AB22" s="400"/>
      <c r="AC22" s="400"/>
      <c r="AD22" s="400"/>
      <c r="AE22" s="400"/>
      <c r="AF22" s="400"/>
      <c r="AG22" s="400"/>
      <c r="AH22" s="400"/>
      <c r="AI22" s="400"/>
      <c r="AJ22" s="400"/>
      <c r="AK22" s="400"/>
      <c r="AL22" s="400"/>
      <c r="AM22" s="400"/>
      <c r="AN22" s="400"/>
      <c r="AO22" s="400"/>
      <c r="AP22" s="400"/>
      <c r="AQ22" s="400"/>
      <c r="AR22" s="400"/>
      <c r="AS22" s="400"/>
      <c r="AT22" s="400"/>
      <c r="AU22" s="400"/>
      <c r="AV22" s="400"/>
      <c r="AW22" s="400"/>
      <c r="AX22" s="400"/>
      <c r="AY22" s="400"/>
      <c r="AZ22" s="400"/>
      <c r="BA22" s="400"/>
      <c r="BB22" s="400"/>
    </row>
    <row r="23" spans="4:54" x14ac:dyDescent="0.2">
      <c r="D23" s="315" t="s">
        <v>26</v>
      </c>
      <c r="E23" s="400"/>
      <c r="F23" s="400"/>
      <c r="G23" s="400"/>
      <c r="H23" s="400" t="s">
        <v>27</v>
      </c>
      <c r="I23" s="400" t="s">
        <v>27</v>
      </c>
      <c r="J23" s="400" t="s">
        <v>27</v>
      </c>
      <c r="K23" s="400" t="s">
        <v>27</v>
      </c>
      <c r="L23" s="400" t="s">
        <v>27</v>
      </c>
      <c r="M23" s="400"/>
      <c r="N23" s="400"/>
      <c r="O23" s="400"/>
      <c r="P23" s="400"/>
      <c r="Q23" s="400"/>
      <c r="R23" s="400"/>
      <c r="S23" s="400"/>
      <c r="T23" s="400"/>
      <c r="U23" s="400"/>
      <c r="V23" s="400"/>
      <c r="W23" s="400"/>
      <c r="X23" s="400"/>
      <c r="Y23" s="400"/>
      <c r="Z23" s="400"/>
      <c r="AA23" s="400"/>
      <c r="AB23" s="400"/>
      <c r="AC23" s="400"/>
      <c r="AD23" s="400"/>
      <c r="AE23" s="400"/>
      <c r="AF23" s="400"/>
      <c r="AG23" s="400"/>
      <c r="AH23" s="400"/>
      <c r="AI23" s="400"/>
      <c r="AJ23" s="400"/>
      <c r="AK23" s="400"/>
      <c r="AL23" s="400"/>
      <c r="AM23" s="400"/>
      <c r="AN23" s="400"/>
      <c r="AO23" s="400"/>
      <c r="AP23" s="400"/>
      <c r="AQ23" s="400"/>
      <c r="AR23" s="400"/>
      <c r="AS23" s="400"/>
      <c r="AT23" s="400"/>
      <c r="AU23" s="400"/>
      <c r="AV23" s="400"/>
      <c r="AW23" s="400"/>
      <c r="AX23" s="400"/>
      <c r="AY23" s="400"/>
      <c r="AZ23" s="400"/>
      <c r="BA23" s="400"/>
      <c r="BB23" s="400"/>
    </row>
    <row r="24" spans="4:54" x14ac:dyDescent="0.2">
      <c r="D24" s="315" t="s">
        <v>28</v>
      </c>
      <c r="E24" s="400"/>
      <c r="F24" s="400"/>
      <c r="G24" s="400"/>
      <c r="H24" s="400">
        <v>82215.499612420273</v>
      </c>
      <c r="I24" s="400">
        <v>83418.633341835346</v>
      </c>
      <c r="J24" s="400">
        <v>83981.778737012559</v>
      </c>
      <c r="K24" s="400">
        <v>84039.932594823957</v>
      </c>
      <c r="L24" s="400">
        <v>85307.414958384019</v>
      </c>
      <c r="M24" s="400">
        <v>85307.414958384019</v>
      </c>
      <c r="N24" s="400">
        <v>85307.414958384019</v>
      </c>
      <c r="O24" s="400">
        <v>85307.414958384019</v>
      </c>
      <c r="P24" s="400"/>
      <c r="Q24" s="400"/>
      <c r="R24" s="400"/>
      <c r="S24" s="400"/>
      <c r="T24" s="400"/>
      <c r="U24" s="400"/>
      <c r="V24" s="400"/>
      <c r="W24" s="400"/>
      <c r="X24" s="400"/>
      <c r="Y24" s="400"/>
      <c r="Z24" s="400"/>
      <c r="AA24" s="400"/>
      <c r="AB24" s="400"/>
      <c r="AC24" s="400"/>
      <c r="AD24" s="400"/>
      <c r="AE24" s="400"/>
      <c r="AF24" s="400"/>
      <c r="AG24" s="400"/>
      <c r="AH24" s="400"/>
      <c r="AI24" s="400"/>
      <c r="AJ24" s="400"/>
      <c r="AK24" s="400"/>
      <c r="AL24" s="400"/>
      <c r="AM24" s="400"/>
      <c r="AN24" s="400"/>
      <c r="AO24" s="400"/>
      <c r="AP24" s="400"/>
      <c r="AQ24" s="400"/>
      <c r="AR24" s="400"/>
      <c r="AS24" s="400"/>
      <c r="AT24" s="400"/>
      <c r="AU24" s="400"/>
      <c r="AV24" s="400"/>
      <c r="AW24" s="400"/>
      <c r="AX24" s="400"/>
      <c r="AY24" s="400"/>
      <c r="AZ24" s="400"/>
      <c r="BA24" s="400"/>
      <c r="BB24" s="400"/>
    </row>
    <row r="25" spans="4:54" x14ac:dyDescent="0.2">
      <c r="D25" s="315" t="s">
        <v>29</v>
      </c>
      <c r="E25" s="400"/>
      <c r="F25" s="400"/>
      <c r="G25" s="400"/>
      <c r="H25" s="391"/>
      <c r="I25" s="391"/>
      <c r="J25" s="391"/>
      <c r="K25" s="391"/>
      <c r="L25" s="391"/>
      <c r="M25" s="391"/>
      <c r="N25" s="400"/>
      <c r="O25" s="400"/>
      <c r="P25" s="400"/>
      <c r="Q25" s="400"/>
      <c r="R25" s="400"/>
      <c r="S25" s="400"/>
      <c r="T25" s="400"/>
      <c r="U25" s="400"/>
      <c r="V25" s="400"/>
      <c r="W25" s="400"/>
      <c r="X25" s="400"/>
      <c r="Y25" s="400"/>
      <c r="Z25" s="400"/>
      <c r="AA25" s="400"/>
      <c r="AB25" s="400"/>
      <c r="AC25" s="400"/>
      <c r="AD25" s="400"/>
      <c r="AE25" s="400"/>
      <c r="AF25" s="400"/>
      <c r="AG25" s="400"/>
      <c r="AH25" s="400"/>
      <c r="AI25" s="400"/>
      <c r="AJ25" s="400"/>
      <c r="AK25" s="400"/>
      <c r="AL25" s="400"/>
      <c r="AM25" s="400"/>
      <c r="AN25" s="400"/>
      <c r="AO25" s="400"/>
      <c r="AP25" s="400"/>
      <c r="AQ25" s="400"/>
      <c r="AR25" s="400"/>
      <c r="AS25" s="400"/>
      <c r="AT25" s="400"/>
      <c r="AU25" s="400"/>
      <c r="AV25" s="400"/>
      <c r="AW25" s="400"/>
      <c r="AX25" s="400"/>
      <c r="AY25" s="400"/>
      <c r="AZ25" s="400"/>
      <c r="BA25" s="400"/>
      <c r="BB25" s="400"/>
    </row>
    <row r="26" spans="4:54" x14ac:dyDescent="0.2">
      <c r="D26" s="315" t="s">
        <v>30</v>
      </c>
      <c r="E26" s="400"/>
      <c r="F26" s="400"/>
      <c r="G26" s="400"/>
      <c r="H26" s="400"/>
      <c r="I26" s="400"/>
      <c r="J26" s="400"/>
      <c r="K26" s="400"/>
      <c r="L26" s="400"/>
      <c r="M26" s="400"/>
      <c r="N26" s="400"/>
      <c r="O26" s="400"/>
      <c r="P26" s="400"/>
      <c r="Q26" s="400"/>
      <c r="R26" s="400"/>
      <c r="S26" s="400"/>
      <c r="T26" s="400"/>
      <c r="U26" s="400"/>
      <c r="V26" s="400"/>
      <c r="W26" s="400"/>
      <c r="X26" s="400"/>
      <c r="Y26" s="400"/>
      <c r="Z26" s="400"/>
      <c r="AA26" s="400"/>
      <c r="AB26" s="400"/>
      <c r="AC26" s="400"/>
      <c r="AD26" s="400"/>
      <c r="AE26" s="400"/>
      <c r="AF26" s="400"/>
      <c r="AG26" s="400"/>
      <c r="AH26" s="400"/>
      <c r="AI26" s="400"/>
      <c r="AJ26" s="400"/>
      <c r="AK26" s="400"/>
      <c r="AL26" s="400"/>
      <c r="AM26" s="400"/>
      <c r="AN26" s="400"/>
      <c r="AO26" s="400"/>
      <c r="AP26" s="400"/>
      <c r="AQ26" s="400"/>
      <c r="AR26" s="400"/>
      <c r="AS26" s="400"/>
      <c r="AT26" s="400"/>
      <c r="AU26" s="400"/>
      <c r="AV26" s="400"/>
      <c r="AW26" s="400"/>
      <c r="AX26" s="400"/>
      <c r="AY26" s="400"/>
      <c r="AZ26" s="400"/>
      <c r="BA26" s="400"/>
      <c r="BB26" s="400"/>
    </row>
    <row r="27" spans="4:54" x14ac:dyDescent="0.2">
      <c r="D27" s="315" t="s">
        <v>31</v>
      </c>
      <c r="E27" s="400"/>
      <c r="F27" s="400"/>
      <c r="G27" s="400"/>
      <c r="H27" s="400"/>
      <c r="I27" s="400"/>
      <c r="J27" s="400"/>
      <c r="K27" s="400"/>
      <c r="L27" s="400"/>
      <c r="M27" s="400"/>
      <c r="N27" s="400"/>
      <c r="O27" s="400"/>
      <c r="P27" s="400"/>
      <c r="Q27" s="400"/>
      <c r="R27" s="400"/>
      <c r="S27" s="400"/>
      <c r="T27" s="400"/>
      <c r="U27" s="400"/>
      <c r="V27" s="400"/>
      <c r="W27" s="400"/>
      <c r="X27" s="400"/>
      <c r="Y27" s="400"/>
      <c r="Z27" s="400"/>
      <c r="AA27" s="400"/>
      <c r="AB27" s="400"/>
      <c r="AC27" s="400"/>
      <c r="AD27" s="400"/>
      <c r="AE27" s="400"/>
      <c r="AF27" s="400"/>
      <c r="AG27" s="400"/>
      <c r="AH27" s="400"/>
      <c r="AI27" s="400"/>
      <c r="AJ27" s="400"/>
      <c r="AK27" s="400"/>
      <c r="AL27" s="400"/>
      <c r="AM27" s="400"/>
      <c r="AN27" s="400"/>
      <c r="AO27" s="400"/>
      <c r="AP27" s="400"/>
      <c r="AQ27" s="400"/>
      <c r="AR27" s="400"/>
      <c r="AS27" s="400"/>
      <c r="AT27" s="400"/>
      <c r="AU27" s="400"/>
      <c r="AV27" s="400"/>
      <c r="AW27" s="400"/>
      <c r="AX27" s="400"/>
      <c r="AY27" s="400"/>
      <c r="AZ27" s="400"/>
      <c r="BA27" s="400"/>
      <c r="BB27" s="400"/>
    </row>
    <row r="28" spans="4:54" x14ac:dyDescent="0.2">
      <c r="D28" s="315" t="s">
        <v>32</v>
      </c>
      <c r="E28" s="400"/>
      <c r="F28" s="400"/>
      <c r="G28" s="400"/>
      <c r="H28" s="400">
        <v>984614.10454988095</v>
      </c>
      <c r="I28" s="400">
        <v>999022.85284218902</v>
      </c>
      <c r="J28" s="400">
        <v>1005767.09087051</v>
      </c>
      <c r="K28" s="400">
        <v>1006463.54237789</v>
      </c>
      <c r="L28" s="400">
        <v>1008165.42569475</v>
      </c>
      <c r="M28" s="400">
        <v>1824998.8527189</v>
      </c>
      <c r="N28" s="400"/>
      <c r="O28" s="400"/>
      <c r="P28" s="400"/>
      <c r="Q28" s="400"/>
      <c r="R28" s="400"/>
      <c r="S28" s="400"/>
      <c r="T28" s="400"/>
      <c r="U28" s="400"/>
      <c r="V28" s="400"/>
      <c r="W28" s="400"/>
      <c r="X28" s="400"/>
      <c r="Y28" s="400"/>
      <c r="Z28" s="400"/>
      <c r="AA28" s="400"/>
      <c r="AB28" s="400"/>
      <c r="AC28" s="400"/>
      <c r="AD28" s="400"/>
      <c r="AE28" s="400"/>
      <c r="AF28" s="400"/>
      <c r="AG28" s="400"/>
      <c r="AH28" s="400"/>
      <c r="AI28" s="400"/>
      <c r="AJ28" s="400"/>
      <c r="AK28" s="400"/>
      <c r="AL28" s="400"/>
      <c r="AM28" s="400"/>
      <c r="AN28" s="400"/>
      <c r="AO28" s="400"/>
      <c r="AP28" s="400"/>
      <c r="AQ28" s="400"/>
      <c r="AR28" s="400"/>
      <c r="AS28" s="400"/>
      <c r="AT28" s="400"/>
      <c r="AU28" s="400"/>
      <c r="AV28" s="400"/>
      <c r="AW28" s="400"/>
      <c r="AX28" s="400"/>
      <c r="AY28" s="400"/>
      <c r="AZ28" s="400"/>
      <c r="BA28" s="400"/>
      <c r="BB28" s="400"/>
    </row>
    <row r="29" spans="4:54" x14ac:dyDescent="0.2">
      <c r="D29" s="315" t="s">
        <v>33</v>
      </c>
      <c r="E29" s="400"/>
      <c r="F29" s="400"/>
      <c r="G29" s="400"/>
      <c r="H29" s="400"/>
      <c r="I29" s="400"/>
      <c r="J29" s="400"/>
      <c r="K29" s="400"/>
      <c r="L29" s="400"/>
      <c r="M29" s="400"/>
      <c r="N29" s="400"/>
      <c r="O29" s="400"/>
      <c r="P29" s="400"/>
      <c r="Q29" s="400"/>
      <c r="R29" s="400"/>
      <c r="S29" s="400"/>
      <c r="T29" s="400"/>
      <c r="U29" s="400"/>
      <c r="V29" s="400"/>
      <c r="W29" s="400"/>
      <c r="X29" s="400"/>
      <c r="Y29" s="400"/>
      <c r="Z29" s="400"/>
      <c r="AA29" s="400"/>
      <c r="AB29" s="400"/>
      <c r="AC29" s="400"/>
      <c r="AD29" s="400"/>
      <c r="AE29" s="400"/>
      <c r="AF29" s="400"/>
      <c r="AG29" s="400"/>
      <c r="AH29" s="400"/>
      <c r="AI29" s="400"/>
      <c r="AJ29" s="400"/>
      <c r="AK29" s="400"/>
      <c r="AL29" s="400"/>
      <c r="AM29" s="400"/>
      <c r="AN29" s="400"/>
      <c r="AO29" s="400"/>
      <c r="AP29" s="400"/>
      <c r="AQ29" s="400"/>
      <c r="AR29" s="400"/>
      <c r="AS29" s="400"/>
      <c r="AT29" s="400"/>
      <c r="AU29" s="400"/>
      <c r="AV29" s="400"/>
      <c r="AW29" s="400"/>
      <c r="AX29" s="400"/>
      <c r="AY29" s="400"/>
      <c r="AZ29" s="400"/>
      <c r="BA29" s="400"/>
      <c r="BB29" s="400"/>
    </row>
    <row r="30" spans="4:54" x14ac:dyDescent="0.2">
      <c r="D30" s="315" t="s">
        <v>34</v>
      </c>
      <c r="E30" s="401"/>
      <c r="F30" s="401"/>
      <c r="G30" s="401"/>
      <c r="H30" s="401"/>
      <c r="I30" s="401"/>
      <c r="J30" s="401"/>
      <c r="K30" s="401"/>
      <c r="L30" s="401"/>
      <c r="M30" s="401"/>
      <c r="N30" s="401"/>
      <c r="O30" s="401"/>
      <c r="P30" s="401"/>
      <c r="Q30" s="401"/>
      <c r="R30" s="401"/>
      <c r="S30" s="401"/>
      <c r="T30" s="401"/>
      <c r="U30" s="401"/>
      <c r="V30" s="401"/>
      <c r="W30" s="401"/>
      <c r="X30" s="401"/>
      <c r="Y30" s="401"/>
      <c r="Z30" s="401"/>
      <c r="AA30" s="401"/>
      <c r="AB30" s="401"/>
      <c r="AC30" s="401"/>
      <c r="AD30" s="401"/>
      <c r="AE30" s="401"/>
      <c r="AF30" s="401"/>
      <c r="AG30" s="401"/>
      <c r="AH30" s="401"/>
      <c r="AI30" s="401"/>
      <c r="AJ30" s="401"/>
      <c r="AK30" s="401"/>
      <c r="AL30" s="401"/>
      <c r="AM30" s="401"/>
      <c r="AN30" s="401"/>
      <c r="AO30" s="401"/>
      <c r="AP30" s="401"/>
      <c r="AQ30" s="401"/>
      <c r="AR30" s="401"/>
      <c r="AS30" s="401"/>
      <c r="AT30" s="401"/>
      <c r="AU30" s="401"/>
      <c r="AV30" s="401"/>
      <c r="AW30" s="401"/>
      <c r="AX30" s="401"/>
      <c r="AY30" s="401"/>
      <c r="AZ30" s="401"/>
      <c r="BA30" s="401"/>
      <c r="BB30" s="401"/>
    </row>
    <row r="31" spans="4:54" outlineLevel="1" x14ac:dyDescent="0.2">
      <c r="D31" s="316" t="s">
        <v>35</v>
      </c>
      <c r="E31" s="400"/>
      <c r="F31" s="400"/>
      <c r="G31" s="400"/>
      <c r="H31" s="400">
        <v>4357421.4794582743</v>
      </c>
      <c r="I31" s="400">
        <v>4421187.5671172729</v>
      </c>
      <c r="J31" s="400">
        <v>4451034.2730616657</v>
      </c>
      <c r="K31" s="400">
        <v>4454116.4275256703</v>
      </c>
      <c r="L31" s="400">
        <v>4521292.9927943535</v>
      </c>
      <c r="M31" s="400">
        <v>2345953.9113555606</v>
      </c>
      <c r="N31" s="400"/>
      <c r="O31" s="400"/>
      <c r="P31" s="400"/>
      <c r="Q31" s="400"/>
      <c r="R31" s="400"/>
      <c r="S31" s="400"/>
      <c r="T31" s="400"/>
      <c r="U31" s="400"/>
      <c r="V31" s="400"/>
      <c r="W31" s="400"/>
      <c r="X31" s="400"/>
      <c r="Y31" s="400"/>
      <c r="Z31" s="400"/>
      <c r="AA31" s="400"/>
      <c r="AB31" s="400"/>
      <c r="AC31" s="400"/>
      <c r="AD31" s="400"/>
      <c r="AE31" s="400"/>
      <c r="AF31" s="400"/>
      <c r="AG31" s="400"/>
      <c r="AH31" s="400"/>
      <c r="AI31" s="400"/>
      <c r="AJ31" s="400"/>
      <c r="AK31" s="400"/>
      <c r="AL31" s="400"/>
      <c r="AM31" s="400"/>
      <c r="AN31" s="400"/>
      <c r="AO31" s="400"/>
      <c r="AP31" s="400"/>
      <c r="AQ31" s="400"/>
      <c r="AR31" s="400"/>
      <c r="AS31" s="400"/>
      <c r="AT31" s="400"/>
      <c r="AU31" s="400"/>
      <c r="AV31" s="400"/>
      <c r="AW31" s="400"/>
      <c r="AX31" s="400"/>
      <c r="AY31" s="400"/>
      <c r="AZ31" s="400"/>
      <c r="BA31" s="400"/>
      <c r="BB31" s="400"/>
    </row>
    <row r="32" spans="4:54" outlineLevel="1" x14ac:dyDescent="0.2">
      <c r="D32" s="316" t="s">
        <v>36</v>
      </c>
      <c r="E32" s="400"/>
      <c r="F32" s="400"/>
      <c r="G32" s="400"/>
      <c r="H32" s="400"/>
      <c r="I32" s="400"/>
      <c r="J32" s="400"/>
      <c r="K32" s="400"/>
      <c r="L32" s="400"/>
      <c r="M32" s="400"/>
      <c r="N32" s="400"/>
      <c r="O32" s="400"/>
      <c r="P32" s="400"/>
      <c r="Q32" s="400"/>
      <c r="R32" s="400"/>
      <c r="S32" s="400"/>
      <c r="T32" s="400"/>
      <c r="U32" s="400"/>
      <c r="V32" s="400"/>
      <c r="W32" s="400"/>
      <c r="X32" s="400"/>
      <c r="Y32" s="400"/>
      <c r="Z32" s="400"/>
      <c r="AA32" s="400"/>
      <c r="AB32" s="400"/>
      <c r="AC32" s="400"/>
      <c r="AD32" s="400"/>
      <c r="AE32" s="400"/>
      <c r="AF32" s="400"/>
      <c r="AG32" s="400"/>
      <c r="AH32" s="400"/>
      <c r="AI32" s="400"/>
      <c r="AJ32" s="400"/>
      <c r="AK32" s="400"/>
      <c r="AL32" s="400"/>
      <c r="AM32" s="400"/>
      <c r="AN32" s="400"/>
      <c r="AO32" s="400"/>
      <c r="AP32" s="400"/>
      <c r="AQ32" s="400"/>
      <c r="AR32" s="400"/>
      <c r="AS32" s="400"/>
      <c r="AT32" s="400"/>
      <c r="AU32" s="400"/>
      <c r="AV32" s="400"/>
      <c r="AW32" s="400"/>
      <c r="AX32" s="400"/>
      <c r="AY32" s="400"/>
      <c r="AZ32" s="400"/>
      <c r="BA32" s="400"/>
      <c r="BB32" s="400"/>
    </row>
    <row r="33" spans="4:54" outlineLevel="1" x14ac:dyDescent="0.2">
      <c r="D33" s="316" t="s">
        <v>37</v>
      </c>
      <c r="E33" s="400"/>
      <c r="F33" s="400"/>
      <c r="G33" s="400"/>
      <c r="H33" s="400"/>
      <c r="I33" s="400"/>
      <c r="J33" s="400"/>
      <c r="K33" s="400"/>
      <c r="L33" s="400"/>
      <c r="M33" s="400"/>
      <c r="N33" s="400"/>
      <c r="O33" s="400"/>
      <c r="P33" s="400"/>
      <c r="Q33" s="400"/>
      <c r="R33" s="400"/>
      <c r="S33" s="400"/>
      <c r="T33" s="400"/>
      <c r="U33" s="400"/>
      <c r="V33" s="400"/>
      <c r="W33" s="400"/>
      <c r="X33" s="400"/>
      <c r="Y33" s="400"/>
      <c r="Z33" s="400"/>
      <c r="AA33" s="400"/>
      <c r="AB33" s="400"/>
      <c r="AC33" s="400"/>
      <c r="AD33" s="400"/>
      <c r="AE33" s="400"/>
      <c r="AF33" s="400"/>
      <c r="AG33" s="400"/>
      <c r="AH33" s="400"/>
      <c r="AI33" s="400"/>
      <c r="AJ33" s="400"/>
      <c r="AK33" s="400"/>
      <c r="AL33" s="400"/>
      <c r="AM33" s="400"/>
      <c r="AN33" s="400"/>
      <c r="AO33" s="400"/>
      <c r="AP33" s="400"/>
      <c r="AQ33" s="400"/>
      <c r="AR33" s="400"/>
      <c r="AS33" s="400"/>
      <c r="AT33" s="400"/>
      <c r="AU33" s="400"/>
      <c r="AV33" s="400"/>
      <c r="AW33" s="400"/>
      <c r="AX33" s="400"/>
      <c r="AY33" s="400"/>
      <c r="AZ33" s="400"/>
      <c r="BA33" s="400"/>
      <c r="BB33" s="400"/>
    </row>
    <row r="34" spans="4:54" outlineLevel="1" x14ac:dyDescent="0.2">
      <c r="D34" s="316" t="s">
        <v>38</v>
      </c>
      <c r="E34" s="400"/>
      <c r="F34" s="400"/>
      <c r="G34" s="400"/>
      <c r="H34" s="400">
        <v>1601352.3937009159</v>
      </c>
      <c r="I34" s="400">
        <v>1624786.4309155978</v>
      </c>
      <c r="J34" s="400">
        <v>1635755.0953501621</v>
      </c>
      <c r="K34" s="400">
        <v>1636887.7871156838</v>
      </c>
      <c r="L34" s="400">
        <v>1661575.1748519249</v>
      </c>
      <c r="M34" s="400">
        <v>830787.58742596244</v>
      </c>
      <c r="N34" s="400">
        <v>830787.58742596244</v>
      </c>
      <c r="O34" s="400">
        <v>830787.58742596244</v>
      </c>
      <c r="P34" s="400"/>
      <c r="Q34" s="400"/>
      <c r="R34" s="400"/>
      <c r="S34" s="400"/>
      <c r="T34" s="400"/>
      <c r="U34" s="400"/>
      <c r="V34" s="400"/>
      <c r="W34" s="400"/>
      <c r="X34" s="400"/>
      <c r="Y34" s="400"/>
      <c r="Z34" s="400"/>
      <c r="AA34" s="400"/>
      <c r="AB34" s="400"/>
      <c r="AC34" s="400"/>
      <c r="AD34" s="400"/>
      <c r="AE34" s="400"/>
      <c r="AF34" s="400"/>
      <c r="AG34" s="400"/>
      <c r="AH34" s="400"/>
      <c r="AI34" s="400"/>
      <c r="AJ34" s="400"/>
      <c r="AK34" s="400"/>
      <c r="AL34" s="400"/>
      <c r="AM34" s="400"/>
      <c r="AN34" s="400"/>
      <c r="AO34" s="400"/>
      <c r="AP34" s="400"/>
      <c r="AQ34" s="400"/>
      <c r="AR34" s="400"/>
      <c r="AS34" s="400"/>
      <c r="AT34" s="400"/>
      <c r="AU34" s="400"/>
      <c r="AV34" s="400"/>
      <c r="AW34" s="400"/>
      <c r="AX34" s="400"/>
      <c r="AY34" s="400"/>
      <c r="AZ34" s="400"/>
      <c r="BA34" s="400"/>
      <c r="BB34" s="400"/>
    </row>
    <row r="35" spans="4:54" outlineLevel="1" x14ac:dyDescent="0.2">
      <c r="D35" s="316" t="s">
        <v>39</v>
      </c>
      <c r="E35" s="400"/>
      <c r="F35" s="400"/>
      <c r="G35" s="400"/>
      <c r="H35" s="400"/>
      <c r="I35" s="400"/>
      <c r="J35" s="400"/>
      <c r="K35" s="400"/>
      <c r="L35" s="400"/>
      <c r="M35" s="400"/>
      <c r="N35" s="400"/>
      <c r="O35" s="400"/>
      <c r="P35" s="400"/>
      <c r="Q35" s="400"/>
      <c r="R35" s="400"/>
      <c r="S35" s="400"/>
      <c r="T35" s="400"/>
      <c r="U35" s="400"/>
      <c r="V35" s="400"/>
      <c r="W35" s="400"/>
      <c r="X35" s="400"/>
      <c r="Y35" s="400"/>
      <c r="Z35" s="400"/>
      <c r="AA35" s="400"/>
      <c r="AB35" s="400"/>
      <c r="AC35" s="400"/>
      <c r="AD35" s="400"/>
      <c r="AE35" s="400"/>
      <c r="AF35" s="400"/>
      <c r="AG35" s="400"/>
      <c r="AH35" s="400"/>
      <c r="AI35" s="400"/>
      <c r="AJ35" s="400"/>
      <c r="AK35" s="400"/>
      <c r="AL35" s="400"/>
      <c r="AM35" s="400"/>
      <c r="AN35" s="400"/>
      <c r="AO35" s="400"/>
      <c r="AP35" s="400"/>
      <c r="AQ35" s="400"/>
      <c r="AR35" s="400"/>
      <c r="AS35" s="400"/>
      <c r="AT35" s="400"/>
      <c r="AU35" s="400"/>
      <c r="AV35" s="400"/>
      <c r="AW35" s="400"/>
      <c r="AX35" s="400"/>
      <c r="AY35" s="400"/>
      <c r="AZ35" s="400"/>
      <c r="BA35" s="400"/>
      <c r="BB35" s="400"/>
    </row>
    <row r="36" spans="4:54" outlineLevel="1" x14ac:dyDescent="0.2">
      <c r="D36" s="316" t="s">
        <v>40</v>
      </c>
      <c r="E36" s="400"/>
      <c r="F36" s="400"/>
      <c r="G36" s="400"/>
      <c r="H36" s="400"/>
      <c r="I36" s="400"/>
      <c r="J36" s="400"/>
      <c r="K36" s="400"/>
      <c r="L36" s="400"/>
      <c r="M36" s="400"/>
      <c r="N36" s="400"/>
      <c r="O36" s="400"/>
      <c r="P36" s="400"/>
      <c r="Q36" s="400"/>
      <c r="R36" s="400"/>
      <c r="S36" s="400"/>
      <c r="T36" s="400"/>
      <c r="U36" s="400"/>
      <c r="V36" s="400"/>
      <c r="W36" s="400"/>
      <c r="X36" s="400"/>
      <c r="Y36" s="400"/>
      <c r="Z36" s="400"/>
      <c r="AA36" s="400"/>
      <c r="AB36" s="400"/>
      <c r="AC36" s="400"/>
      <c r="AD36" s="400"/>
      <c r="AE36" s="400"/>
      <c r="AF36" s="400"/>
      <c r="AG36" s="400"/>
      <c r="AH36" s="400"/>
      <c r="AI36" s="400"/>
      <c r="AJ36" s="400"/>
      <c r="AK36" s="400"/>
      <c r="AL36" s="400"/>
      <c r="AM36" s="400"/>
      <c r="AN36" s="400"/>
      <c r="AO36" s="400"/>
      <c r="AP36" s="400"/>
      <c r="AQ36" s="400"/>
      <c r="AR36" s="400"/>
      <c r="AS36" s="400"/>
      <c r="AT36" s="400"/>
      <c r="AU36" s="400"/>
      <c r="AV36" s="400"/>
      <c r="AW36" s="400"/>
      <c r="AX36" s="400"/>
      <c r="AY36" s="400"/>
      <c r="AZ36" s="400"/>
      <c r="BA36" s="400"/>
      <c r="BB36" s="400"/>
    </row>
    <row r="37" spans="4:54" outlineLevel="1" x14ac:dyDescent="0.2">
      <c r="D37" s="316" t="s">
        <v>41</v>
      </c>
      <c r="E37" s="400"/>
      <c r="F37" s="400"/>
      <c r="G37" s="400"/>
      <c r="H37" s="400"/>
      <c r="I37" s="400"/>
      <c r="J37" s="400"/>
      <c r="K37" s="400"/>
      <c r="L37" s="400"/>
      <c r="M37" s="400"/>
      <c r="N37" s="400"/>
      <c r="O37" s="400"/>
      <c r="P37" s="400"/>
      <c r="Q37" s="400"/>
      <c r="R37" s="400"/>
      <c r="S37" s="400"/>
      <c r="T37" s="400"/>
      <c r="U37" s="400"/>
      <c r="V37" s="400"/>
      <c r="W37" s="400"/>
      <c r="X37" s="400"/>
      <c r="Y37" s="400"/>
      <c r="Z37" s="400"/>
      <c r="AA37" s="400"/>
      <c r="AB37" s="400"/>
      <c r="AC37" s="400"/>
      <c r="AD37" s="400"/>
      <c r="AE37" s="400"/>
      <c r="AF37" s="400"/>
      <c r="AG37" s="400"/>
      <c r="AH37" s="400"/>
      <c r="AI37" s="400"/>
      <c r="AJ37" s="400"/>
      <c r="AK37" s="400"/>
      <c r="AL37" s="400"/>
      <c r="AM37" s="400"/>
      <c r="AN37" s="400"/>
      <c r="AO37" s="400"/>
      <c r="AP37" s="400"/>
      <c r="AQ37" s="400"/>
      <c r="AR37" s="400"/>
      <c r="AS37" s="400"/>
      <c r="AT37" s="400"/>
      <c r="AU37" s="400"/>
      <c r="AV37" s="400"/>
      <c r="AW37" s="400"/>
      <c r="AX37" s="400"/>
      <c r="AY37" s="400"/>
      <c r="AZ37" s="400"/>
      <c r="BA37" s="400"/>
      <c r="BB37" s="400"/>
    </row>
    <row r="38" spans="4:54" outlineLevel="1" x14ac:dyDescent="0.2">
      <c r="D38" s="316" t="s">
        <v>42</v>
      </c>
      <c r="E38" s="400"/>
      <c r="F38" s="400"/>
      <c r="G38" s="400"/>
      <c r="H38" s="400"/>
      <c r="I38" s="400"/>
      <c r="J38" s="400"/>
      <c r="K38" s="400"/>
      <c r="L38" s="400"/>
      <c r="M38" s="400"/>
      <c r="N38" s="400"/>
      <c r="O38" s="400"/>
      <c r="P38" s="400"/>
      <c r="Q38" s="400"/>
      <c r="R38" s="400"/>
      <c r="S38" s="400"/>
      <c r="T38" s="400"/>
      <c r="U38" s="400"/>
      <c r="V38" s="400"/>
      <c r="W38" s="400"/>
      <c r="X38" s="400"/>
      <c r="Y38" s="400"/>
      <c r="Z38" s="400"/>
      <c r="AA38" s="400"/>
      <c r="AB38" s="400"/>
      <c r="AC38" s="400"/>
      <c r="AD38" s="400"/>
      <c r="AE38" s="400"/>
      <c r="AF38" s="400"/>
      <c r="AG38" s="400"/>
      <c r="AH38" s="400"/>
      <c r="AI38" s="400"/>
      <c r="AJ38" s="400"/>
      <c r="AK38" s="400"/>
      <c r="AL38" s="400"/>
      <c r="AM38" s="400"/>
      <c r="AN38" s="400"/>
      <c r="AO38" s="400"/>
      <c r="AP38" s="400"/>
      <c r="AQ38" s="400"/>
      <c r="AR38" s="400"/>
      <c r="AS38" s="400"/>
      <c r="AT38" s="400"/>
      <c r="AU38" s="400"/>
      <c r="AV38" s="400"/>
      <c r="AW38" s="400"/>
      <c r="AX38" s="400"/>
      <c r="AY38" s="400"/>
      <c r="AZ38" s="400"/>
      <c r="BA38" s="400"/>
      <c r="BB38" s="400"/>
    </row>
    <row r="39" spans="4:54" outlineLevel="1" x14ac:dyDescent="0.2">
      <c r="D39" s="316" t="s">
        <v>43</v>
      </c>
    </row>
    <row r="40" spans="4:54" outlineLevel="1" x14ac:dyDescent="0.2">
      <c r="D40" s="325" t="s">
        <v>44</v>
      </c>
      <c r="E40" s="400"/>
      <c r="F40" s="400"/>
      <c r="G40" s="400"/>
      <c r="H40" s="400"/>
      <c r="I40" s="400"/>
      <c r="J40" s="400"/>
      <c r="K40" s="400"/>
      <c r="L40" s="400"/>
      <c r="M40" s="400"/>
      <c r="N40" s="400"/>
      <c r="O40" s="400"/>
      <c r="P40" s="400"/>
      <c r="Q40" s="400"/>
      <c r="R40" s="400"/>
      <c r="S40" s="400"/>
      <c r="T40" s="400"/>
      <c r="U40" s="400"/>
      <c r="V40" s="400"/>
      <c r="W40" s="400"/>
      <c r="X40" s="400"/>
      <c r="Y40" s="400"/>
      <c r="Z40" s="400"/>
      <c r="AA40" s="400"/>
      <c r="AB40" s="400"/>
      <c r="AC40" s="400"/>
      <c r="AD40" s="400"/>
      <c r="AE40" s="400"/>
      <c r="AF40" s="400"/>
      <c r="AG40" s="400"/>
      <c r="AH40" s="400"/>
      <c r="AI40" s="400"/>
      <c r="AJ40" s="400"/>
      <c r="AK40" s="400"/>
      <c r="AL40" s="400"/>
      <c r="AM40" s="400"/>
      <c r="AN40" s="400"/>
      <c r="AO40" s="400"/>
      <c r="AP40" s="400"/>
      <c r="AQ40" s="400"/>
      <c r="AR40" s="400"/>
      <c r="AS40" s="400"/>
      <c r="AT40" s="400"/>
      <c r="AU40" s="400"/>
      <c r="AV40" s="400"/>
      <c r="AW40" s="400"/>
      <c r="AX40" s="400"/>
      <c r="AY40" s="400"/>
      <c r="AZ40" s="400"/>
      <c r="BA40" s="400"/>
      <c r="BB40" s="400"/>
    </row>
    <row r="41" spans="4:54" outlineLevel="1" x14ac:dyDescent="0.2">
      <c r="D41" s="325" t="s">
        <v>45</v>
      </c>
    </row>
    <row r="42" spans="4:54" outlineLevel="1" x14ac:dyDescent="0.2">
      <c r="D42" s="326" t="s">
        <v>46</v>
      </c>
      <c r="E42" s="400"/>
      <c r="F42" s="400"/>
      <c r="G42" s="400"/>
      <c r="H42" s="400"/>
      <c r="I42" s="400"/>
      <c r="J42" s="400"/>
      <c r="K42" s="400"/>
      <c r="L42" s="400"/>
      <c r="M42" s="400"/>
      <c r="N42" s="400"/>
      <c r="O42" s="400"/>
      <c r="P42" s="400"/>
      <c r="Q42" s="400"/>
      <c r="R42" s="400"/>
      <c r="S42" s="400"/>
      <c r="T42" s="400"/>
      <c r="U42" s="400"/>
      <c r="V42" s="400"/>
      <c r="W42" s="400"/>
      <c r="X42" s="400"/>
      <c r="Y42" s="400"/>
      <c r="Z42" s="400"/>
      <c r="AA42" s="400"/>
      <c r="AB42" s="400"/>
      <c r="AC42" s="400"/>
      <c r="AD42" s="400"/>
      <c r="AE42" s="400"/>
      <c r="AF42" s="400"/>
      <c r="AG42" s="400"/>
      <c r="AH42" s="400"/>
      <c r="AI42" s="400"/>
      <c r="AJ42" s="400"/>
      <c r="AK42" s="400"/>
      <c r="AL42" s="400"/>
      <c r="AM42" s="400"/>
      <c r="AN42" s="400"/>
      <c r="AO42" s="400"/>
      <c r="AP42" s="400"/>
      <c r="AQ42" s="400"/>
      <c r="AR42" s="400"/>
      <c r="AS42" s="400"/>
      <c r="AT42" s="400"/>
      <c r="AU42" s="400"/>
      <c r="AV42" s="400"/>
      <c r="AW42" s="400"/>
      <c r="AX42" s="400"/>
      <c r="AY42" s="400"/>
      <c r="AZ42" s="400"/>
      <c r="BA42" s="400"/>
      <c r="BB42" s="400"/>
    </row>
    <row r="43" spans="4:54" outlineLevel="1" x14ac:dyDescent="0.2">
      <c r="D43" s="326" t="s">
        <v>47</v>
      </c>
      <c r="E43" s="400"/>
      <c r="F43" s="400"/>
      <c r="G43" s="400"/>
      <c r="H43" s="400"/>
      <c r="I43" s="400"/>
      <c r="J43" s="400"/>
      <c r="K43" s="400"/>
      <c r="L43" s="400"/>
      <c r="M43" s="400"/>
      <c r="N43" s="400"/>
      <c r="O43" s="400"/>
      <c r="P43" s="400"/>
      <c r="Q43" s="400"/>
      <c r="R43" s="400"/>
      <c r="S43" s="400"/>
      <c r="T43" s="400"/>
      <c r="U43" s="400"/>
      <c r="V43" s="400"/>
      <c r="W43" s="400"/>
      <c r="X43" s="400"/>
      <c r="Y43" s="400"/>
      <c r="Z43" s="400"/>
      <c r="AA43" s="400"/>
      <c r="AB43" s="400"/>
      <c r="AC43" s="400"/>
      <c r="AD43" s="400"/>
      <c r="AE43" s="400"/>
      <c r="AF43" s="400"/>
      <c r="AG43" s="400"/>
      <c r="AH43" s="400"/>
      <c r="AI43" s="400"/>
      <c r="AJ43" s="400"/>
      <c r="AK43" s="400"/>
      <c r="AL43" s="400"/>
      <c r="AM43" s="400"/>
      <c r="AN43" s="400"/>
      <c r="AO43" s="400"/>
      <c r="AP43" s="400"/>
      <c r="AQ43" s="400"/>
      <c r="AR43" s="400"/>
      <c r="AS43" s="400"/>
      <c r="AT43" s="400"/>
      <c r="AU43" s="400"/>
      <c r="AV43" s="400"/>
      <c r="AW43" s="400"/>
      <c r="AX43" s="400"/>
      <c r="AY43" s="400"/>
      <c r="AZ43" s="400"/>
      <c r="BA43" s="400"/>
      <c r="BB43" s="400"/>
    </row>
    <row r="44" spans="4:54" outlineLevel="1" x14ac:dyDescent="0.2">
      <c r="D44" s="325" t="s">
        <v>48</v>
      </c>
      <c r="E44" s="400"/>
      <c r="F44" s="400"/>
      <c r="G44" s="400"/>
      <c r="H44" s="400"/>
      <c r="I44" s="400"/>
      <c r="J44" s="400"/>
      <c r="K44" s="400"/>
      <c r="L44" s="400"/>
      <c r="M44" s="400"/>
      <c r="N44" s="400"/>
      <c r="O44" s="400"/>
      <c r="P44" s="400"/>
      <c r="Q44" s="400"/>
      <c r="R44" s="400"/>
      <c r="S44" s="400"/>
      <c r="T44" s="400"/>
      <c r="U44" s="400"/>
      <c r="V44" s="400"/>
      <c r="W44" s="400"/>
      <c r="X44" s="400"/>
      <c r="Y44" s="400"/>
      <c r="Z44" s="400"/>
      <c r="AA44" s="400"/>
      <c r="AB44" s="400"/>
      <c r="AC44" s="400"/>
      <c r="AD44" s="400"/>
      <c r="AE44" s="400"/>
      <c r="AF44" s="400"/>
      <c r="AG44" s="400"/>
      <c r="AH44" s="400"/>
      <c r="AI44" s="400"/>
      <c r="AJ44" s="400"/>
      <c r="AK44" s="400"/>
      <c r="AL44" s="400"/>
      <c r="AM44" s="400"/>
      <c r="AN44" s="400"/>
      <c r="AO44" s="400"/>
      <c r="AP44" s="400"/>
      <c r="AQ44" s="400"/>
      <c r="AR44" s="400"/>
      <c r="AS44" s="400"/>
      <c r="AT44" s="400"/>
      <c r="AU44" s="400"/>
      <c r="AV44" s="400"/>
      <c r="AW44" s="400"/>
      <c r="AX44" s="400"/>
      <c r="AY44" s="400"/>
      <c r="AZ44" s="400"/>
      <c r="BA44" s="400"/>
      <c r="BB44" s="400"/>
    </row>
    <row r="45" spans="4:54" outlineLevel="1" x14ac:dyDescent="0.2">
      <c r="D45" s="325" t="s">
        <v>49</v>
      </c>
      <c r="E45" s="400"/>
      <c r="F45" s="400"/>
      <c r="G45" s="400"/>
      <c r="H45" s="400"/>
      <c r="I45" s="400"/>
      <c r="J45" s="400"/>
      <c r="K45" s="400"/>
      <c r="L45" s="400"/>
      <c r="M45" s="400"/>
      <c r="N45" s="400"/>
      <c r="O45" s="400"/>
      <c r="P45" s="400"/>
      <c r="Q45" s="400"/>
      <c r="R45" s="400"/>
      <c r="S45" s="400"/>
      <c r="T45" s="400"/>
      <c r="U45" s="400"/>
      <c r="V45" s="400"/>
      <c r="W45" s="400"/>
      <c r="X45" s="400"/>
      <c r="Y45" s="400"/>
      <c r="Z45" s="400"/>
      <c r="AA45" s="400"/>
      <c r="AB45" s="400"/>
      <c r="AC45" s="400"/>
      <c r="AD45" s="400"/>
      <c r="AE45" s="400"/>
      <c r="AF45" s="400"/>
      <c r="AG45" s="400"/>
      <c r="AH45" s="400"/>
      <c r="AI45" s="400"/>
      <c r="AJ45" s="400"/>
      <c r="AK45" s="400"/>
      <c r="AL45" s="400"/>
      <c r="AM45" s="400"/>
      <c r="AN45" s="400"/>
      <c r="AO45" s="400"/>
      <c r="AP45" s="400"/>
      <c r="AQ45" s="400"/>
      <c r="AR45" s="400"/>
      <c r="AS45" s="400"/>
      <c r="AT45" s="400"/>
      <c r="AU45" s="400"/>
      <c r="AV45" s="400"/>
      <c r="AW45" s="400"/>
      <c r="AX45" s="400"/>
      <c r="AY45" s="400"/>
      <c r="AZ45" s="400"/>
      <c r="BA45" s="400"/>
      <c r="BB45" s="400"/>
    </row>
    <row r="46" spans="4:54" outlineLevel="1" x14ac:dyDescent="0.2">
      <c r="D46" s="325" t="s">
        <v>50</v>
      </c>
      <c r="E46" s="400"/>
      <c r="F46" s="400"/>
      <c r="G46" s="400"/>
      <c r="H46" s="400"/>
      <c r="I46" s="400"/>
      <c r="J46" s="400"/>
      <c r="K46" s="400"/>
      <c r="L46" s="400"/>
      <c r="M46" s="400"/>
      <c r="N46" s="400"/>
      <c r="O46" s="400"/>
      <c r="P46" s="400"/>
      <c r="Q46" s="400"/>
      <c r="R46" s="400"/>
      <c r="S46" s="400"/>
      <c r="T46" s="400"/>
      <c r="U46" s="400"/>
      <c r="V46" s="400"/>
      <c r="W46" s="400"/>
      <c r="X46" s="400"/>
      <c r="Y46" s="400"/>
      <c r="Z46" s="400"/>
      <c r="AA46" s="400"/>
      <c r="AB46" s="400"/>
      <c r="AC46" s="400"/>
      <c r="AD46" s="400"/>
      <c r="AE46" s="400"/>
      <c r="AF46" s="400"/>
      <c r="AG46" s="400"/>
      <c r="AH46" s="400"/>
      <c r="AI46" s="400"/>
      <c r="AJ46" s="400"/>
      <c r="AK46" s="400"/>
      <c r="AL46" s="400"/>
      <c r="AM46" s="400"/>
      <c r="AN46" s="400"/>
      <c r="AO46" s="400"/>
      <c r="AP46" s="400"/>
      <c r="AQ46" s="400"/>
      <c r="AR46" s="400"/>
      <c r="AS46" s="400"/>
      <c r="AT46" s="400"/>
      <c r="AU46" s="400"/>
      <c r="AV46" s="400"/>
      <c r="AW46" s="400"/>
      <c r="AX46" s="400"/>
      <c r="AY46" s="400"/>
      <c r="AZ46" s="400"/>
      <c r="BA46" s="400"/>
      <c r="BB46" s="400"/>
    </row>
    <row r="47" spans="4:54" outlineLevel="1" x14ac:dyDescent="0.2">
      <c r="D47" s="316" t="s">
        <v>51</v>
      </c>
    </row>
    <row r="48" spans="4:54" outlineLevel="1" x14ac:dyDescent="0.2">
      <c r="D48" s="402" t="s">
        <v>52</v>
      </c>
      <c r="E48" s="400"/>
      <c r="F48" s="400"/>
      <c r="G48" s="400"/>
      <c r="H48" s="400"/>
      <c r="I48" s="400"/>
      <c r="J48" s="400"/>
      <c r="K48" s="400"/>
      <c r="L48" s="400"/>
      <c r="M48" s="400"/>
      <c r="N48" s="400"/>
      <c r="O48" s="400"/>
      <c r="P48" s="400"/>
      <c r="Q48" s="400"/>
      <c r="R48" s="400"/>
      <c r="S48" s="400"/>
      <c r="T48" s="400"/>
      <c r="U48" s="400"/>
      <c r="V48" s="400"/>
      <c r="W48" s="400"/>
      <c r="X48" s="400"/>
      <c r="Y48" s="400"/>
      <c r="Z48" s="400"/>
      <c r="AA48" s="400"/>
      <c r="AB48" s="400"/>
      <c r="AC48" s="400"/>
      <c r="AD48" s="400"/>
      <c r="AE48" s="400"/>
      <c r="AF48" s="400"/>
      <c r="AG48" s="400"/>
      <c r="AH48" s="400"/>
      <c r="AI48" s="400"/>
      <c r="AJ48" s="400"/>
      <c r="AK48" s="400"/>
      <c r="AL48" s="400"/>
      <c r="AM48" s="400"/>
      <c r="AN48" s="400"/>
      <c r="AO48" s="400"/>
      <c r="AP48" s="400"/>
      <c r="AQ48" s="400"/>
      <c r="AR48" s="400"/>
      <c r="AS48" s="400"/>
      <c r="AT48" s="400"/>
      <c r="AU48" s="400"/>
      <c r="AV48" s="400"/>
      <c r="AW48" s="400"/>
      <c r="AX48" s="400"/>
      <c r="AY48" s="400"/>
      <c r="AZ48" s="400"/>
      <c r="BA48" s="400"/>
      <c r="BB48" s="400"/>
    </row>
    <row r="49" spans="4:54" outlineLevel="1" x14ac:dyDescent="0.2">
      <c r="D49" s="402" t="s">
        <v>45</v>
      </c>
    </row>
    <row r="50" spans="4:54" outlineLevel="1" x14ac:dyDescent="0.2">
      <c r="D50" s="403" t="s">
        <v>46</v>
      </c>
      <c r="E50" s="400"/>
      <c r="F50" s="400"/>
      <c r="G50" s="400"/>
      <c r="H50" s="400"/>
      <c r="I50" s="400"/>
      <c r="J50" s="400"/>
      <c r="K50" s="400"/>
      <c r="L50" s="400"/>
      <c r="M50" s="400"/>
      <c r="N50" s="400"/>
      <c r="O50" s="400"/>
      <c r="P50" s="400"/>
      <c r="Q50" s="400"/>
      <c r="R50" s="400"/>
      <c r="S50" s="400"/>
      <c r="T50" s="400"/>
      <c r="U50" s="400"/>
      <c r="V50" s="400"/>
      <c r="W50" s="400"/>
      <c r="X50" s="400"/>
      <c r="Y50" s="400"/>
      <c r="Z50" s="400"/>
      <c r="AA50" s="400"/>
      <c r="AB50" s="400"/>
      <c r="AC50" s="400"/>
      <c r="AD50" s="400"/>
      <c r="AE50" s="400"/>
      <c r="AF50" s="400"/>
      <c r="AG50" s="400"/>
      <c r="AH50" s="400"/>
      <c r="AI50" s="400"/>
      <c r="AJ50" s="400"/>
      <c r="AK50" s="400"/>
      <c r="AL50" s="400"/>
      <c r="AM50" s="400"/>
      <c r="AN50" s="400"/>
      <c r="AO50" s="400"/>
      <c r="AP50" s="400"/>
      <c r="AQ50" s="400"/>
      <c r="AR50" s="400"/>
      <c r="AS50" s="400"/>
      <c r="AT50" s="400"/>
      <c r="AU50" s="400"/>
      <c r="AV50" s="400"/>
      <c r="AW50" s="400"/>
      <c r="AX50" s="400"/>
      <c r="AY50" s="400"/>
      <c r="AZ50" s="400"/>
      <c r="BA50" s="400"/>
      <c r="BB50" s="400"/>
    </row>
    <row r="51" spans="4:54" outlineLevel="1" x14ac:dyDescent="0.2">
      <c r="D51" s="403" t="s">
        <v>47</v>
      </c>
      <c r="E51" s="400"/>
      <c r="F51" s="400"/>
      <c r="G51" s="400"/>
      <c r="H51" s="400"/>
      <c r="I51" s="400"/>
      <c r="J51" s="400"/>
      <c r="K51" s="400"/>
      <c r="L51" s="400"/>
      <c r="M51" s="400"/>
      <c r="N51" s="400"/>
      <c r="O51" s="400"/>
      <c r="P51" s="400"/>
      <c r="Q51" s="400"/>
      <c r="R51" s="400"/>
      <c r="S51" s="400"/>
      <c r="T51" s="400"/>
      <c r="U51" s="400"/>
      <c r="V51" s="400"/>
      <c r="W51" s="400"/>
      <c r="X51" s="400"/>
      <c r="Y51" s="400"/>
      <c r="Z51" s="400"/>
      <c r="AA51" s="400"/>
      <c r="AB51" s="400"/>
      <c r="AC51" s="400"/>
      <c r="AD51" s="400"/>
      <c r="AE51" s="400"/>
      <c r="AF51" s="400"/>
      <c r="AG51" s="400"/>
      <c r="AH51" s="400"/>
      <c r="AI51" s="400"/>
      <c r="AJ51" s="400"/>
      <c r="AK51" s="400"/>
      <c r="AL51" s="400"/>
      <c r="AM51" s="400"/>
      <c r="AN51" s="400"/>
      <c r="AO51" s="400"/>
      <c r="AP51" s="400"/>
      <c r="AQ51" s="400"/>
      <c r="AR51" s="400"/>
      <c r="AS51" s="400"/>
      <c r="AT51" s="400"/>
      <c r="AU51" s="400"/>
      <c r="AV51" s="400"/>
      <c r="AW51" s="400"/>
      <c r="AX51" s="400"/>
      <c r="AY51" s="400"/>
      <c r="AZ51" s="400"/>
      <c r="BA51" s="400"/>
      <c r="BB51" s="400"/>
    </row>
    <row r="52" spans="4:54" outlineLevel="1" x14ac:dyDescent="0.2">
      <c r="D52" s="402" t="s">
        <v>35</v>
      </c>
      <c r="E52" s="400"/>
      <c r="F52" s="400"/>
      <c r="G52" s="400"/>
      <c r="H52" s="400"/>
      <c r="I52" s="400"/>
      <c r="J52" s="400"/>
      <c r="K52" s="400"/>
      <c r="L52" s="400"/>
      <c r="M52" s="400"/>
      <c r="N52" s="400"/>
      <c r="O52" s="400"/>
      <c r="P52" s="400"/>
      <c r="Q52" s="400"/>
      <c r="R52" s="400"/>
      <c r="S52" s="400"/>
      <c r="T52" s="400"/>
      <c r="U52" s="400"/>
      <c r="V52" s="400"/>
      <c r="W52" s="400"/>
      <c r="X52" s="400"/>
      <c r="Y52" s="400"/>
      <c r="Z52" s="400"/>
      <c r="AA52" s="400"/>
      <c r="AB52" s="400"/>
      <c r="AC52" s="400"/>
      <c r="AD52" s="400"/>
      <c r="AE52" s="400"/>
      <c r="AF52" s="400"/>
      <c r="AG52" s="400"/>
      <c r="AH52" s="400"/>
      <c r="AI52" s="400"/>
      <c r="AJ52" s="400"/>
      <c r="AK52" s="400"/>
      <c r="AL52" s="400"/>
      <c r="AM52" s="400"/>
      <c r="AN52" s="400"/>
      <c r="AO52" s="400"/>
      <c r="AP52" s="400"/>
      <c r="AQ52" s="400"/>
      <c r="AR52" s="400"/>
      <c r="AS52" s="400"/>
      <c r="AT52" s="400"/>
      <c r="AU52" s="400"/>
      <c r="AV52" s="400"/>
      <c r="AW52" s="400"/>
      <c r="AX52" s="400"/>
      <c r="AY52" s="400"/>
      <c r="AZ52" s="400"/>
      <c r="BA52" s="400"/>
      <c r="BB52" s="400"/>
    </row>
    <row r="53" spans="4:54" outlineLevel="1" x14ac:dyDescent="0.2">
      <c r="D53" s="316" t="s">
        <v>53</v>
      </c>
    </row>
    <row r="54" spans="4:54" outlineLevel="1" x14ac:dyDescent="0.2">
      <c r="D54" s="403" t="s">
        <v>46</v>
      </c>
      <c r="E54" s="400"/>
      <c r="F54" s="400"/>
      <c r="G54" s="400"/>
      <c r="H54" s="400"/>
      <c r="I54" s="400"/>
      <c r="J54" s="400"/>
      <c r="K54" s="400"/>
      <c r="L54" s="400"/>
      <c r="M54" s="400"/>
      <c r="N54" s="400"/>
      <c r="O54" s="400"/>
      <c r="P54" s="400"/>
      <c r="Q54" s="400"/>
      <c r="R54" s="400"/>
      <c r="S54" s="400"/>
      <c r="T54" s="400"/>
      <c r="U54" s="400"/>
      <c r="V54" s="400"/>
      <c r="W54" s="400"/>
      <c r="X54" s="400"/>
      <c r="Y54" s="400"/>
      <c r="Z54" s="400"/>
      <c r="AA54" s="400"/>
      <c r="AB54" s="400"/>
      <c r="AC54" s="400"/>
      <c r="AD54" s="400"/>
      <c r="AE54" s="400"/>
      <c r="AF54" s="400"/>
      <c r="AG54" s="400"/>
      <c r="AH54" s="400"/>
      <c r="AI54" s="400"/>
      <c r="AJ54" s="400"/>
      <c r="AK54" s="400"/>
      <c r="AL54" s="400"/>
      <c r="AM54" s="400"/>
      <c r="AN54" s="400"/>
      <c r="AO54" s="400"/>
      <c r="AP54" s="400"/>
      <c r="AQ54" s="400"/>
      <c r="AR54" s="400"/>
      <c r="AS54" s="400"/>
      <c r="AT54" s="400"/>
      <c r="AU54" s="400"/>
      <c r="AV54" s="400"/>
      <c r="AW54" s="400"/>
      <c r="AX54" s="400"/>
      <c r="AY54" s="400"/>
      <c r="AZ54" s="400"/>
      <c r="BA54" s="400"/>
      <c r="BB54" s="400"/>
    </row>
    <row r="55" spans="4:54" outlineLevel="1" x14ac:dyDescent="0.2">
      <c r="D55" s="403" t="s">
        <v>47</v>
      </c>
      <c r="E55" s="400"/>
      <c r="F55" s="400"/>
      <c r="G55" s="400"/>
      <c r="H55" s="400"/>
      <c r="I55" s="400"/>
      <c r="J55" s="400"/>
      <c r="K55" s="400"/>
      <c r="L55" s="400"/>
      <c r="M55" s="400"/>
      <c r="N55" s="400"/>
      <c r="O55" s="400"/>
      <c r="P55" s="400"/>
      <c r="Q55" s="400"/>
      <c r="R55" s="400"/>
      <c r="S55" s="400"/>
      <c r="T55" s="400"/>
      <c r="U55" s="400"/>
      <c r="V55" s="400"/>
      <c r="W55" s="400"/>
      <c r="X55" s="400"/>
      <c r="Y55" s="400"/>
      <c r="Z55" s="400"/>
      <c r="AA55" s="400"/>
      <c r="AB55" s="400"/>
      <c r="AC55" s="400"/>
      <c r="AD55" s="400"/>
      <c r="AE55" s="400"/>
      <c r="AF55" s="400"/>
      <c r="AG55" s="400"/>
      <c r="AH55" s="400"/>
      <c r="AI55" s="400"/>
      <c r="AJ55" s="400"/>
      <c r="AK55" s="400"/>
      <c r="AL55" s="400"/>
      <c r="AM55" s="400"/>
      <c r="AN55" s="400"/>
      <c r="AO55" s="400"/>
      <c r="AP55" s="400"/>
      <c r="AQ55" s="400"/>
      <c r="AR55" s="400"/>
      <c r="AS55" s="400"/>
      <c r="AT55" s="400"/>
      <c r="AU55" s="400"/>
      <c r="AV55" s="400"/>
      <c r="AW55" s="400"/>
      <c r="AX55" s="400"/>
      <c r="AY55" s="400"/>
      <c r="AZ55" s="400"/>
      <c r="BA55" s="400"/>
      <c r="BB55" s="400"/>
    </row>
    <row r="56" spans="4:54" outlineLevel="1" x14ac:dyDescent="0.2">
      <c r="D56" s="316" t="s">
        <v>54</v>
      </c>
      <c r="E56" s="400"/>
      <c r="F56" s="400"/>
      <c r="G56" s="400"/>
      <c r="H56" s="400">
        <v>760493.3714148876</v>
      </c>
      <c r="I56" s="400">
        <v>771622.35841197695</v>
      </c>
      <c r="J56" s="400">
        <v>776831.45331736619</v>
      </c>
      <c r="K56" s="400">
        <v>777369.37650212168</v>
      </c>
      <c r="L56" s="400">
        <v>789093.58836505224</v>
      </c>
      <c r="M56" s="400">
        <v>789093.58836505224</v>
      </c>
      <c r="N56" s="400">
        <v>63980.561218788018</v>
      </c>
      <c r="O56" s="400">
        <v>63980.561218788018</v>
      </c>
      <c r="P56" s="400"/>
      <c r="Q56" s="400"/>
      <c r="R56" s="400"/>
      <c r="S56" s="400"/>
      <c r="T56" s="400"/>
      <c r="U56" s="400"/>
      <c r="V56" s="400"/>
      <c r="W56" s="400"/>
      <c r="X56" s="400"/>
      <c r="Y56" s="400"/>
      <c r="Z56" s="400"/>
      <c r="AA56" s="400"/>
      <c r="AB56" s="400"/>
      <c r="AC56" s="400"/>
      <c r="AD56" s="400"/>
      <c r="AE56" s="400"/>
      <c r="AF56" s="400"/>
      <c r="AG56" s="400"/>
      <c r="AH56" s="400"/>
      <c r="AI56" s="400"/>
      <c r="AJ56" s="400"/>
      <c r="AK56" s="400"/>
      <c r="AL56" s="400"/>
      <c r="AM56" s="400"/>
      <c r="AN56" s="400"/>
      <c r="AO56" s="400"/>
      <c r="AP56" s="400"/>
      <c r="AQ56" s="400"/>
      <c r="AR56" s="400"/>
      <c r="AS56" s="400"/>
      <c r="AT56" s="400"/>
      <c r="AU56" s="400"/>
      <c r="AV56" s="400"/>
      <c r="AW56" s="400"/>
      <c r="AX56" s="400"/>
      <c r="AY56" s="400"/>
      <c r="AZ56" s="400"/>
      <c r="BA56" s="400"/>
      <c r="BB56" s="400"/>
    </row>
    <row r="58" spans="4:54" s="60" customFormat="1" ht="10.35" customHeight="1" x14ac:dyDescent="0.2">
      <c r="D58" s="61" t="s">
        <v>55</v>
      </c>
    </row>
    <row r="59" spans="4:54" ht="10.35" customHeight="1" x14ac:dyDescent="0.2">
      <c r="D59" s="65"/>
    </row>
    <row r="60" spans="4:54" ht="10.35" customHeight="1" x14ac:dyDescent="0.2">
      <c r="D60" s="65"/>
    </row>
    <row r="62" spans="4:54" x14ac:dyDescent="0.2">
      <c r="D62" s="10" t="s">
        <v>56</v>
      </c>
      <c r="E62" s="17" t="s">
        <v>57</v>
      </c>
      <c r="F62" s="320" t="s">
        <v>57</v>
      </c>
      <c r="G62" s="17" t="s">
        <v>57</v>
      </c>
      <c r="H62" s="17"/>
      <c r="I62" s="134" t="s">
        <v>58</v>
      </c>
      <c r="J62" s="334" t="s">
        <v>59</v>
      </c>
      <c r="K62" s="335" t="s">
        <v>60</v>
      </c>
      <c r="L62" s="17"/>
      <c r="N62" s="17"/>
      <c r="O62" s="17"/>
      <c r="Q62" s="17"/>
      <c r="R62" s="17"/>
      <c r="S62" s="17"/>
      <c r="T62" s="17"/>
      <c r="U62" s="17"/>
    </row>
    <row r="63" spans="4:54" x14ac:dyDescent="0.2">
      <c r="D63" s="66" t="s">
        <v>61</v>
      </c>
      <c r="E63" s="83" t="s">
        <v>62</v>
      </c>
      <c r="F63" s="404" t="s">
        <v>63</v>
      </c>
      <c r="G63" s="83" t="s">
        <v>64</v>
      </c>
      <c r="H63" s="83"/>
      <c r="I63" s="83" t="s">
        <v>65</v>
      </c>
      <c r="J63" s="404" t="s">
        <v>66</v>
      </c>
      <c r="K63" s="405" t="s">
        <v>66</v>
      </c>
      <c r="L63" s="83"/>
      <c r="N63" s="83"/>
      <c r="O63" s="83"/>
      <c r="Q63" s="83"/>
      <c r="R63" s="83"/>
      <c r="S63" s="83"/>
      <c r="T63" s="83"/>
      <c r="U63" s="83"/>
    </row>
    <row r="64" spans="4:54" ht="10.199999999999999" customHeight="1" x14ac:dyDescent="0.35">
      <c r="E64" s="265"/>
      <c r="F64" s="283"/>
      <c r="G64" s="265"/>
      <c r="H64" s="265"/>
      <c r="I64" s="265"/>
      <c r="J64" s="283"/>
      <c r="K64" s="285"/>
      <c r="L64" s="265"/>
      <c r="N64" s="265"/>
      <c r="O64" s="265"/>
      <c r="Q64" s="265"/>
      <c r="R64" s="265"/>
      <c r="S64" s="265"/>
      <c r="T64" s="265"/>
      <c r="U64" s="265"/>
    </row>
    <row r="65" spans="4:21" ht="10.199999999999999" customHeight="1" x14ac:dyDescent="0.35">
      <c r="D65" s="10" t="s">
        <v>67</v>
      </c>
      <c r="E65" s="321" t="e">
        <f>Output_charts!D22</f>
        <v>#NUM!</v>
      </c>
      <c r="F65" s="333">
        <f>Output_charts!E22</f>
        <v>-2.9924114421147063E-3</v>
      </c>
      <c r="G65" s="321">
        <f>Output_charts!F22</f>
        <v>4.2715182975825217E-2</v>
      </c>
      <c r="H65" s="265"/>
      <c r="I65" s="406">
        <f>Output_charts!J22</f>
        <v>26479600.106396291</v>
      </c>
      <c r="J65" s="407">
        <f>Output_charts!L22</f>
        <v>24642513.573929027</v>
      </c>
      <c r="K65" s="408">
        <f>Output_charts!O22</f>
        <v>1837086.5324672651</v>
      </c>
      <c r="N65" s="409"/>
      <c r="O65" s="409"/>
      <c r="Q65" s="409"/>
      <c r="R65" s="409"/>
      <c r="S65" s="409"/>
      <c r="T65" s="409"/>
      <c r="U65" s="409"/>
    </row>
    <row r="66" spans="4:21" ht="10.199999999999999" customHeight="1" x14ac:dyDescent="0.2"/>
    <row r="67" spans="4:21" ht="10.199999999999999" customHeight="1" x14ac:dyDescent="0.2"/>
  </sheetData>
  <mergeCells count="1">
    <mergeCell ref="K4:L4"/>
  </mergeCells>
  <pageMargins left="0.7" right="0.7" top="0.75" bottom="0.75" header="0.3" footer="0.3"/>
  <pageSetup paperSize="9" orientation="portrait" r:id="rId1"/>
  <headerFooter>
    <oddFooter>&amp;L&amp;1#&amp;"Calibri"&amp;8&amp;K000000For Official use only</oddFooter>
  </headerFooter>
  <customProperties>
    <customPr name="EpmWorksheetKeyString_GUID" r:id="rId2"/>
  </customProperties>
  <drawing r:id="rId3"/>
  <legacyDrawing r:id="rId4"/>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tabColor theme="7" tint="0.79998168889431442"/>
    <outlinePr summaryBelow="0"/>
  </sheetPr>
  <dimension ref="A1:BP304"/>
  <sheetViews>
    <sheetView showGridLines="0" zoomScale="120" zoomScaleNormal="120" workbookViewId="0">
      <pane ySplit="5" topLeftCell="A12" activePane="bottomLeft" state="frozen"/>
      <selection pane="bottomLeft" activeCell="F311" sqref="F311"/>
    </sheetView>
  </sheetViews>
  <sheetFormatPr defaultColWidth="10.7109375" defaultRowHeight="10.199999999999999" outlineLevelRow="1" outlineLevelCol="1" x14ac:dyDescent="0.2"/>
  <cols>
    <col min="1" max="3" width="1.7109375" style="8" customWidth="1"/>
    <col min="4" max="4" width="21.28515625" style="8" customWidth="1"/>
    <col min="5" max="10" width="10.7109375" style="8" customWidth="1"/>
    <col min="11" max="11" width="25.7109375" style="9" customWidth="1"/>
    <col min="12" max="12" width="10.7109375" style="102" customWidth="1"/>
    <col min="13" max="13" width="10.7109375" style="103" customWidth="1" outlineLevel="1"/>
    <col min="14" max="17" width="10.7109375" style="8" customWidth="1" outlineLevel="1"/>
    <col min="18" max="18" width="10.7109375" style="8" customWidth="1"/>
    <col min="19" max="19" width="11.28515625" style="8" bestFit="1" customWidth="1"/>
    <col min="20" max="68" width="10.7109375" style="8" customWidth="1"/>
    <col min="69" max="16384" width="10.7109375" style="8"/>
  </cols>
  <sheetData>
    <row r="1" spans="1:68" s="2" customFormat="1" ht="10.35" customHeight="1" x14ac:dyDescent="0.2">
      <c r="A1" s="1" t="s">
        <v>12</v>
      </c>
      <c r="B1" s="392"/>
      <c r="C1" s="392"/>
      <c r="D1" s="392"/>
      <c r="E1" s="392"/>
      <c r="F1" s="392"/>
      <c r="G1" s="392"/>
      <c r="H1" s="392"/>
      <c r="I1" s="392"/>
      <c r="J1" s="392"/>
      <c r="K1" s="392"/>
      <c r="L1" s="100"/>
      <c r="M1" s="101"/>
      <c r="N1" s="3"/>
      <c r="O1" s="3"/>
      <c r="P1" s="3"/>
      <c r="Q1" s="3"/>
      <c r="R1" s="4"/>
      <c r="S1" s="392"/>
      <c r="T1" s="5"/>
      <c r="U1" s="392"/>
      <c r="V1" s="392"/>
      <c r="W1" s="392"/>
      <c r="X1" s="392"/>
      <c r="Y1" s="392"/>
      <c r="Z1" s="392"/>
      <c r="AA1" s="392"/>
      <c r="AB1" s="392"/>
      <c r="AC1" s="392"/>
      <c r="AD1" s="392"/>
      <c r="AE1" s="392"/>
      <c r="AF1" s="1"/>
      <c r="AG1" s="392"/>
      <c r="AH1" s="6"/>
      <c r="AI1" s="392"/>
      <c r="AJ1" s="392"/>
      <c r="AK1" s="392"/>
      <c r="AL1" s="392"/>
      <c r="AM1" s="392"/>
      <c r="AN1" s="392"/>
      <c r="AO1" s="1"/>
      <c r="AP1" s="392"/>
      <c r="AQ1" s="6"/>
      <c r="AR1" s="392"/>
      <c r="AS1" s="392"/>
      <c r="AT1" s="392"/>
      <c r="AU1" s="392"/>
      <c r="AV1" s="392"/>
      <c r="AW1" s="392"/>
      <c r="AX1" s="392"/>
      <c r="AY1" s="392"/>
      <c r="AZ1" s="392"/>
      <c r="BA1" s="392"/>
      <c r="BB1" s="392"/>
      <c r="BC1" s="392"/>
      <c r="BD1" s="392"/>
      <c r="BE1" s="392"/>
      <c r="BF1" s="392"/>
      <c r="BG1" s="392"/>
      <c r="BH1" s="392"/>
      <c r="BI1" s="392"/>
      <c r="BJ1" s="392"/>
      <c r="BK1" s="392"/>
      <c r="BL1" s="392"/>
      <c r="BM1" s="392"/>
      <c r="BN1" s="392"/>
      <c r="BO1" s="392"/>
      <c r="BP1" s="392"/>
    </row>
    <row r="2" spans="1:68" s="2" customFormat="1" ht="10.35" customHeight="1" x14ac:dyDescent="0.2">
      <c r="A2" s="392"/>
      <c r="B2" s="160" t="str">
        <f ca="1">RIGHT(CELL("filename",A1),LEN(CELL("filename",A1))-FIND("]",CELL("filename",A1)))</f>
        <v>Input</v>
      </c>
      <c r="C2" s="392"/>
      <c r="D2" s="392"/>
      <c r="E2" s="6"/>
      <c r="F2" s="392"/>
      <c r="G2" s="392"/>
      <c r="H2" s="392"/>
      <c r="I2" s="392"/>
      <c r="J2" s="392"/>
      <c r="K2" s="392"/>
      <c r="L2" s="410"/>
      <c r="M2" s="411"/>
      <c r="N2" s="392"/>
      <c r="O2" s="392"/>
      <c r="P2" s="392"/>
      <c r="Q2" s="392"/>
      <c r="R2" s="392"/>
      <c r="S2" s="392"/>
      <c r="T2" s="392"/>
      <c r="U2" s="392"/>
      <c r="V2" s="392"/>
      <c r="W2" s="392"/>
      <c r="X2" s="392"/>
      <c r="Y2" s="392"/>
      <c r="Z2" s="392"/>
      <c r="AA2" s="392"/>
      <c r="AB2" s="392"/>
      <c r="AC2" s="392"/>
      <c r="AD2" s="392"/>
      <c r="AE2" s="392"/>
      <c r="AF2" s="392"/>
      <c r="AG2" s="392"/>
      <c r="AH2" s="392"/>
      <c r="AI2" s="392"/>
      <c r="AJ2" s="392"/>
      <c r="AK2" s="392"/>
      <c r="AL2" s="392"/>
      <c r="AM2" s="392"/>
      <c r="AN2" s="392"/>
      <c r="AO2" s="392"/>
      <c r="AP2" s="392"/>
      <c r="AQ2" s="392"/>
      <c r="AR2" s="392"/>
      <c r="AS2" s="392"/>
      <c r="AT2" s="392"/>
      <c r="AU2" s="392"/>
      <c r="AV2" s="392"/>
      <c r="AW2" s="392"/>
      <c r="AX2" s="392"/>
      <c r="AY2" s="392"/>
      <c r="AZ2" s="392"/>
      <c r="BA2" s="392"/>
      <c r="BB2" s="392"/>
      <c r="BC2" s="392"/>
      <c r="BD2" s="392"/>
      <c r="BE2" s="392"/>
      <c r="BF2" s="392"/>
      <c r="BG2" s="392"/>
      <c r="BH2" s="392"/>
      <c r="BI2" s="392"/>
      <c r="BJ2" s="392"/>
      <c r="BK2" s="392"/>
      <c r="BL2" s="392"/>
      <c r="BM2" s="392"/>
      <c r="BN2" s="392"/>
      <c r="BO2" s="392"/>
      <c r="BP2" s="392"/>
    </row>
    <row r="3" spans="1:68" s="2" customFormat="1" ht="10.35" customHeight="1" x14ac:dyDescent="0.2">
      <c r="A3" s="1"/>
      <c r="B3" s="392"/>
      <c r="C3" s="392"/>
      <c r="D3" s="392"/>
      <c r="E3" s="6"/>
      <c r="F3" s="392"/>
      <c r="G3" s="392"/>
      <c r="H3" s="392"/>
      <c r="I3" s="392"/>
      <c r="J3" s="392"/>
      <c r="K3" s="392"/>
      <c r="L3" s="410"/>
      <c r="M3" s="411"/>
      <c r="N3" s="1"/>
      <c r="O3" s="392"/>
      <c r="P3" s="392"/>
      <c r="Q3" s="392"/>
      <c r="R3" s="392"/>
      <c r="S3" s="349"/>
      <c r="T3" s="349"/>
      <c r="U3" s="349"/>
      <c r="V3" s="349"/>
      <c r="W3" s="349"/>
      <c r="X3" s="349"/>
      <c r="Y3" s="349"/>
      <c r="Z3" s="349"/>
      <c r="AA3" s="349"/>
      <c r="AB3" s="349"/>
      <c r="AC3" s="349"/>
      <c r="AD3" s="349"/>
      <c r="AE3" s="349"/>
      <c r="AF3" s="349"/>
      <c r="AG3" s="349"/>
      <c r="AH3" s="349"/>
      <c r="AI3" s="349"/>
      <c r="AJ3" s="349"/>
      <c r="AK3" s="349"/>
      <c r="AL3" s="349"/>
      <c r="AM3" s="349"/>
      <c r="AN3" s="349"/>
      <c r="AO3" s="349"/>
      <c r="AP3" s="349"/>
      <c r="AQ3" s="349"/>
      <c r="AR3" s="349"/>
      <c r="AS3" s="349"/>
      <c r="AT3" s="349"/>
      <c r="AU3" s="349"/>
      <c r="AV3" s="349"/>
      <c r="AW3" s="349"/>
      <c r="AX3" s="349"/>
      <c r="AY3" s="349"/>
      <c r="AZ3" s="349"/>
      <c r="BA3" s="349"/>
      <c r="BB3" s="349"/>
      <c r="BC3" s="349"/>
      <c r="BD3" s="349"/>
      <c r="BE3" s="349"/>
      <c r="BF3" s="349"/>
      <c r="BG3" s="349"/>
      <c r="BH3" s="349"/>
      <c r="BI3" s="349"/>
      <c r="BJ3" s="349"/>
      <c r="BK3" s="349"/>
      <c r="BL3" s="349"/>
      <c r="BM3" s="349"/>
      <c r="BN3" s="349"/>
      <c r="BO3" s="349"/>
      <c r="BP3" s="349"/>
    </row>
    <row r="4" spans="1:68" s="2" customFormat="1" ht="10.35" customHeight="1" x14ac:dyDescent="0.2">
      <c r="A4" s="7"/>
      <c r="B4" s="392"/>
      <c r="C4" s="392"/>
      <c r="D4" s="11" t="s">
        <v>13</v>
      </c>
      <c r="E4" s="393" t="s">
        <v>14</v>
      </c>
      <c r="F4" s="394" t="s">
        <v>15</v>
      </c>
      <c r="G4" s="133" t="s">
        <v>16</v>
      </c>
      <c r="H4" s="395" t="s">
        <v>17</v>
      </c>
      <c r="I4" s="396" t="s">
        <v>18</v>
      </c>
      <c r="J4" s="397" t="s">
        <v>19</v>
      </c>
      <c r="K4" s="78" t="s">
        <v>20</v>
      </c>
      <c r="L4" s="410"/>
      <c r="M4" s="411"/>
      <c r="N4" s="392"/>
      <c r="O4" s="392"/>
      <c r="P4" s="392"/>
      <c r="Q4" s="350" t="s">
        <v>68</v>
      </c>
      <c r="R4" s="348" t="str">
        <f>"FY"&amp;RIGHT(Assumptions!$L$19+R68,2)</f>
        <v>FY22</v>
      </c>
      <c r="S4" s="348" t="str">
        <f>"FY"&amp;RIGHT(Assumptions!$L$19+S68,2)</f>
        <v>FY23</v>
      </c>
      <c r="T4" s="348" t="str">
        <f>"FY"&amp;RIGHT(Assumptions!$L$19+T68,2)</f>
        <v>FY24</v>
      </c>
      <c r="U4" s="348" t="str">
        <f>"FY"&amp;RIGHT(Assumptions!$L$19+U68,2)</f>
        <v>FY25</v>
      </c>
      <c r="V4" s="348" t="str">
        <f>"FY"&amp;RIGHT(Assumptions!$L$19+V68,2)</f>
        <v>FY26</v>
      </c>
      <c r="W4" s="348" t="str">
        <f>"FY"&amp;RIGHT(Assumptions!$L$19+W68,2)</f>
        <v>FY27</v>
      </c>
      <c r="X4" s="348" t="str">
        <f>"FY"&amp;RIGHT(Assumptions!$L$19+X68,2)</f>
        <v>FY28</v>
      </c>
      <c r="Y4" s="348" t="str">
        <f>"FY"&amp;RIGHT(Assumptions!$L$19+Y68,2)</f>
        <v>FY29</v>
      </c>
      <c r="Z4" s="348" t="str">
        <f>"FY"&amp;RIGHT(Assumptions!$L$19+Z68,2)</f>
        <v>FY30</v>
      </c>
      <c r="AA4" s="348" t="str">
        <f>"FY"&amp;RIGHT(Assumptions!$L$19+AA68,2)</f>
        <v>FY31</v>
      </c>
      <c r="AB4" s="348" t="str">
        <f>"FY"&amp;RIGHT(Assumptions!$L$19+AB68,2)</f>
        <v>FY32</v>
      </c>
      <c r="AC4" s="348" t="str">
        <f>"FY"&amp;RIGHT(Assumptions!$L$19+AC68,2)</f>
        <v>FY33</v>
      </c>
      <c r="AD4" s="348" t="str">
        <f>"FY"&amp;RIGHT(Assumptions!$L$19+AD68,2)</f>
        <v>FY34</v>
      </c>
      <c r="AE4" s="348" t="str">
        <f>"FY"&amp;RIGHT(Assumptions!$L$19+AE68,2)</f>
        <v>FY35</v>
      </c>
      <c r="AF4" s="348" t="str">
        <f>"FY"&amp;RIGHT(Assumptions!$L$19+AF68,2)</f>
        <v>FY36</v>
      </c>
      <c r="AG4" s="348" t="str">
        <f>"FY"&amp;RIGHT(Assumptions!$L$19+AG68,2)</f>
        <v>FY37</v>
      </c>
      <c r="AH4" s="348" t="str">
        <f>"FY"&amp;RIGHT(Assumptions!$L$19+AH68,2)</f>
        <v>FY38</v>
      </c>
      <c r="AI4" s="348" t="str">
        <f>"FY"&amp;RIGHT(Assumptions!$L$19+AI68,2)</f>
        <v>FY39</v>
      </c>
      <c r="AJ4" s="348" t="str">
        <f>"FY"&amp;RIGHT(Assumptions!$L$19+AJ68,2)</f>
        <v>FY40</v>
      </c>
      <c r="AK4" s="348" t="str">
        <f>"FY"&amp;RIGHT(Assumptions!$L$19+AK68,2)</f>
        <v>FY41</v>
      </c>
      <c r="AL4" s="348" t="str">
        <f>"FY"&amp;RIGHT(Assumptions!$L$19+AL68,2)</f>
        <v>FY42</v>
      </c>
      <c r="AM4" s="348" t="str">
        <f>"FY"&amp;RIGHT(Assumptions!$L$19+AM68,2)</f>
        <v>FY43</v>
      </c>
      <c r="AN4" s="348" t="str">
        <f>"FY"&amp;RIGHT(Assumptions!$L$19+AN68,2)</f>
        <v>FY44</v>
      </c>
      <c r="AO4" s="348" t="str">
        <f>"FY"&amp;RIGHT(Assumptions!$L$19+AO68,2)</f>
        <v>FY45</v>
      </c>
      <c r="AP4" s="348" t="str">
        <f>"FY"&amp;RIGHT(Assumptions!$L$19+AP68,2)</f>
        <v>FY46</v>
      </c>
      <c r="AQ4" s="348" t="str">
        <f>"FY"&amp;RIGHT(Assumptions!$L$19+AQ68,2)</f>
        <v>FY47</v>
      </c>
      <c r="AR4" s="348" t="str">
        <f>"FY"&amp;RIGHT(Assumptions!$L$19+AR68,2)</f>
        <v>FY48</v>
      </c>
      <c r="AS4" s="348" t="str">
        <f>"FY"&amp;RIGHT(Assumptions!$L$19+AS68,2)</f>
        <v>FY49</v>
      </c>
      <c r="AT4" s="348" t="str">
        <f>"FY"&amp;RIGHT(Assumptions!$L$19+AT68,2)</f>
        <v>FY50</v>
      </c>
      <c r="AU4" s="348" t="str">
        <f>"FY"&amp;RIGHT(Assumptions!$L$19+AU68,2)</f>
        <v>FY51</v>
      </c>
      <c r="AV4" s="348" t="str">
        <f>"FY"&amp;RIGHT(Assumptions!$L$19+AV68,2)</f>
        <v>FY52</v>
      </c>
      <c r="AW4" s="348" t="str">
        <f>"FY"&amp;RIGHT(Assumptions!$L$19+AW68,2)</f>
        <v>FY53</v>
      </c>
      <c r="AX4" s="348" t="str">
        <f>"FY"&amp;RIGHT(Assumptions!$L$19+AX68,2)</f>
        <v>FY54</v>
      </c>
      <c r="AY4" s="348" t="str">
        <f>"FY"&amp;RIGHT(Assumptions!$L$19+AY68,2)</f>
        <v>FY55</v>
      </c>
      <c r="AZ4" s="348" t="str">
        <f>"FY"&amp;RIGHT(Assumptions!$L$19+AZ68,2)</f>
        <v>FY56</v>
      </c>
      <c r="BA4" s="348" t="str">
        <f>"FY"&amp;RIGHT(Assumptions!$L$19+BA68,2)</f>
        <v>FY57</v>
      </c>
      <c r="BB4" s="348" t="str">
        <f>"FY"&amp;RIGHT(Assumptions!$L$19+BB68,2)</f>
        <v>FY58</v>
      </c>
      <c r="BC4" s="348" t="str">
        <f>"FY"&amp;RIGHT(Assumptions!$L$19+BC68,2)</f>
        <v>FY59</v>
      </c>
      <c r="BD4" s="348" t="str">
        <f>"FY"&amp;RIGHT(Assumptions!$L$19+BD68,2)</f>
        <v>FY60</v>
      </c>
      <c r="BE4" s="348" t="str">
        <f>"FY"&amp;RIGHT(Assumptions!$L$19+BE68,2)</f>
        <v>FY61</v>
      </c>
      <c r="BF4" s="348" t="str">
        <f>"FY"&amp;RIGHT(Assumptions!$L$19+BF68,2)</f>
        <v>FY62</v>
      </c>
      <c r="BG4" s="348" t="str">
        <f>"FY"&amp;RIGHT(Assumptions!$L$19+BG68,2)</f>
        <v>FY63</v>
      </c>
      <c r="BH4" s="348" t="str">
        <f>"FY"&amp;RIGHT(Assumptions!$L$19+BH68,2)</f>
        <v>FY64</v>
      </c>
      <c r="BI4" s="348" t="str">
        <f>"FY"&amp;RIGHT(Assumptions!$L$19+BI68,2)</f>
        <v>FY65</v>
      </c>
      <c r="BJ4" s="348" t="str">
        <f>"FY"&amp;RIGHT(Assumptions!$L$19+BJ68,2)</f>
        <v>FY66</v>
      </c>
      <c r="BK4" s="348" t="str">
        <f>"FY"&amp;RIGHT(Assumptions!$L$19+BK68,2)</f>
        <v>FY67</v>
      </c>
      <c r="BL4" s="348" t="str">
        <f>"FY"&amp;RIGHT(Assumptions!$L$19+BL68,2)</f>
        <v>FY68</v>
      </c>
      <c r="BM4" s="348" t="str">
        <f>"FY"&amp;RIGHT(Assumptions!$L$19+BM68,2)</f>
        <v>FY69</v>
      </c>
      <c r="BN4" s="348" t="str">
        <f>"FY"&amp;RIGHT(Assumptions!$L$19+BN68,2)</f>
        <v>FY70</v>
      </c>
      <c r="BO4" s="348" t="str">
        <f>"FY"&amp;RIGHT(Assumptions!$L$19+BO68,2)</f>
        <v>FY71</v>
      </c>
      <c r="BP4" s="348" t="str">
        <f>"FY"&amp;RIGHT(Assumptions!$L$19+BP68,2)</f>
        <v>FY72</v>
      </c>
    </row>
    <row r="5" spans="1:68" s="2" customFormat="1" ht="10.35" customHeight="1" x14ac:dyDescent="0.2">
      <c r="A5" s="392"/>
      <c r="B5" s="392"/>
      <c r="C5" s="392"/>
      <c r="D5" s="392"/>
      <c r="E5" s="392"/>
      <c r="F5" s="392"/>
      <c r="G5" s="392"/>
      <c r="H5" s="392"/>
      <c r="I5" s="392"/>
      <c r="J5" s="392"/>
      <c r="K5" s="392"/>
      <c r="L5" s="410"/>
      <c r="M5" s="411"/>
      <c r="N5" s="392"/>
      <c r="O5" s="392"/>
      <c r="P5" s="392"/>
      <c r="Q5" s="392"/>
      <c r="R5" s="1"/>
      <c r="S5" s="392"/>
      <c r="T5" s="5"/>
      <c r="U5" s="392"/>
      <c r="V5" s="392"/>
      <c r="W5" s="392"/>
      <c r="X5" s="392"/>
      <c r="Y5" s="392"/>
      <c r="Z5" s="392"/>
      <c r="AA5" s="392"/>
      <c r="AB5" s="392"/>
      <c r="AC5" s="392"/>
      <c r="AD5" s="392"/>
      <c r="AE5" s="392"/>
      <c r="AF5" s="1"/>
      <c r="AG5" s="6"/>
      <c r="AH5" s="6"/>
      <c r="AI5" s="392"/>
      <c r="AJ5" s="392"/>
      <c r="AK5" s="392"/>
      <c r="AL5" s="392"/>
      <c r="AM5" s="392"/>
      <c r="AN5" s="392"/>
      <c r="AO5" s="392"/>
      <c r="AP5" s="392"/>
      <c r="AQ5" s="392"/>
      <c r="AR5" s="392"/>
      <c r="AS5" s="392"/>
      <c r="AT5" s="392"/>
      <c r="AU5" s="392"/>
      <c r="AV5" s="392"/>
      <c r="AW5" s="392"/>
      <c r="AX5" s="392"/>
      <c r="AY5" s="392"/>
      <c r="AZ5" s="392"/>
      <c r="BA5" s="392"/>
      <c r="BB5" s="392"/>
      <c r="BC5" s="392"/>
      <c r="BD5" s="392"/>
      <c r="BE5" s="392"/>
      <c r="BF5" s="392"/>
      <c r="BG5" s="392"/>
      <c r="BH5" s="392"/>
      <c r="BI5" s="392"/>
      <c r="BJ5" s="392"/>
      <c r="BK5" s="392"/>
      <c r="BL5" s="392"/>
      <c r="BM5" s="392"/>
      <c r="BN5" s="392"/>
      <c r="BO5" s="392"/>
      <c r="BP5" s="392"/>
    </row>
    <row r="6" spans="1:68" ht="10.35" customHeight="1" x14ac:dyDescent="0.2">
      <c r="A6" s="80"/>
      <c r="B6" s="80"/>
      <c r="C6" s="80"/>
      <c r="D6" s="80"/>
      <c r="E6" s="80"/>
      <c r="F6" s="80"/>
      <c r="G6" s="80"/>
      <c r="H6" s="80"/>
      <c r="I6" s="80"/>
      <c r="J6" s="80"/>
      <c r="K6" s="80"/>
      <c r="L6" s="412"/>
      <c r="M6" s="413"/>
      <c r="N6" s="80"/>
      <c r="O6" s="80"/>
      <c r="P6" s="80"/>
      <c r="Q6" s="80"/>
      <c r="R6" s="20"/>
      <c r="S6" s="80"/>
      <c r="T6" s="21"/>
      <c r="U6" s="80"/>
      <c r="V6" s="80"/>
      <c r="W6" s="80"/>
      <c r="X6" s="80"/>
      <c r="Y6" s="80"/>
      <c r="Z6" s="80"/>
      <c r="AA6" s="80"/>
      <c r="AB6" s="80"/>
      <c r="AC6" s="80"/>
      <c r="AD6" s="80"/>
      <c r="AE6" s="80"/>
      <c r="AF6" s="20"/>
      <c r="AG6" s="22"/>
      <c r="AH6" s="22"/>
      <c r="AI6" s="80"/>
      <c r="AJ6" s="80"/>
      <c r="AK6" s="80"/>
      <c r="AL6" s="80"/>
      <c r="AM6" s="80"/>
      <c r="AN6" s="80"/>
      <c r="AO6" s="80"/>
      <c r="AP6" s="80"/>
      <c r="AQ6" s="80"/>
      <c r="AR6" s="80"/>
      <c r="AS6" s="80"/>
      <c r="AT6" s="80"/>
      <c r="AU6" s="80"/>
      <c r="AV6" s="80"/>
      <c r="AW6" s="80"/>
      <c r="AX6" s="80"/>
      <c r="AY6" s="80"/>
      <c r="AZ6" s="80"/>
      <c r="BA6" s="80"/>
      <c r="BB6" s="80"/>
      <c r="BC6" s="80"/>
      <c r="BD6" s="80"/>
      <c r="BE6" s="80"/>
      <c r="BF6" s="80"/>
      <c r="BG6" s="80"/>
      <c r="BH6" s="80"/>
      <c r="BI6" s="80"/>
      <c r="BJ6" s="80"/>
      <c r="BK6" s="80"/>
      <c r="BL6" s="80"/>
      <c r="BM6" s="80"/>
      <c r="BN6" s="80"/>
      <c r="BO6" s="80"/>
      <c r="BP6" s="80"/>
    </row>
    <row r="7" spans="1:68" ht="10.35" customHeight="1" x14ac:dyDescent="0.2">
      <c r="A7" s="80"/>
      <c r="B7" s="80"/>
      <c r="C7" s="80"/>
      <c r="D7" s="80"/>
      <c r="E7" s="80"/>
      <c r="F7" s="80"/>
      <c r="G7" s="80"/>
      <c r="H7" s="80"/>
      <c r="I7" s="80"/>
      <c r="J7" s="80"/>
      <c r="K7" s="80"/>
      <c r="L7" s="412"/>
      <c r="M7" s="413"/>
      <c r="N7" s="80"/>
      <c r="O7" s="80"/>
      <c r="P7" s="80"/>
      <c r="Q7" s="80"/>
      <c r="R7" s="20"/>
      <c r="S7" s="80"/>
      <c r="T7" s="21"/>
      <c r="U7" s="80"/>
      <c r="V7" s="80"/>
      <c r="W7" s="80"/>
      <c r="X7" s="80"/>
      <c r="Y7" s="80"/>
      <c r="Z7" s="80"/>
      <c r="AA7" s="80"/>
      <c r="AB7" s="80"/>
      <c r="AC7" s="80"/>
      <c r="AD7" s="80"/>
      <c r="AE7" s="80"/>
      <c r="AF7" s="20"/>
      <c r="AG7" s="22"/>
      <c r="AH7" s="22"/>
      <c r="AI7" s="80"/>
      <c r="AJ7" s="80"/>
      <c r="AK7" s="80"/>
      <c r="AL7" s="80"/>
      <c r="AM7" s="80"/>
      <c r="AN7" s="80"/>
      <c r="AO7" s="80"/>
      <c r="AP7" s="80"/>
      <c r="AQ7" s="80"/>
      <c r="AR7" s="80"/>
      <c r="AS7" s="80"/>
      <c r="AT7" s="80"/>
      <c r="AU7" s="80"/>
      <c r="AV7" s="80"/>
      <c r="AW7" s="80"/>
      <c r="AX7" s="80"/>
      <c r="AY7" s="80"/>
      <c r="AZ7" s="80"/>
      <c r="BA7" s="80"/>
      <c r="BB7" s="80"/>
      <c r="BC7" s="80"/>
      <c r="BD7" s="80"/>
      <c r="BE7" s="80"/>
      <c r="BF7" s="80"/>
      <c r="BG7" s="80"/>
      <c r="BH7" s="80"/>
      <c r="BI7" s="80"/>
      <c r="BJ7" s="80"/>
      <c r="BK7" s="80"/>
      <c r="BL7" s="80"/>
      <c r="BM7" s="80"/>
      <c r="BN7" s="80"/>
      <c r="BO7" s="80"/>
      <c r="BP7" s="80"/>
    </row>
    <row r="8" spans="1:68" ht="10.35" customHeight="1" x14ac:dyDescent="0.2">
      <c r="A8" s="80"/>
      <c r="B8" s="80"/>
      <c r="C8" s="80"/>
      <c r="D8" s="80"/>
      <c r="E8" s="80"/>
      <c r="F8" s="80"/>
      <c r="G8" s="80"/>
      <c r="H8" s="80"/>
      <c r="I8" s="80"/>
      <c r="J8" s="80"/>
      <c r="K8" s="80"/>
      <c r="L8" s="412"/>
      <c r="M8" s="413"/>
      <c r="N8" s="80"/>
      <c r="O8" s="80"/>
      <c r="P8" s="80"/>
      <c r="Q8" s="80"/>
      <c r="R8" s="20"/>
      <c r="S8" s="80"/>
      <c r="T8" s="21"/>
      <c r="U8" s="80"/>
      <c r="V8" s="80"/>
      <c r="W8" s="80"/>
      <c r="X8" s="80"/>
      <c r="Y8" s="80"/>
      <c r="Z8" s="80"/>
      <c r="AA8" s="80"/>
      <c r="AB8" s="80"/>
      <c r="AC8" s="80"/>
      <c r="AD8" s="80"/>
      <c r="AE8" s="80"/>
      <c r="AF8" s="20"/>
      <c r="AG8" s="22"/>
      <c r="AH8" s="22"/>
      <c r="AI8" s="80"/>
      <c r="AJ8" s="80"/>
      <c r="AK8" s="80"/>
      <c r="AL8" s="80"/>
      <c r="AM8" s="80"/>
      <c r="AN8" s="80"/>
      <c r="AO8" s="80"/>
      <c r="AP8" s="80"/>
      <c r="AQ8" s="80"/>
      <c r="AR8" s="80"/>
      <c r="AS8" s="80"/>
      <c r="AT8" s="80"/>
      <c r="AU8" s="80"/>
      <c r="AV8" s="80"/>
      <c r="AW8" s="80"/>
      <c r="AX8" s="80"/>
      <c r="AY8" s="80"/>
      <c r="AZ8" s="80"/>
      <c r="BA8" s="80"/>
      <c r="BB8" s="80"/>
      <c r="BC8" s="80"/>
      <c r="BD8" s="80"/>
      <c r="BE8" s="80"/>
      <c r="BF8" s="80"/>
      <c r="BG8" s="80"/>
      <c r="BH8" s="80"/>
      <c r="BI8" s="80"/>
      <c r="BJ8" s="80"/>
      <c r="BK8" s="80"/>
      <c r="BL8" s="80"/>
      <c r="BM8" s="80"/>
      <c r="BN8" s="80"/>
      <c r="BO8" s="80"/>
      <c r="BP8" s="80"/>
    </row>
    <row r="9" spans="1:68" ht="10.35" customHeight="1" x14ac:dyDescent="0.2">
      <c r="A9" s="80"/>
      <c r="B9" s="80"/>
      <c r="C9" s="80"/>
      <c r="D9" s="80"/>
      <c r="E9" s="80"/>
      <c r="F9" s="80"/>
      <c r="G9" s="80"/>
      <c r="H9" s="80"/>
      <c r="I9" s="80"/>
      <c r="J9" s="80"/>
      <c r="K9" s="80"/>
      <c r="L9" s="412"/>
      <c r="M9" s="413"/>
      <c r="N9" s="80"/>
      <c r="O9" s="80"/>
      <c r="P9" s="80"/>
      <c r="Q9" s="80"/>
      <c r="R9" s="20"/>
      <c r="S9" s="80"/>
      <c r="T9" s="21"/>
      <c r="U9" s="80"/>
      <c r="V9" s="80"/>
      <c r="W9" s="80"/>
      <c r="X9" s="80"/>
      <c r="Y9" s="80"/>
      <c r="Z9" s="80"/>
      <c r="AA9" s="80"/>
      <c r="AB9" s="80"/>
      <c r="AC9" s="80"/>
      <c r="AD9" s="80"/>
      <c r="AE9" s="80"/>
      <c r="AF9" s="20"/>
      <c r="AG9" s="22"/>
      <c r="AH9" s="22"/>
      <c r="AI9" s="80"/>
      <c r="AJ9" s="80"/>
      <c r="AK9" s="80"/>
      <c r="AL9" s="80"/>
      <c r="AM9" s="80"/>
      <c r="AN9" s="80"/>
      <c r="AO9" s="80"/>
      <c r="AP9" s="80"/>
      <c r="AQ9" s="80"/>
      <c r="AR9" s="80"/>
      <c r="AS9" s="80"/>
      <c r="AT9" s="80"/>
      <c r="AU9" s="80"/>
      <c r="AV9" s="80"/>
      <c r="AW9" s="80"/>
      <c r="AX9" s="80"/>
      <c r="AY9" s="80"/>
      <c r="AZ9" s="80"/>
      <c r="BA9" s="80"/>
      <c r="BB9" s="80"/>
      <c r="BC9" s="80"/>
      <c r="BD9" s="80"/>
      <c r="BE9" s="80"/>
      <c r="BF9" s="80"/>
      <c r="BG9" s="80"/>
      <c r="BH9" s="80"/>
      <c r="BI9" s="80"/>
      <c r="BJ9" s="80"/>
      <c r="BK9" s="80"/>
      <c r="BL9" s="80"/>
      <c r="BM9" s="80"/>
      <c r="BN9" s="80"/>
      <c r="BO9" s="80"/>
      <c r="BP9" s="80"/>
    </row>
    <row r="10" spans="1:68" ht="10.35" customHeight="1" x14ac:dyDescent="0.2">
      <c r="A10" s="80"/>
      <c r="B10" s="80"/>
      <c r="C10" s="80"/>
      <c r="D10" s="80"/>
      <c r="E10" s="80"/>
      <c r="F10" s="80"/>
      <c r="G10" s="80"/>
      <c r="H10" s="80"/>
      <c r="I10" s="80"/>
      <c r="J10" s="80"/>
      <c r="K10" s="80"/>
      <c r="L10" s="412"/>
      <c r="M10" s="413"/>
      <c r="N10" s="80"/>
      <c r="O10" s="80"/>
      <c r="P10" s="80"/>
      <c r="Q10" s="80"/>
      <c r="R10" s="20"/>
      <c r="S10" s="80"/>
      <c r="T10" s="21"/>
      <c r="U10" s="80"/>
      <c r="V10" s="80"/>
      <c r="W10" s="80"/>
      <c r="X10" s="80"/>
      <c r="Y10" s="80"/>
      <c r="Z10" s="80"/>
      <c r="AA10" s="80"/>
      <c r="AB10" s="80"/>
      <c r="AC10" s="80"/>
      <c r="AD10" s="80"/>
      <c r="AE10" s="80"/>
      <c r="AF10" s="20"/>
      <c r="AG10" s="22"/>
      <c r="AH10" s="22"/>
      <c r="AI10" s="80"/>
      <c r="AJ10" s="80"/>
      <c r="AK10" s="80"/>
      <c r="AL10" s="80"/>
      <c r="AM10" s="80"/>
      <c r="AN10" s="80"/>
      <c r="AO10" s="80"/>
      <c r="AP10" s="80"/>
      <c r="AQ10" s="80"/>
      <c r="AR10" s="80"/>
      <c r="AS10" s="80"/>
      <c r="AT10" s="80"/>
      <c r="AU10" s="80"/>
      <c r="AV10" s="80"/>
      <c r="AW10" s="80"/>
      <c r="AX10" s="80"/>
      <c r="AY10" s="80"/>
      <c r="AZ10" s="80"/>
      <c r="BA10" s="80"/>
      <c r="BB10" s="80"/>
      <c r="BC10" s="80"/>
      <c r="BD10" s="80"/>
      <c r="BE10" s="80"/>
      <c r="BF10" s="80"/>
      <c r="BG10" s="80"/>
      <c r="BH10" s="80"/>
      <c r="BI10" s="80"/>
      <c r="BJ10" s="80"/>
      <c r="BK10" s="80"/>
      <c r="BL10" s="80"/>
      <c r="BM10" s="80"/>
      <c r="BN10" s="80"/>
      <c r="BO10" s="80"/>
      <c r="BP10" s="80"/>
    </row>
    <row r="11" spans="1:68" ht="10.35" customHeight="1" x14ac:dyDescent="0.2">
      <c r="A11" s="80"/>
      <c r="B11" s="80"/>
      <c r="C11" s="80"/>
      <c r="D11" s="80"/>
      <c r="E11" s="80"/>
      <c r="F11" s="80"/>
      <c r="G11" s="80"/>
      <c r="H11" s="80"/>
      <c r="I11" s="80"/>
      <c r="J11" s="80"/>
      <c r="K11" s="80"/>
      <c r="L11" s="412"/>
      <c r="M11" s="413"/>
      <c r="N11" s="80"/>
      <c r="O11" s="80"/>
      <c r="P11" s="80"/>
      <c r="Q11" s="80"/>
      <c r="R11" s="20"/>
      <c r="S11" s="80"/>
      <c r="T11" s="21"/>
      <c r="U11" s="80"/>
      <c r="V11" s="80"/>
      <c r="W11" s="80"/>
      <c r="X11" s="80"/>
      <c r="Y11" s="80"/>
      <c r="Z11" s="80"/>
      <c r="AA11" s="80"/>
      <c r="AB11" s="80"/>
      <c r="AC11" s="80"/>
      <c r="AD11" s="80"/>
      <c r="AE11" s="80"/>
      <c r="AF11" s="20"/>
      <c r="AG11" s="22"/>
      <c r="AH11" s="22"/>
      <c r="AI11" s="80"/>
      <c r="AJ11" s="80"/>
      <c r="AK11" s="80"/>
      <c r="AL11" s="80"/>
      <c r="AM11" s="80"/>
      <c r="AN11" s="80"/>
      <c r="AO11" s="80"/>
      <c r="AP11" s="80"/>
      <c r="AQ11" s="80"/>
      <c r="AR11" s="80"/>
      <c r="AS11" s="80"/>
      <c r="AT11" s="80"/>
      <c r="AU11" s="80"/>
      <c r="AV11" s="80"/>
      <c r="AW11" s="80"/>
      <c r="AX11" s="80"/>
      <c r="AY11" s="80"/>
      <c r="AZ11" s="80"/>
      <c r="BA11" s="80"/>
      <c r="BB11" s="80"/>
      <c r="BC11" s="80"/>
      <c r="BD11" s="80"/>
      <c r="BE11" s="80"/>
      <c r="BF11" s="80"/>
      <c r="BG11" s="80"/>
      <c r="BH11" s="80"/>
      <c r="BI11" s="80"/>
      <c r="BJ11" s="80"/>
      <c r="BK11" s="80"/>
      <c r="BL11" s="80"/>
      <c r="BM11" s="80"/>
      <c r="BN11" s="80"/>
      <c r="BO11" s="80"/>
      <c r="BP11" s="80"/>
    </row>
    <row r="12" spans="1:68" ht="10.35" customHeight="1" x14ac:dyDescent="0.2">
      <c r="A12" s="80"/>
      <c r="B12" s="80"/>
      <c r="C12" s="80"/>
      <c r="D12" s="80"/>
      <c r="E12" s="80"/>
      <c r="F12" s="80"/>
      <c r="G12" s="80"/>
      <c r="H12" s="80"/>
      <c r="I12" s="80"/>
      <c r="J12" s="80"/>
      <c r="K12" s="80"/>
      <c r="L12" s="412"/>
      <c r="M12" s="413"/>
      <c r="N12" s="80"/>
      <c r="O12" s="80"/>
      <c r="P12" s="80"/>
      <c r="Q12" s="80"/>
      <c r="R12" s="20"/>
      <c r="S12" s="80"/>
      <c r="T12" s="21"/>
      <c r="U12" s="80"/>
      <c r="V12" s="80"/>
      <c r="W12" s="80"/>
      <c r="X12" s="80"/>
      <c r="Y12" s="80"/>
      <c r="Z12" s="80"/>
      <c r="AA12" s="80"/>
      <c r="AB12" s="80"/>
      <c r="AC12" s="80"/>
      <c r="AD12" s="80"/>
      <c r="AE12" s="80"/>
      <c r="AF12" s="20"/>
      <c r="AG12" s="22"/>
      <c r="AH12" s="22"/>
      <c r="AI12" s="80"/>
      <c r="AJ12" s="80"/>
      <c r="AK12" s="80"/>
      <c r="AL12" s="80"/>
      <c r="AM12" s="80"/>
      <c r="AN12" s="80"/>
      <c r="AO12" s="80"/>
      <c r="AP12" s="80"/>
      <c r="AQ12" s="80"/>
      <c r="AR12" s="80"/>
      <c r="AS12" s="80"/>
      <c r="AT12" s="80"/>
      <c r="AU12" s="80"/>
      <c r="AV12" s="80"/>
      <c r="AW12" s="80"/>
      <c r="AX12" s="80"/>
      <c r="AY12" s="80"/>
      <c r="AZ12" s="80"/>
      <c r="BA12" s="80"/>
      <c r="BB12" s="80"/>
      <c r="BC12" s="80"/>
      <c r="BD12" s="80"/>
      <c r="BE12" s="80"/>
      <c r="BF12" s="80"/>
      <c r="BG12" s="80"/>
      <c r="BH12" s="80"/>
      <c r="BI12" s="80"/>
      <c r="BJ12" s="80"/>
      <c r="BK12" s="80"/>
      <c r="BL12" s="80"/>
      <c r="BM12" s="80"/>
      <c r="BN12" s="80"/>
      <c r="BO12" s="80"/>
      <c r="BP12" s="80"/>
    </row>
    <row r="13" spans="1:68" ht="10.35" customHeight="1" x14ac:dyDescent="0.2">
      <c r="A13" s="80"/>
      <c r="B13" s="80"/>
      <c r="C13" s="80"/>
      <c r="D13" s="80"/>
      <c r="E13" s="80"/>
      <c r="F13" s="80"/>
      <c r="G13" s="80"/>
      <c r="H13" s="80"/>
      <c r="I13" s="80"/>
      <c r="J13" s="80"/>
      <c r="K13" s="80"/>
      <c r="L13" s="412"/>
      <c r="M13" s="413"/>
      <c r="N13" s="80"/>
      <c r="O13" s="80"/>
      <c r="P13" s="80"/>
      <c r="Q13" s="80"/>
      <c r="R13" s="20"/>
      <c r="S13" s="80"/>
      <c r="T13" s="21"/>
      <c r="U13" s="80"/>
      <c r="V13" s="80"/>
      <c r="W13" s="80"/>
      <c r="X13" s="80"/>
      <c r="Y13" s="80"/>
      <c r="Z13" s="80"/>
      <c r="AA13" s="80"/>
      <c r="AB13" s="80"/>
      <c r="AC13" s="80"/>
      <c r="AD13" s="80"/>
      <c r="AE13" s="80"/>
      <c r="AF13" s="20"/>
      <c r="AG13" s="22"/>
      <c r="AH13" s="22"/>
      <c r="AI13" s="80"/>
      <c r="AJ13" s="80"/>
      <c r="AK13" s="80"/>
      <c r="AL13" s="80"/>
      <c r="AM13" s="80"/>
      <c r="AN13" s="80"/>
      <c r="AO13" s="80"/>
      <c r="AP13" s="80"/>
      <c r="AQ13" s="80"/>
      <c r="AR13" s="80"/>
      <c r="AS13" s="80"/>
      <c r="AT13" s="80"/>
      <c r="AU13" s="80"/>
      <c r="AV13" s="80"/>
      <c r="AW13" s="80"/>
      <c r="AX13" s="80"/>
      <c r="AY13" s="80"/>
      <c r="AZ13" s="80"/>
      <c r="BA13" s="80"/>
      <c r="BB13" s="80"/>
      <c r="BC13" s="80"/>
      <c r="BD13" s="80"/>
      <c r="BE13" s="80"/>
      <c r="BF13" s="80"/>
      <c r="BG13" s="80"/>
      <c r="BH13" s="80"/>
      <c r="BI13" s="80"/>
      <c r="BJ13" s="80"/>
      <c r="BK13" s="80"/>
      <c r="BL13" s="80"/>
      <c r="BM13" s="80"/>
      <c r="BN13" s="80"/>
      <c r="BO13" s="80"/>
      <c r="BP13" s="80"/>
    </row>
    <row r="14" spans="1:68" ht="10.35" customHeight="1" x14ac:dyDescent="0.2">
      <c r="A14" s="80"/>
      <c r="B14" s="80"/>
      <c r="C14" s="80"/>
      <c r="D14" s="80"/>
      <c r="E14" s="80"/>
      <c r="F14" s="80"/>
      <c r="G14" s="80"/>
      <c r="H14" s="80"/>
      <c r="I14" s="80"/>
      <c r="J14" s="80"/>
      <c r="K14" s="80"/>
      <c r="L14" s="412"/>
      <c r="M14" s="413"/>
      <c r="N14" s="80"/>
      <c r="O14" s="80"/>
      <c r="P14" s="80"/>
      <c r="Q14" s="80"/>
      <c r="R14" s="20"/>
      <c r="S14" s="80"/>
      <c r="T14" s="21"/>
      <c r="U14" s="80"/>
      <c r="V14" s="80"/>
      <c r="W14" s="80"/>
      <c r="X14" s="80"/>
      <c r="Y14" s="80"/>
      <c r="Z14" s="80"/>
      <c r="AA14" s="80"/>
      <c r="AB14" s="80"/>
      <c r="AC14" s="80"/>
      <c r="AD14" s="80"/>
      <c r="AE14" s="80"/>
      <c r="AF14" s="20"/>
      <c r="AG14" s="22"/>
      <c r="AH14" s="22"/>
      <c r="AI14" s="80"/>
      <c r="AJ14" s="80"/>
      <c r="AK14" s="80"/>
      <c r="AL14" s="80"/>
      <c r="AM14" s="80"/>
      <c r="AN14" s="80"/>
      <c r="AO14" s="80"/>
      <c r="AP14" s="80"/>
      <c r="AQ14" s="80"/>
      <c r="AR14" s="80"/>
      <c r="AS14" s="80"/>
      <c r="AT14" s="80"/>
      <c r="AU14" s="80"/>
      <c r="AV14" s="80"/>
      <c r="AW14" s="80"/>
      <c r="AX14" s="80"/>
      <c r="AY14" s="80"/>
      <c r="AZ14" s="80"/>
      <c r="BA14" s="80"/>
      <c r="BB14" s="80"/>
      <c r="BC14" s="80"/>
      <c r="BD14" s="80"/>
      <c r="BE14" s="80"/>
      <c r="BF14" s="80"/>
      <c r="BG14" s="80"/>
      <c r="BH14" s="80"/>
      <c r="BI14" s="80"/>
      <c r="BJ14" s="80"/>
      <c r="BK14" s="80"/>
      <c r="BL14" s="80"/>
      <c r="BM14" s="80"/>
      <c r="BN14" s="80"/>
      <c r="BO14" s="80"/>
      <c r="BP14" s="80"/>
    </row>
    <row r="15" spans="1:68" ht="10.35" customHeight="1" x14ac:dyDescent="0.2">
      <c r="A15" s="80"/>
      <c r="B15" s="80"/>
      <c r="C15" s="80"/>
      <c r="D15" s="80"/>
      <c r="E15" s="80"/>
      <c r="F15" s="80"/>
      <c r="G15" s="80"/>
      <c r="H15" s="80"/>
      <c r="I15" s="80"/>
      <c r="J15" s="80"/>
      <c r="K15" s="80"/>
      <c r="L15" s="412"/>
      <c r="M15" s="413"/>
      <c r="N15" s="80"/>
      <c r="O15" s="80"/>
      <c r="P15" s="80"/>
      <c r="Q15" s="80"/>
      <c r="R15" s="20"/>
      <c r="S15" s="80"/>
      <c r="T15" s="21"/>
      <c r="U15" s="80"/>
      <c r="V15" s="80"/>
      <c r="W15" s="80"/>
      <c r="X15" s="80"/>
      <c r="Y15" s="80"/>
      <c r="Z15" s="80"/>
      <c r="AA15" s="80"/>
      <c r="AB15" s="80"/>
      <c r="AC15" s="80"/>
      <c r="AD15" s="80"/>
      <c r="AE15" s="80"/>
      <c r="AF15" s="20"/>
      <c r="AG15" s="22"/>
      <c r="AH15" s="22"/>
      <c r="AI15" s="80"/>
      <c r="AJ15" s="80"/>
      <c r="AK15" s="80"/>
      <c r="AL15" s="80"/>
      <c r="AM15" s="80"/>
      <c r="AN15" s="80"/>
      <c r="AO15" s="80"/>
      <c r="AP15" s="80"/>
      <c r="AQ15" s="80"/>
      <c r="AR15" s="80"/>
      <c r="AS15" s="80"/>
      <c r="AT15" s="80"/>
      <c r="AU15" s="80"/>
      <c r="AV15" s="80"/>
      <c r="AW15" s="80"/>
      <c r="AX15" s="80"/>
      <c r="AY15" s="80"/>
      <c r="AZ15" s="80"/>
      <c r="BA15" s="80"/>
      <c r="BB15" s="80"/>
      <c r="BC15" s="80"/>
      <c r="BD15" s="80"/>
      <c r="BE15" s="80"/>
      <c r="BF15" s="80"/>
      <c r="BG15" s="80"/>
      <c r="BH15" s="80"/>
      <c r="BI15" s="80"/>
      <c r="BJ15" s="80"/>
      <c r="BK15" s="80"/>
      <c r="BL15" s="80"/>
      <c r="BM15" s="80"/>
      <c r="BN15" s="80"/>
      <c r="BO15" s="80"/>
      <c r="BP15" s="80"/>
    </row>
    <row r="17" spans="3:17" outlineLevel="1" x14ac:dyDescent="0.2">
      <c r="C17" s="80"/>
      <c r="D17" s="80"/>
      <c r="E17" s="80"/>
      <c r="F17" s="80"/>
      <c r="G17" s="80"/>
      <c r="H17" s="80"/>
      <c r="I17" s="80"/>
      <c r="J17" s="80"/>
      <c r="K17" s="83"/>
      <c r="L17" s="412"/>
      <c r="M17" s="413"/>
      <c r="N17" s="80"/>
      <c r="O17" s="80"/>
      <c r="P17" s="80"/>
      <c r="Q17" s="80"/>
    </row>
    <row r="18" spans="3:17" outlineLevel="1" x14ac:dyDescent="0.2">
      <c r="C18" s="80"/>
      <c r="D18" s="80"/>
      <c r="E18" s="80"/>
      <c r="F18" s="80"/>
      <c r="G18" s="80"/>
      <c r="H18" s="80"/>
      <c r="I18" s="80"/>
      <c r="J18" s="80"/>
      <c r="K18" s="83"/>
      <c r="L18" s="412"/>
      <c r="M18" s="413"/>
      <c r="N18" s="80"/>
      <c r="O18" s="80"/>
      <c r="P18" s="80"/>
      <c r="Q18" s="80"/>
    </row>
    <row r="19" spans="3:17" outlineLevel="1" x14ac:dyDescent="0.2">
      <c r="C19" s="80"/>
      <c r="D19" s="80"/>
      <c r="E19" s="80"/>
      <c r="F19" s="80"/>
      <c r="G19" s="80"/>
      <c r="H19" s="80"/>
      <c r="I19" s="80"/>
      <c r="J19" s="80"/>
      <c r="K19" s="83"/>
      <c r="L19" s="412"/>
      <c r="M19" s="413"/>
      <c r="N19" s="80"/>
      <c r="O19" s="80"/>
      <c r="P19" s="80"/>
      <c r="Q19" s="80"/>
    </row>
    <row r="20" spans="3:17" outlineLevel="1" x14ac:dyDescent="0.2">
      <c r="C20" s="80"/>
      <c r="D20" s="80"/>
      <c r="E20" s="80"/>
      <c r="F20" s="80"/>
      <c r="G20" s="80"/>
      <c r="H20" s="80"/>
      <c r="I20" s="80"/>
      <c r="J20" s="80"/>
      <c r="K20" s="83"/>
      <c r="L20" s="412"/>
      <c r="M20" s="413"/>
      <c r="N20" s="80"/>
      <c r="O20" s="80"/>
      <c r="P20" s="80"/>
      <c r="Q20" s="80"/>
    </row>
    <row r="21" spans="3:17" outlineLevel="1" x14ac:dyDescent="0.2">
      <c r="C21" s="80" t="s">
        <v>69</v>
      </c>
      <c r="D21" s="80"/>
      <c r="E21" s="414"/>
      <c r="F21"/>
      <c r="G21" s="80"/>
      <c r="H21" s="80"/>
      <c r="I21" s="83"/>
      <c r="J21" s="80"/>
      <c r="K21" s="80"/>
      <c r="L21" s="412"/>
      <c r="M21" s="413"/>
      <c r="N21" s="80"/>
      <c r="O21" s="80"/>
      <c r="P21" s="80"/>
      <c r="Q21" s="80"/>
    </row>
    <row r="22" spans="3:17" outlineLevel="1" x14ac:dyDescent="0.2">
      <c r="C22" s="80"/>
      <c r="D22" s="80"/>
      <c r="E22" s="80"/>
      <c r="F22" s="80"/>
      <c r="G22" s="80"/>
      <c r="H22" s="80"/>
      <c r="I22" s="83"/>
      <c r="J22" s="80"/>
      <c r="K22" s="80"/>
      <c r="L22" s="412"/>
      <c r="M22" s="413"/>
      <c r="N22" s="80"/>
      <c r="O22" s="80"/>
      <c r="P22" s="80"/>
      <c r="Q22" s="80"/>
    </row>
    <row r="23" spans="3:17" outlineLevel="1" x14ac:dyDescent="0.2">
      <c r="C23" s="80" t="s">
        <v>70</v>
      </c>
      <c r="D23" s="80"/>
      <c r="E23" s="133" t="s">
        <v>71</v>
      </c>
      <c r="F23" s="80"/>
      <c r="G23" s="80"/>
      <c r="H23" s="80"/>
      <c r="I23" s="83"/>
      <c r="J23" s="80"/>
      <c r="K23" s="80"/>
      <c r="L23" s="412"/>
      <c r="M23" s="413"/>
      <c r="N23" s="80"/>
      <c r="O23" s="80"/>
      <c r="P23" s="80"/>
      <c r="Q23" s="80"/>
    </row>
    <row r="24" spans="3:17" outlineLevel="1" x14ac:dyDescent="0.2">
      <c r="C24" s="80" t="s">
        <v>72</v>
      </c>
      <c r="D24" s="80"/>
      <c r="E24" s="415"/>
      <c r="F24" s="416"/>
      <c r="G24" s="80"/>
      <c r="H24" s="80"/>
      <c r="I24" s="83"/>
      <c r="J24" s="80"/>
      <c r="K24" s="80"/>
      <c r="L24" s="412"/>
      <c r="M24" s="413"/>
      <c r="N24" s="80"/>
      <c r="O24" s="80"/>
      <c r="P24" s="80"/>
      <c r="Q24" s="80"/>
    </row>
    <row r="25" spans="3:17" outlineLevel="1" x14ac:dyDescent="0.2">
      <c r="C25" s="80" t="s">
        <v>73</v>
      </c>
      <c r="D25" s="80"/>
      <c r="E25" s="141"/>
      <c r="F25" s="80"/>
      <c r="G25" s="80"/>
      <c r="H25" s="80"/>
      <c r="I25" s="83"/>
      <c r="J25" s="80"/>
      <c r="K25" s="80"/>
      <c r="L25" s="412"/>
      <c r="M25" s="413"/>
      <c r="N25" s="80"/>
      <c r="O25" s="80"/>
      <c r="P25" s="80"/>
      <c r="Q25" s="80"/>
    </row>
    <row r="26" spans="3:17" outlineLevel="1" x14ac:dyDescent="0.2">
      <c r="C26" s="80" t="s">
        <v>74</v>
      </c>
      <c r="D26" s="80"/>
      <c r="E26" s="414"/>
      <c r="F26" s="80"/>
      <c r="G26" s="80"/>
      <c r="H26" s="80"/>
      <c r="I26" s="83"/>
      <c r="J26" s="80"/>
      <c r="K26" s="80"/>
      <c r="L26" s="412"/>
      <c r="M26" s="413"/>
      <c r="N26" s="80"/>
      <c r="O26" s="80"/>
      <c r="P26" s="80"/>
      <c r="Q26" s="80"/>
    </row>
    <row r="27" spans="3:17" outlineLevel="1" x14ac:dyDescent="0.2">
      <c r="C27" s="80" t="s">
        <v>75</v>
      </c>
      <c r="D27" s="80"/>
      <c r="E27" s="133" t="s">
        <v>76</v>
      </c>
      <c r="F27" s="80"/>
      <c r="G27" s="80"/>
      <c r="H27" s="80"/>
      <c r="I27" s="83"/>
      <c r="J27" s="80"/>
      <c r="K27" s="80"/>
      <c r="L27" s="412"/>
      <c r="M27" s="413"/>
      <c r="N27" s="80"/>
      <c r="O27" s="80"/>
      <c r="P27" s="80"/>
      <c r="Q27" s="80"/>
    </row>
    <row r="28" spans="3:17" outlineLevel="1" x14ac:dyDescent="0.2">
      <c r="C28" s="80" t="s">
        <v>77</v>
      </c>
      <c r="D28" s="80"/>
      <c r="E28" s="133" t="s">
        <v>78</v>
      </c>
      <c r="F28" s="80"/>
      <c r="G28" s="80"/>
      <c r="H28" s="80"/>
      <c r="I28" s="83"/>
      <c r="J28" s="80"/>
      <c r="K28" s="80"/>
      <c r="L28" s="412"/>
      <c r="M28" s="413"/>
      <c r="N28" s="80"/>
      <c r="O28" s="80"/>
      <c r="P28" s="80"/>
      <c r="Q28" s="80"/>
    </row>
    <row r="29" spans="3:17" outlineLevel="1" x14ac:dyDescent="0.2">
      <c r="C29" s="80" t="s">
        <v>79</v>
      </c>
      <c r="D29" s="80"/>
      <c r="E29" s="415"/>
      <c r="F29" s="416"/>
      <c r="G29" s="80"/>
      <c r="H29" s="80"/>
      <c r="I29" s="83"/>
      <c r="J29" s="80"/>
      <c r="K29" s="80"/>
      <c r="L29" s="412"/>
      <c r="M29" s="413"/>
      <c r="N29" s="80"/>
      <c r="O29" s="80"/>
      <c r="P29" s="80"/>
      <c r="Q29" s="80"/>
    </row>
    <row r="30" spans="3:17" outlineLevel="1" x14ac:dyDescent="0.2">
      <c r="C30" s="80" t="s">
        <v>80</v>
      </c>
      <c r="D30" s="80"/>
      <c r="E30" s="414"/>
      <c r="F30" s="80"/>
      <c r="G30" s="80"/>
      <c r="H30" s="80"/>
      <c r="I30" s="83"/>
      <c r="J30" s="80"/>
      <c r="K30" s="80"/>
      <c r="L30" s="412"/>
      <c r="M30" s="413"/>
      <c r="N30" s="80"/>
      <c r="O30" s="80"/>
      <c r="P30" s="80"/>
      <c r="Q30" s="80"/>
    </row>
    <row r="31" spans="3:17" ht="10.35" customHeight="1" outlineLevel="1" x14ac:dyDescent="0.2">
      <c r="C31" s="80"/>
      <c r="D31" s="80"/>
      <c r="E31" s="80"/>
      <c r="F31" s="80"/>
      <c r="G31" s="80"/>
      <c r="H31" s="80"/>
      <c r="I31" s="80"/>
      <c r="J31" s="80"/>
      <c r="K31" s="80"/>
      <c r="L31" s="412"/>
      <c r="M31" s="413"/>
      <c r="N31" s="80"/>
      <c r="O31" s="80"/>
      <c r="P31" s="80"/>
      <c r="Q31" s="80"/>
    </row>
    <row r="32" spans="3:17" ht="63" customHeight="1" outlineLevel="1" x14ac:dyDescent="0.2">
      <c r="C32" s="417"/>
      <c r="D32" s="418" t="s">
        <v>81</v>
      </c>
      <c r="E32" s="516"/>
      <c r="F32" s="516"/>
      <c r="G32" s="516"/>
      <c r="H32" s="516"/>
      <c r="I32" s="516"/>
      <c r="J32" s="516"/>
      <c r="K32" s="516"/>
      <c r="L32" s="517"/>
      <c r="M32"/>
      <c r="N32"/>
      <c r="O32" s="80"/>
      <c r="P32" s="80"/>
      <c r="Q32" s="80"/>
    </row>
    <row r="33" spans="2:67" ht="10.35" customHeight="1" outlineLevel="1" x14ac:dyDescent="0.2">
      <c r="B33" s="417"/>
      <c r="C33" s="417"/>
      <c r="D33" s="417"/>
      <c r="E33" s="417"/>
      <c r="F33" s="80"/>
      <c r="G33" s="417"/>
      <c r="H33" s="417"/>
      <c r="I33" s="417"/>
      <c r="J33" s="417"/>
      <c r="K33" s="417"/>
      <c r="L33" s="419"/>
      <c r="M33" s="420"/>
      <c r="N33" s="417"/>
      <c r="O33" s="417"/>
      <c r="P33" s="417"/>
      <c r="Q33" s="417"/>
      <c r="R33" s="417"/>
      <c r="S33" s="417"/>
      <c r="T33" s="417"/>
      <c r="U33" s="417"/>
      <c r="V33" s="80"/>
      <c r="W33" s="80"/>
      <c r="X33" s="80"/>
      <c r="Y33" s="80"/>
      <c r="Z33" s="80"/>
      <c r="AA33" s="80"/>
      <c r="AB33" s="80"/>
      <c r="AC33" s="80"/>
      <c r="AD33" s="80"/>
      <c r="AE33" s="80"/>
      <c r="AF33" s="80"/>
      <c r="AG33" s="80"/>
      <c r="AH33" s="80"/>
      <c r="AI33" s="80"/>
      <c r="AJ33" s="80"/>
      <c r="AK33" s="80"/>
      <c r="AL33" s="80"/>
      <c r="AM33" s="80"/>
      <c r="AN33" s="80"/>
      <c r="AO33" s="80"/>
      <c r="AP33" s="80"/>
      <c r="AQ33" s="80"/>
      <c r="AR33" s="80"/>
      <c r="AS33" s="80"/>
      <c r="AT33" s="80"/>
      <c r="AU33" s="80"/>
      <c r="AV33" s="80"/>
      <c r="AW33" s="80"/>
      <c r="AX33" s="80"/>
      <c r="AY33" s="80"/>
      <c r="AZ33" s="80"/>
      <c r="BA33" s="80"/>
      <c r="BB33" s="80"/>
      <c r="BC33" s="80"/>
      <c r="BD33" s="80"/>
      <c r="BE33" s="80"/>
      <c r="BF33" s="80"/>
      <c r="BG33" s="80"/>
      <c r="BH33" s="80"/>
      <c r="BI33" s="80"/>
      <c r="BJ33" s="80"/>
      <c r="BK33" s="80"/>
      <c r="BL33" s="80"/>
      <c r="BM33" s="80"/>
      <c r="BN33" s="80"/>
      <c r="BO33" s="80"/>
    </row>
    <row r="34" spans="2:67" s="14" customFormat="1" x14ac:dyDescent="0.2">
      <c r="B34" s="16" t="s">
        <v>82</v>
      </c>
      <c r="C34" s="398"/>
      <c r="D34" s="398"/>
      <c r="E34" s="398"/>
      <c r="F34" s="398"/>
      <c r="G34" s="25"/>
      <c r="H34" s="398"/>
      <c r="I34" s="398"/>
      <c r="J34" s="398"/>
      <c r="K34" s="399"/>
      <c r="L34" s="421"/>
      <c r="M34" s="422"/>
      <c r="N34" s="398"/>
      <c r="O34" s="398"/>
      <c r="P34" s="398"/>
      <c r="Q34" s="398"/>
      <c r="R34" s="398"/>
      <c r="S34" s="398"/>
      <c r="T34" s="398"/>
      <c r="U34" s="398"/>
      <c r="V34" s="398"/>
      <c r="W34" s="398"/>
      <c r="X34" s="398"/>
      <c r="Y34" s="398"/>
      <c r="Z34" s="398"/>
      <c r="AA34" s="398"/>
      <c r="AB34" s="398"/>
      <c r="AC34" s="398"/>
      <c r="AD34" s="398"/>
      <c r="AE34" s="398"/>
      <c r="AF34" s="398"/>
      <c r="AG34" s="398"/>
      <c r="AH34" s="398"/>
      <c r="AI34" s="398"/>
      <c r="AJ34" s="398"/>
      <c r="AK34" s="398"/>
      <c r="AL34" s="398"/>
      <c r="AM34" s="398"/>
      <c r="AN34" s="398"/>
      <c r="AO34" s="398"/>
      <c r="AP34" s="398"/>
      <c r="AQ34" s="398"/>
      <c r="AR34" s="398"/>
      <c r="AS34" s="398"/>
      <c r="AT34" s="398"/>
      <c r="AU34" s="398"/>
      <c r="AV34" s="398"/>
      <c r="AW34" s="398"/>
      <c r="AX34" s="398"/>
      <c r="AY34" s="398"/>
      <c r="AZ34" s="398"/>
      <c r="BA34" s="398"/>
      <c r="BB34" s="398"/>
      <c r="BC34" s="398"/>
      <c r="BD34" s="398"/>
      <c r="BE34" s="398"/>
      <c r="BF34" s="398"/>
      <c r="BG34" s="398"/>
      <c r="BH34" s="398"/>
      <c r="BI34" s="398"/>
      <c r="BJ34" s="398"/>
      <c r="BK34" s="398"/>
      <c r="BL34" s="398"/>
      <c r="BM34" s="398"/>
      <c r="BN34" s="398"/>
      <c r="BO34" s="398"/>
    </row>
    <row r="35" spans="2:67" ht="10.35" customHeight="1" x14ac:dyDescent="0.2">
      <c r="B35" s="80"/>
      <c r="C35" s="80"/>
      <c r="D35" s="80"/>
      <c r="E35" s="80"/>
      <c r="F35" s="20"/>
      <c r="G35" s="80"/>
      <c r="H35" s="80"/>
      <c r="I35" s="80"/>
      <c r="J35" s="80"/>
      <c r="K35" s="80"/>
      <c r="L35" s="412"/>
      <c r="M35" s="413"/>
      <c r="N35" s="80"/>
      <c r="O35" s="80"/>
      <c r="P35" s="80"/>
      <c r="Q35" s="80"/>
      <c r="R35" s="80"/>
      <c r="S35" s="80"/>
      <c r="T35" s="21"/>
      <c r="U35" s="80"/>
      <c r="V35" s="80"/>
      <c r="W35" s="80"/>
      <c r="X35" s="80"/>
      <c r="Y35" s="80"/>
      <c r="Z35" s="80"/>
      <c r="AA35" s="80"/>
      <c r="AB35" s="80"/>
      <c r="AC35" s="80"/>
      <c r="AD35" s="80"/>
      <c r="AE35" s="80"/>
      <c r="AF35" s="20"/>
      <c r="AG35" s="22"/>
      <c r="AH35" s="22"/>
      <c r="AI35" s="80"/>
      <c r="AJ35" s="80"/>
      <c r="AK35" s="80"/>
      <c r="AL35" s="80"/>
      <c r="AM35" s="80"/>
      <c r="AN35" s="80"/>
      <c r="AO35" s="80"/>
      <c r="AP35" s="80"/>
      <c r="AQ35" s="80"/>
      <c r="AR35" s="80"/>
      <c r="AS35" s="80"/>
      <c r="AT35" s="80"/>
      <c r="AU35" s="80"/>
      <c r="AV35" s="80"/>
      <c r="AW35" s="80"/>
      <c r="AX35" s="80"/>
      <c r="AY35" s="80"/>
      <c r="AZ35" s="80"/>
      <c r="BA35" s="80"/>
      <c r="BB35" s="80"/>
      <c r="BC35" s="80"/>
      <c r="BD35" s="80"/>
      <c r="BE35" s="80"/>
      <c r="BF35" s="80"/>
      <c r="BG35" s="80"/>
      <c r="BH35" s="80"/>
      <c r="BI35" s="80"/>
      <c r="BJ35" s="80"/>
      <c r="BK35" s="80"/>
      <c r="BL35" s="80"/>
      <c r="BM35" s="80"/>
      <c r="BN35" s="80"/>
      <c r="BO35" s="80"/>
    </row>
    <row r="36" spans="2:67" ht="10.35" customHeight="1" x14ac:dyDescent="0.2">
      <c r="B36" s="80"/>
      <c r="C36" s="80"/>
      <c r="D36" s="80"/>
      <c r="E36" s="80"/>
      <c r="F36" s="20"/>
      <c r="G36" s="80"/>
      <c r="H36" s="80"/>
      <c r="I36" s="80"/>
      <c r="J36" s="80"/>
      <c r="K36" s="80"/>
      <c r="L36" s="412"/>
      <c r="M36" s="413"/>
      <c r="N36" s="80"/>
      <c r="O36" s="80"/>
      <c r="P36" s="80"/>
      <c r="Q36" s="80"/>
      <c r="R36" s="80"/>
      <c r="S36" s="80"/>
      <c r="T36" s="21"/>
      <c r="U36" s="80"/>
      <c r="V36" s="80"/>
      <c r="W36" s="80"/>
      <c r="X36" s="80"/>
      <c r="Y36" s="80"/>
      <c r="Z36" s="80"/>
      <c r="AA36" s="80"/>
      <c r="AB36" s="80"/>
      <c r="AC36" s="80"/>
      <c r="AD36" s="80"/>
      <c r="AE36" s="80"/>
      <c r="AF36" s="20"/>
      <c r="AG36" s="22"/>
      <c r="AH36" s="22"/>
      <c r="AI36" s="80"/>
      <c r="AJ36" s="80"/>
      <c r="AK36" s="80"/>
      <c r="AL36" s="80"/>
      <c r="AM36" s="80"/>
      <c r="AN36" s="80"/>
      <c r="AO36" s="80"/>
      <c r="AP36" s="80"/>
      <c r="AQ36" s="80"/>
      <c r="AR36" s="80"/>
      <c r="AS36" s="80"/>
      <c r="AT36" s="80"/>
      <c r="AU36" s="80"/>
      <c r="AV36" s="80"/>
      <c r="AW36" s="80"/>
      <c r="AX36" s="80"/>
      <c r="AY36" s="80"/>
      <c r="AZ36" s="80"/>
      <c r="BA36" s="80"/>
      <c r="BB36" s="80"/>
      <c r="BC36" s="80"/>
      <c r="BD36" s="80"/>
      <c r="BE36" s="80"/>
      <c r="BF36" s="80"/>
      <c r="BG36" s="80"/>
      <c r="BH36" s="80"/>
      <c r="BI36" s="80"/>
      <c r="BJ36" s="80"/>
      <c r="BK36" s="80"/>
      <c r="BL36" s="80"/>
      <c r="BM36" s="80"/>
      <c r="BN36" s="80"/>
      <c r="BO36" s="80"/>
    </row>
    <row r="37" spans="2:67" ht="10.35" customHeight="1" x14ac:dyDescent="0.2">
      <c r="B37" s="80"/>
      <c r="C37" s="80"/>
      <c r="D37" s="80"/>
      <c r="E37" s="80"/>
      <c r="F37" s="20"/>
      <c r="G37" s="80"/>
      <c r="H37" s="80"/>
      <c r="I37" s="80"/>
      <c r="J37" s="80"/>
      <c r="K37" s="80"/>
      <c r="L37" s="412"/>
      <c r="M37" s="413"/>
      <c r="N37" s="80"/>
      <c r="O37" s="80"/>
      <c r="P37" s="80"/>
      <c r="Q37" s="80"/>
      <c r="R37" s="80"/>
      <c r="S37" s="80"/>
      <c r="T37" s="21"/>
      <c r="U37" s="80"/>
      <c r="V37" s="80"/>
      <c r="W37" s="80"/>
      <c r="X37" s="80"/>
      <c r="Y37" s="80"/>
      <c r="Z37" s="80"/>
      <c r="AA37" s="80"/>
      <c r="AB37" s="80"/>
      <c r="AC37" s="80"/>
      <c r="AD37" s="80"/>
      <c r="AE37" s="80"/>
      <c r="AF37" s="20"/>
      <c r="AG37" s="22"/>
      <c r="AH37" s="22"/>
      <c r="AI37" s="80"/>
      <c r="AJ37" s="80"/>
      <c r="AK37" s="80"/>
      <c r="AL37" s="80"/>
      <c r="AM37" s="80"/>
      <c r="AN37" s="80"/>
      <c r="AO37" s="80"/>
      <c r="AP37" s="80"/>
      <c r="AQ37" s="80"/>
      <c r="AR37" s="80"/>
      <c r="AS37" s="80"/>
      <c r="AT37" s="80"/>
      <c r="AU37" s="80"/>
      <c r="AV37" s="80"/>
      <c r="AW37" s="80"/>
      <c r="AX37" s="80"/>
      <c r="AY37" s="80"/>
      <c r="AZ37" s="80"/>
      <c r="BA37" s="80"/>
      <c r="BB37" s="80"/>
      <c r="BC37" s="80"/>
      <c r="BD37" s="80"/>
      <c r="BE37" s="80"/>
      <c r="BF37" s="80"/>
      <c r="BG37" s="80"/>
      <c r="BH37" s="80"/>
      <c r="BI37" s="80"/>
      <c r="BJ37" s="80"/>
      <c r="BK37" s="80"/>
      <c r="BL37" s="80"/>
      <c r="BM37" s="80"/>
      <c r="BN37" s="80"/>
      <c r="BO37" s="80"/>
    </row>
    <row r="38" spans="2:67" ht="10.35" customHeight="1" x14ac:dyDescent="0.2">
      <c r="B38" s="80"/>
      <c r="C38" s="80"/>
      <c r="D38" s="80"/>
      <c r="E38" s="80"/>
      <c r="F38" s="20"/>
      <c r="G38" s="80"/>
      <c r="H38" s="80"/>
      <c r="I38" s="80"/>
      <c r="J38" s="80"/>
      <c r="K38" s="80"/>
      <c r="L38" s="412"/>
      <c r="M38" s="413"/>
      <c r="N38" s="80"/>
      <c r="O38" s="80"/>
      <c r="P38" s="80"/>
      <c r="Q38" s="80"/>
      <c r="R38" s="80"/>
      <c r="S38" s="80"/>
      <c r="T38" s="21"/>
      <c r="U38" s="80"/>
      <c r="V38" s="80"/>
      <c r="W38" s="80"/>
      <c r="X38" s="80"/>
      <c r="Y38" s="80"/>
      <c r="Z38" s="80"/>
      <c r="AA38" s="80"/>
      <c r="AB38" s="80"/>
      <c r="AC38" s="80"/>
      <c r="AD38" s="80"/>
      <c r="AE38" s="80"/>
      <c r="AF38" s="20"/>
      <c r="AG38" s="22"/>
      <c r="AH38" s="22"/>
      <c r="AI38" s="80"/>
      <c r="AJ38" s="80"/>
      <c r="AK38" s="80"/>
      <c r="AL38" s="80"/>
      <c r="AM38" s="80"/>
      <c r="AN38" s="80"/>
      <c r="AO38" s="80"/>
      <c r="AP38" s="80"/>
      <c r="AQ38" s="80"/>
      <c r="AR38" s="80"/>
      <c r="AS38" s="80"/>
      <c r="AT38" s="80"/>
      <c r="AU38" s="80"/>
      <c r="AV38" s="80"/>
      <c r="AW38" s="80"/>
      <c r="AX38" s="80"/>
      <c r="AY38" s="80"/>
      <c r="AZ38" s="80"/>
      <c r="BA38" s="80"/>
      <c r="BB38" s="80"/>
      <c r="BC38" s="80"/>
      <c r="BD38" s="80"/>
      <c r="BE38" s="80"/>
      <c r="BF38" s="80"/>
      <c r="BG38" s="80"/>
      <c r="BH38" s="80"/>
      <c r="BI38" s="80"/>
      <c r="BJ38" s="80"/>
      <c r="BK38" s="80"/>
      <c r="BL38" s="80"/>
      <c r="BM38" s="80"/>
      <c r="BN38" s="80"/>
      <c r="BO38" s="80"/>
    </row>
    <row r="39" spans="2:67" ht="10.35" customHeight="1" x14ac:dyDescent="0.2">
      <c r="B39" s="80"/>
      <c r="C39" s="80"/>
      <c r="D39" s="80"/>
      <c r="E39" s="80"/>
      <c r="F39" s="20"/>
      <c r="G39" s="80"/>
      <c r="H39" s="80"/>
      <c r="I39" s="80"/>
      <c r="J39" s="80"/>
      <c r="K39" s="80"/>
      <c r="L39" s="412"/>
      <c r="M39" s="413"/>
      <c r="N39" s="80"/>
      <c r="O39" s="80"/>
      <c r="P39" s="80"/>
      <c r="Q39" s="80"/>
      <c r="R39" s="80"/>
      <c r="S39" s="80"/>
      <c r="T39" s="21"/>
      <c r="U39" s="80"/>
      <c r="V39" s="80"/>
      <c r="W39" s="80"/>
      <c r="X39" s="80"/>
      <c r="Y39" s="80"/>
      <c r="Z39" s="80"/>
      <c r="AA39" s="80"/>
      <c r="AB39" s="80"/>
      <c r="AC39" s="80"/>
      <c r="AD39" s="80"/>
      <c r="AE39" s="80"/>
      <c r="AF39" s="20"/>
      <c r="AG39" s="22"/>
      <c r="AH39" s="22"/>
      <c r="AI39" s="80"/>
      <c r="AJ39" s="80"/>
      <c r="AK39" s="80"/>
      <c r="AL39" s="80"/>
      <c r="AM39" s="80"/>
      <c r="AN39" s="80"/>
      <c r="AO39" s="80"/>
      <c r="AP39" s="80"/>
      <c r="AQ39" s="80"/>
      <c r="AR39" s="80"/>
      <c r="AS39" s="80"/>
      <c r="AT39" s="80"/>
      <c r="AU39" s="80"/>
      <c r="AV39" s="80"/>
      <c r="AW39" s="80"/>
      <c r="AX39" s="80"/>
      <c r="AY39" s="80"/>
      <c r="AZ39" s="80"/>
      <c r="BA39" s="80"/>
      <c r="BB39" s="80"/>
      <c r="BC39" s="80"/>
      <c r="BD39" s="80"/>
      <c r="BE39" s="80"/>
      <c r="BF39" s="80"/>
      <c r="BG39" s="80"/>
      <c r="BH39" s="80"/>
      <c r="BI39" s="80"/>
      <c r="BJ39" s="80"/>
      <c r="BK39" s="80"/>
      <c r="BL39" s="80"/>
      <c r="BM39" s="80"/>
      <c r="BN39" s="80"/>
      <c r="BO39" s="80"/>
    </row>
    <row r="40" spans="2:67" ht="10.35" customHeight="1" x14ac:dyDescent="0.2">
      <c r="B40" s="80"/>
      <c r="C40" s="80"/>
      <c r="D40" s="80"/>
      <c r="E40" s="80"/>
      <c r="F40" s="20"/>
      <c r="G40" s="80"/>
      <c r="H40" s="80"/>
      <c r="I40" s="80"/>
      <c r="J40" s="80"/>
      <c r="K40" s="80"/>
      <c r="L40" s="412"/>
      <c r="M40" s="413"/>
      <c r="N40" s="80"/>
      <c r="O40" s="80"/>
      <c r="P40" s="80"/>
      <c r="Q40" s="80"/>
      <c r="R40" s="80"/>
      <c r="S40" s="80"/>
      <c r="T40" s="21"/>
      <c r="U40" s="80"/>
      <c r="V40" s="80"/>
      <c r="W40" s="80"/>
      <c r="X40" s="80"/>
      <c r="Y40" s="80"/>
      <c r="Z40" s="80"/>
      <c r="AA40" s="80"/>
      <c r="AB40" s="80"/>
      <c r="AC40" s="80"/>
      <c r="AD40" s="80"/>
      <c r="AE40" s="80"/>
      <c r="AF40" s="20"/>
      <c r="AG40" s="22"/>
      <c r="AH40" s="22"/>
      <c r="AI40" s="80"/>
      <c r="AJ40" s="80"/>
      <c r="AK40" s="80"/>
      <c r="AL40" s="80"/>
      <c r="AM40" s="80"/>
      <c r="AN40" s="80"/>
      <c r="AO40" s="80"/>
      <c r="AP40" s="80"/>
      <c r="AQ40" s="80"/>
      <c r="AR40" s="80"/>
      <c r="AS40" s="80"/>
      <c r="AT40" s="80"/>
      <c r="AU40" s="80"/>
      <c r="AV40" s="80"/>
      <c r="AW40" s="80"/>
      <c r="AX40" s="80"/>
      <c r="AY40" s="80"/>
      <c r="AZ40" s="80"/>
      <c r="BA40" s="80"/>
      <c r="BB40" s="80"/>
      <c r="BC40" s="80"/>
      <c r="BD40" s="80"/>
      <c r="BE40" s="80"/>
      <c r="BF40" s="80"/>
      <c r="BG40" s="80"/>
      <c r="BH40" s="80"/>
      <c r="BI40" s="80"/>
      <c r="BJ40" s="80"/>
      <c r="BK40" s="80"/>
      <c r="BL40" s="80"/>
      <c r="BM40" s="80"/>
      <c r="BN40" s="80"/>
      <c r="BO40" s="80"/>
    </row>
    <row r="41" spans="2:67" ht="10.35" customHeight="1" x14ac:dyDescent="0.2">
      <c r="B41" s="80"/>
      <c r="C41" s="80"/>
      <c r="D41" s="80"/>
      <c r="E41" s="80"/>
      <c r="F41" s="20"/>
      <c r="G41" s="80"/>
      <c r="H41" s="80"/>
      <c r="I41" s="80"/>
      <c r="J41" s="80"/>
      <c r="K41" s="80"/>
      <c r="L41" s="412"/>
      <c r="M41" s="413"/>
      <c r="N41" s="80"/>
      <c r="O41" s="80"/>
      <c r="P41" s="80"/>
      <c r="Q41" s="80"/>
      <c r="R41" s="80"/>
      <c r="S41" s="80"/>
      <c r="T41" s="21"/>
      <c r="U41" s="80"/>
      <c r="V41" s="80"/>
      <c r="W41" s="80"/>
      <c r="X41" s="80"/>
      <c r="Y41" s="80"/>
      <c r="Z41" s="80"/>
      <c r="AA41" s="80"/>
      <c r="AB41" s="80"/>
      <c r="AC41" s="80"/>
      <c r="AD41" s="80"/>
      <c r="AE41" s="80"/>
      <c r="AF41" s="20"/>
      <c r="AG41" s="22"/>
      <c r="AH41" s="22"/>
      <c r="AI41" s="80"/>
      <c r="AJ41" s="80"/>
      <c r="AK41" s="80"/>
      <c r="AL41" s="80"/>
      <c r="AM41" s="80"/>
      <c r="AN41" s="80"/>
      <c r="AO41" s="80"/>
      <c r="AP41" s="80"/>
      <c r="AQ41" s="80"/>
      <c r="AR41" s="80"/>
      <c r="AS41" s="80"/>
      <c r="AT41" s="80"/>
      <c r="AU41" s="80"/>
      <c r="AV41" s="80"/>
      <c r="AW41" s="80"/>
      <c r="AX41" s="80"/>
      <c r="AY41" s="80"/>
      <c r="AZ41" s="80"/>
      <c r="BA41" s="80"/>
      <c r="BB41" s="80"/>
      <c r="BC41" s="80"/>
      <c r="BD41" s="80"/>
      <c r="BE41" s="80"/>
      <c r="BF41" s="80"/>
      <c r="BG41" s="80"/>
      <c r="BH41" s="80"/>
      <c r="BI41" s="80"/>
      <c r="BJ41" s="80"/>
      <c r="BK41" s="80"/>
      <c r="BL41" s="80"/>
      <c r="BM41" s="80"/>
      <c r="BN41" s="80"/>
      <c r="BO41" s="80"/>
    </row>
    <row r="42" spans="2:67" ht="10.35" customHeight="1" x14ac:dyDescent="0.2">
      <c r="B42" s="80"/>
      <c r="C42" s="80"/>
      <c r="D42" s="80"/>
      <c r="E42" s="80"/>
      <c r="F42" s="20"/>
      <c r="G42" s="80"/>
      <c r="H42" s="80"/>
      <c r="I42" s="80"/>
      <c r="J42" s="80"/>
      <c r="K42" s="80"/>
      <c r="L42" s="412"/>
      <c r="M42" s="413"/>
      <c r="N42" s="80"/>
      <c r="O42" s="80"/>
      <c r="P42" s="80"/>
      <c r="Q42" s="80"/>
      <c r="R42" s="80"/>
      <c r="S42" s="80"/>
      <c r="T42" s="21"/>
      <c r="U42" s="80"/>
      <c r="V42" s="80"/>
      <c r="W42" s="80"/>
      <c r="X42" s="80"/>
      <c r="Y42" s="80"/>
      <c r="Z42" s="80"/>
      <c r="AA42" s="80"/>
      <c r="AB42" s="80"/>
      <c r="AC42" s="80"/>
      <c r="AD42" s="80"/>
      <c r="AE42" s="80"/>
      <c r="AF42" s="20"/>
      <c r="AG42" s="22"/>
      <c r="AH42" s="22"/>
      <c r="AI42" s="80"/>
      <c r="AJ42" s="80"/>
      <c r="AK42" s="80"/>
      <c r="AL42" s="80"/>
      <c r="AM42" s="80"/>
      <c r="AN42" s="80"/>
      <c r="AO42" s="80"/>
      <c r="AP42" s="80"/>
      <c r="AQ42" s="80"/>
      <c r="AR42" s="80"/>
      <c r="AS42" s="80"/>
      <c r="AT42" s="80"/>
      <c r="AU42" s="80"/>
      <c r="AV42" s="80"/>
      <c r="AW42" s="80"/>
      <c r="AX42" s="80"/>
      <c r="AY42" s="80"/>
      <c r="AZ42" s="80"/>
      <c r="BA42" s="80"/>
      <c r="BB42" s="80"/>
      <c r="BC42" s="80"/>
      <c r="BD42" s="80"/>
      <c r="BE42" s="80"/>
      <c r="BF42" s="80"/>
      <c r="BG42" s="80"/>
      <c r="BH42" s="80"/>
      <c r="BI42" s="80"/>
      <c r="BJ42" s="80"/>
      <c r="BK42" s="80"/>
      <c r="BL42" s="80"/>
      <c r="BM42" s="80"/>
      <c r="BN42" s="80"/>
      <c r="BO42" s="80"/>
    </row>
    <row r="43" spans="2:67" ht="10.35" customHeight="1" x14ac:dyDescent="0.2">
      <c r="B43" s="80"/>
      <c r="C43" s="80"/>
      <c r="D43" s="80"/>
      <c r="E43" s="80"/>
      <c r="F43" s="20"/>
      <c r="G43" s="80"/>
      <c r="H43" s="80"/>
      <c r="I43" s="80"/>
      <c r="J43" s="80"/>
      <c r="K43" s="80"/>
      <c r="L43" s="412"/>
      <c r="M43" s="413"/>
      <c r="N43" s="80"/>
      <c r="O43" s="80"/>
      <c r="P43" s="80"/>
      <c r="Q43" s="80"/>
      <c r="R43" s="80"/>
      <c r="S43" s="80"/>
      <c r="T43" s="21"/>
      <c r="U43" s="80"/>
      <c r="V43" s="80"/>
      <c r="W43" s="80"/>
      <c r="X43" s="80"/>
      <c r="Y43" s="80"/>
      <c r="Z43" s="80"/>
      <c r="AA43" s="80"/>
      <c r="AB43" s="80"/>
      <c r="AC43" s="80"/>
      <c r="AD43" s="80"/>
      <c r="AE43" s="80"/>
      <c r="AF43" s="20"/>
      <c r="AG43" s="22"/>
      <c r="AH43" s="22"/>
      <c r="AI43" s="80"/>
      <c r="AJ43" s="80"/>
      <c r="AK43" s="80"/>
      <c r="AL43" s="80"/>
      <c r="AM43" s="80"/>
      <c r="AN43" s="80"/>
      <c r="AO43" s="80"/>
      <c r="AP43" s="80"/>
      <c r="AQ43" s="80"/>
      <c r="AR43" s="80"/>
      <c r="AS43" s="80"/>
      <c r="AT43" s="80"/>
      <c r="AU43" s="80"/>
      <c r="AV43" s="80"/>
      <c r="AW43" s="80"/>
      <c r="AX43" s="80"/>
      <c r="AY43" s="80"/>
      <c r="AZ43" s="80"/>
      <c r="BA43" s="80"/>
      <c r="BB43" s="80"/>
      <c r="BC43" s="80"/>
      <c r="BD43" s="80"/>
      <c r="BE43" s="80"/>
      <c r="BF43" s="80"/>
      <c r="BG43" s="80"/>
      <c r="BH43" s="80"/>
      <c r="BI43" s="80"/>
      <c r="BJ43" s="80"/>
      <c r="BK43" s="80"/>
      <c r="BL43" s="80"/>
      <c r="BM43" s="80"/>
      <c r="BN43" s="80"/>
      <c r="BO43" s="80"/>
    </row>
    <row r="45" spans="2:67" x14ac:dyDescent="0.2">
      <c r="B45" s="80"/>
      <c r="C45" s="80"/>
      <c r="D45" s="27"/>
      <c r="E45" s="80"/>
      <c r="F45" s="80"/>
      <c r="G45" s="80"/>
      <c r="H45" s="80"/>
      <c r="I45" s="80"/>
      <c r="J45" s="80"/>
      <c r="K45" s="83"/>
      <c r="L45" s="412"/>
      <c r="M45" s="413"/>
      <c r="N45" s="80"/>
      <c r="O45" s="80"/>
      <c r="P45" s="80"/>
      <c r="Q45" s="27"/>
      <c r="R45" s="80"/>
      <c r="S45" s="80"/>
      <c r="T45" s="80"/>
      <c r="U45" s="80"/>
      <c r="V45" s="80"/>
      <c r="W45" s="80"/>
      <c r="X45" s="80"/>
      <c r="Y45" s="80"/>
      <c r="Z45" s="80"/>
      <c r="AA45" s="80"/>
      <c r="AB45" s="80"/>
      <c r="AC45" s="80"/>
      <c r="AD45" s="80"/>
      <c r="AE45" s="80"/>
      <c r="AF45" s="80"/>
      <c r="AG45" s="80"/>
      <c r="AH45" s="80"/>
      <c r="AI45" s="80"/>
      <c r="AJ45" s="80"/>
      <c r="AK45" s="80"/>
      <c r="AL45" s="80"/>
      <c r="AM45" s="80"/>
      <c r="AN45" s="80"/>
      <c r="AO45" s="80"/>
      <c r="AP45" s="80"/>
      <c r="AQ45" s="80"/>
      <c r="AR45" s="80"/>
      <c r="AS45" s="80"/>
      <c r="AT45" s="80"/>
      <c r="AU45" s="80"/>
      <c r="AV45" s="80"/>
      <c r="AW45" s="80"/>
      <c r="AX45" s="80"/>
      <c r="AY45" s="80"/>
      <c r="AZ45" s="80"/>
      <c r="BA45" s="80"/>
      <c r="BB45" s="80"/>
      <c r="BC45" s="80"/>
      <c r="BD45" s="80"/>
      <c r="BE45" s="80"/>
      <c r="BF45" s="80"/>
      <c r="BG45" s="80"/>
      <c r="BH45" s="80"/>
      <c r="BI45" s="80"/>
      <c r="BJ45" s="80"/>
      <c r="BK45" s="80"/>
      <c r="BL45" s="80"/>
      <c r="BM45" s="80"/>
      <c r="BN45" s="80"/>
      <c r="BO45" s="80"/>
    </row>
    <row r="46" spans="2:67" x14ac:dyDescent="0.2">
      <c r="B46" s="80"/>
      <c r="C46" s="80"/>
      <c r="D46" s="27"/>
      <c r="E46" s="80"/>
      <c r="F46" s="80"/>
      <c r="G46" s="80"/>
      <c r="H46" s="80"/>
      <c r="I46" s="80"/>
      <c r="J46" s="80"/>
      <c r="K46" s="83"/>
      <c r="L46" s="412"/>
      <c r="M46" s="413"/>
      <c r="N46" s="80"/>
      <c r="O46" s="80"/>
      <c r="P46" s="80"/>
      <c r="Q46" s="27"/>
      <c r="R46" s="339"/>
      <c r="S46" s="339"/>
      <c r="T46" s="339"/>
      <c r="U46" s="339"/>
      <c r="V46" s="339"/>
      <c r="W46" s="339"/>
      <c r="X46" s="339"/>
      <c r="Y46" s="339"/>
      <c r="Z46" s="339"/>
      <c r="AA46" s="339"/>
      <c r="AB46" s="339"/>
      <c r="AC46" s="339"/>
      <c r="AD46" s="339"/>
      <c r="AE46" s="339"/>
      <c r="AF46" s="339"/>
      <c r="AG46" s="339"/>
      <c r="AH46" s="339"/>
      <c r="AI46" s="339"/>
      <c r="AJ46" s="339"/>
      <c r="AK46" s="339"/>
      <c r="AL46" s="339"/>
      <c r="AM46" s="339"/>
      <c r="AN46" s="339"/>
      <c r="AO46" s="339"/>
      <c r="AP46" s="339"/>
      <c r="AQ46" s="339"/>
      <c r="AR46" s="339"/>
      <c r="AS46" s="339"/>
      <c r="AT46" s="339"/>
      <c r="AU46" s="339"/>
      <c r="AV46" s="339"/>
      <c r="AW46" s="339"/>
      <c r="AX46" s="339"/>
      <c r="AY46" s="339"/>
      <c r="AZ46" s="339"/>
      <c r="BA46" s="339"/>
      <c r="BB46" s="339"/>
      <c r="BC46" s="339"/>
      <c r="BD46" s="339"/>
      <c r="BE46" s="339"/>
      <c r="BF46" s="339"/>
      <c r="BG46" s="339"/>
      <c r="BH46" s="339"/>
      <c r="BI46" s="339"/>
      <c r="BJ46" s="339"/>
      <c r="BK46" s="339"/>
      <c r="BL46" s="339"/>
      <c r="BM46" s="339"/>
      <c r="BN46" s="339"/>
      <c r="BO46" s="339"/>
    </row>
    <row r="47" spans="2:67" ht="10.35" customHeight="1" x14ac:dyDescent="0.2">
      <c r="B47" s="80"/>
      <c r="C47" s="80"/>
      <c r="D47" s="80"/>
      <c r="E47" s="80"/>
      <c r="F47" s="80"/>
      <c r="G47" s="80"/>
      <c r="H47" s="17" t="s">
        <v>83</v>
      </c>
      <c r="I47" s="80"/>
      <c r="J47" s="17" t="s">
        <v>84</v>
      </c>
      <c r="K47" s="134" t="s">
        <v>85</v>
      </c>
      <c r="L47" s="104" t="s">
        <v>86</v>
      </c>
      <c r="M47" s="105"/>
      <c r="N47" s="17"/>
      <c r="O47" s="17"/>
      <c r="P47" s="17"/>
      <c r="Q47" s="17"/>
      <c r="R47" s="80"/>
      <c r="S47" s="80"/>
      <c r="T47" s="21"/>
      <c r="U47" s="80"/>
      <c r="V47" s="80"/>
      <c r="W47" s="80"/>
      <c r="X47" s="80"/>
      <c r="Y47" s="80"/>
      <c r="Z47" s="80"/>
      <c r="AA47" s="80"/>
      <c r="AB47" s="80"/>
      <c r="AC47" s="80"/>
      <c r="AD47" s="80"/>
      <c r="AE47" s="80"/>
      <c r="AF47" s="20"/>
      <c r="AG47" s="22"/>
      <c r="AH47" s="22"/>
      <c r="AI47" s="80"/>
      <c r="AJ47" s="80"/>
      <c r="AK47" s="80"/>
      <c r="AL47" s="80"/>
      <c r="AM47" s="80"/>
      <c r="AN47" s="80"/>
      <c r="AO47" s="80"/>
      <c r="AP47" s="80"/>
      <c r="AQ47" s="80"/>
      <c r="AR47" s="80"/>
      <c r="AS47" s="80"/>
      <c r="AT47" s="80"/>
      <c r="AU47" s="80"/>
      <c r="AV47" s="80"/>
      <c r="AW47" s="80"/>
      <c r="AX47" s="80"/>
      <c r="AY47" s="80"/>
      <c r="AZ47" s="80"/>
      <c r="BA47" s="80"/>
      <c r="BB47" s="80"/>
      <c r="BC47" s="80"/>
      <c r="BD47" s="80"/>
      <c r="BE47" s="80"/>
      <c r="BF47" s="80"/>
      <c r="BG47" s="80"/>
      <c r="BH47" s="80"/>
      <c r="BI47" s="80"/>
      <c r="BJ47" s="80"/>
      <c r="BK47" s="80"/>
      <c r="BL47" s="80"/>
      <c r="BM47" s="80"/>
      <c r="BN47" s="80"/>
      <c r="BO47" s="80"/>
    </row>
    <row r="48" spans="2:67" ht="10.35" customHeight="1" x14ac:dyDescent="0.2">
      <c r="B48" s="80"/>
      <c r="C48" s="80"/>
      <c r="D48" s="80"/>
      <c r="E48" s="80"/>
      <c r="F48" s="80"/>
      <c r="G48" s="80"/>
      <c r="H48" s="80"/>
      <c r="I48" s="80"/>
      <c r="J48" s="80"/>
      <c r="K48" s="20"/>
      <c r="L48" s="412"/>
      <c r="M48" s="413"/>
      <c r="N48" s="80"/>
      <c r="O48" s="80"/>
      <c r="P48" s="80"/>
      <c r="Q48" s="80"/>
      <c r="R48" s="80"/>
      <c r="S48" s="80"/>
      <c r="T48" s="21"/>
      <c r="U48" s="80"/>
      <c r="V48" s="80"/>
      <c r="W48" s="80"/>
      <c r="X48" s="80"/>
      <c r="Y48" s="80"/>
      <c r="Z48" s="80"/>
      <c r="AA48" s="80"/>
      <c r="AB48" s="80"/>
      <c r="AC48" s="80"/>
      <c r="AD48" s="80"/>
      <c r="AE48" s="80"/>
      <c r="AF48" s="20"/>
      <c r="AG48" s="22"/>
      <c r="AH48" s="22"/>
      <c r="AI48" s="80"/>
      <c r="AJ48" s="80"/>
      <c r="AK48" s="80"/>
      <c r="AL48" s="80"/>
      <c r="AM48" s="80"/>
      <c r="AN48" s="80"/>
      <c r="AO48" s="80"/>
      <c r="AP48" s="80"/>
      <c r="AQ48" s="80"/>
      <c r="AR48" s="80"/>
      <c r="AS48" s="80"/>
      <c r="AT48" s="80"/>
      <c r="AU48" s="80"/>
      <c r="AV48" s="80"/>
      <c r="AW48" s="80"/>
      <c r="AX48" s="80"/>
      <c r="AY48" s="80"/>
      <c r="AZ48" s="80"/>
      <c r="BA48" s="80"/>
      <c r="BB48" s="80"/>
      <c r="BC48" s="80"/>
      <c r="BD48" s="80"/>
      <c r="BE48" s="80"/>
      <c r="BF48" s="80"/>
      <c r="BG48" s="80"/>
      <c r="BH48" s="80"/>
      <c r="BI48" s="80"/>
      <c r="BJ48" s="80"/>
      <c r="BK48" s="80"/>
      <c r="BL48" s="80"/>
      <c r="BM48" s="80"/>
      <c r="BN48" s="80"/>
      <c r="BO48" s="80"/>
    </row>
    <row r="49" spans="2:50" ht="10.35" customHeight="1" x14ac:dyDescent="0.2">
      <c r="B49" s="80"/>
      <c r="C49" s="80"/>
      <c r="D49" s="10" t="s">
        <v>87</v>
      </c>
      <c r="E49" s="80"/>
      <c r="F49" s="80"/>
      <c r="G49" s="80"/>
      <c r="H49" s="140" t="s">
        <v>88</v>
      </c>
      <c r="I49" s="80"/>
      <c r="J49" s="133" t="s">
        <v>89</v>
      </c>
      <c r="K49" s="135" t="s">
        <v>90</v>
      </c>
      <c r="L49" s="166">
        <f>IF($H$49=Assumptions!$D$48,INDEX(Assumptions!$C$55:$E$100,MATCH(Input!$K$49,Assumptions!$C$55:$C$100,0),3),INDEX(Assumptions!$C$104:$E$142,MATCH(Input!$K$49,Assumptions!$C$104:$C$142,0),3))</f>
        <v>5</v>
      </c>
      <c r="M49" s="423"/>
      <c r="N49" s="172"/>
      <c r="O49" s="172"/>
      <c r="P49" s="172"/>
      <c r="Q49" s="172"/>
      <c r="R49" s="80"/>
      <c r="S49" s="80"/>
      <c r="T49" s="21"/>
      <c r="U49" s="80"/>
      <c r="V49" s="80"/>
      <c r="W49" s="80"/>
      <c r="X49" s="80"/>
      <c r="Y49" s="80"/>
      <c r="Z49" s="80"/>
      <c r="AA49" s="80"/>
      <c r="AB49" s="80"/>
      <c r="AC49" s="80"/>
      <c r="AD49" s="80"/>
      <c r="AE49" s="80"/>
      <c r="AF49" s="20"/>
      <c r="AG49" s="22"/>
      <c r="AH49" s="22"/>
      <c r="AI49" s="80"/>
      <c r="AJ49" s="80"/>
      <c r="AK49" s="80"/>
      <c r="AL49" s="80"/>
      <c r="AM49" s="80"/>
      <c r="AN49" s="80"/>
      <c r="AO49" s="80"/>
      <c r="AP49" s="80"/>
      <c r="AQ49" s="80"/>
      <c r="AR49" s="80"/>
      <c r="AS49" s="80"/>
      <c r="AT49" s="80"/>
      <c r="AU49" s="80"/>
      <c r="AV49" s="80"/>
      <c r="AW49" s="80"/>
      <c r="AX49" s="80"/>
    </row>
    <row r="50" spans="2:50" ht="10.35" customHeight="1" x14ac:dyDescent="0.2">
      <c r="B50" s="80"/>
      <c r="C50" s="80"/>
      <c r="D50" s="10" t="s">
        <v>91</v>
      </c>
      <c r="E50" s="80"/>
      <c r="F50" s="80"/>
      <c r="G50" s="80"/>
      <c r="H50" s="80"/>
      <c r="I50" s="80"/>
      <c r="J50" s="80"/>
      <c r="K50" s="80"/>
      <c r="L50" s="148"/>
      <c r="M50" s="423"/>
      <c r="N50" s="172"/>
      <c r="O50" s="172"/>
      <c r="P50" s="172"/>
      <c r="Q50" s="172"/>
      <c r="R50" s="80"/>
      <c r="S50" s="80"/>
      <c r="T50" s="21"/>
      <c r="U50" s="80"/>
      <c r="V50" s="80"/>
      <c r="W50" s="80"/>
      <c r="X50" s="80"/>
      <c r="Y50" s="80"/>
      <c r="Z50" s="80"/>
      <c r="AA50" s="80"/>
      <c r="AB50" s="80"/>
      <c r="AC50" s="80"/>
      <c r="AD50" s="80"/>
      <c r="AE50" s="80"/>
      <c r="AF50" s="20"/>
      <c r="AG50" s="22"/>
      <c r="AH50" s="22"/>
      <c r="AI50" s="80"/>
      <c r="AJ50" s="80"/>
      <c r="AK50" s="80"/>
      <c r="AL50" s="80"/>
      <c r="AM50" s="80"/>
      <c r="AN50" s="80"/>
      <c r="AO50" s="80"/>
      <c r="AP50" s="80"/>
      <c r="AQ50" s="80"/>
      <c r="AR50" s="80"/>
      <c r="AS50" s="80"/>
      <c r="AT50" s="80"/>
      <c r="AU50" s="80"/>
      <c r="AV50" s="80"/>
      <c r="AW50" s="80"/>
      <c r="AX50" s="80"/>
    </row>
    <row r="51" spans="2:50" ht="10.35" customHeight="1" x14ac:dyDescent="0.2">
      <c r="B51" s="80"/>
      <c r="C51" s="80"/>
      <c r="D51" s="10" t="s">
        <v>92</v>
      </c>
      <c r="E51" s="80"/>
      <c r="F51" s="80"/>
      <c r="G51" s="80"/>
      <c r="H51" s="80"/>
      <c r="I51" s="80"/>
      <c r="J51" s="80"/>
      <c r="K51" s="80"/>
      <c r="L51" s="167">
        <f>IF(ISBLANK($L$50),$L$49,$L$50)</f>
        <v>5</v>
      </c>
      <c r="M51" s="423"/>
      <c r="N51" s="172"/>
      <c r="O51" s="172"/>
      <c r="P51" s="172"/>
      <c r="Q51" s="172"/>
      <c r="R51" s="80"/>
      <c r="S51" s="80"/>
      <c r="T51" s="21"/>
      <c r="U51" s="80"/>
      <c r="V51" s="80"/>
      <c r="W51" s="80"/>
      <c r="X51" s="80"/>
      <c r="Y51" s="80"/>
      <c r="Z51" s="80"/>
      <c r="AA51" s="80"/>
      <c r="AB51" s="80"/>
      <c r="AC51" s="80"/>
      <c r="AD51" s="80"/>
      <c r="AE51" s="80"/>
      <c r="AF51" s="20"/>
      <c r="AG51" s="22"/>
      <c r="AH51" s="22"/>
      <c r="AI51" s="80"/>
      <c r="AJ51" s="80"/>
      <c r="AK51" s="80"/>
      <c r="AL51" s="80"/>
      <c r="AM51" s="80"/>
      <c r="AN51" s="80"/>
      <c r="AO51" s="80"/>
      <c r="AP51" s="80"/>
      <c r="AQ51" s="80"/>
      <c r="AR51" s="80"/>
      <c r="AS51" s="80"/>
      <c r="AT51" s="80"/>
      <c r="AU51" s="80"/>
      <c r="AV51" s="80"/>
      <c r="AW51" s="80"/>
      <c r="AX51" s="80"/>
    </row>
    <row r="52" spans="2:50" ht="10.35" customHeight="1" x14ac:dyDescent="0.2">
      <c r="B52" s="80"/>
      <c r="C52" s="80"/>
      <c r="D52" s="10"/>
      <c r="E52" s="80"/>
      <c r="F52" s="80"/>
      <c r="G52" s="80"/>
      <c r="H52" s="80"/>
      <c r="I52" s="80"/>
      <c r="J52" s="80"/>
      <c r="K52" s="80"/>
      <c r="L52" s="172"/>
      <c r="M52" s="423"/>
      <c r="N52" s="172"/>
      <c r="O52" s="172"/>
      <c r="P52" s="172"/>
      <c r="Q52" s="172"/>
      <c r="R52" s="80"/>
      <c r="S52" s="80"/>
      <c r="T52" s="21"/>
      <c r="U52" s="80"/>
      <c r="V52" s="80"/>
      <c r="W52" s="80"/>
      <c r="X52" s="80"/>
      <c r="Y52" s="80"/>
      <c r="Z52" s="80"/>
      <c r="AA52" s="80"/>
      <c r="AB52" s="80"/>
      <c r="AC52" s="80"/>
      <c r="AD52" s="80"/>
      <c r="AE52" s="80"/>
      <c r="AF52" s="20"/>
      <c r="AG52" s="22"/>
      <c r="AH52" s="22"/>
      <c r="AI52" s="80"/>
      <c r="AJ52" s="80"/>
      <c r="AK52" s="80"/>
      <c r="AL52" s="80"/>
      <c r="AM52" s="80"/>
      <c r="AN52" s="80"/>
      <c r="AO52" s="80"/>
      <c r="AP52" s="80"/>
      <c r="AQ52" s="80"/>
      <c r="AR52" s="80"/>
      <c r="AS52" s="80"/>
      <c r="AT52" s="80"/>
      <c r="AU52" s="80"/>
      <c r="AV52" s="80"/>
      <c r="AW52" s="80"/>
      <c r="AX52" s="80"/>
    </row>
    <row r="53" spans="2:50" ht="10.35" customHeight="1" x14ac:dyDescent="0.2">
      <c r="B53" s="80"/>
      <c r="C53" s="80"/>
      <c r="D53" s="10"/>
      <c r="E53" s="80"/>
      <c r="F53" s="80"/>
      <c r="G53" s="80"/>
      <c r="H53" s="80"/>
      <c r="I53" s="80"/>
      <c r="J53" s="80"/>
      <c r="K53" s="80"/>
      <c r="L53" s="174" t="s">
        <v>93</v>
      </c>
      <c r="M53" s="423"/>
      <c r="N53" s="172"/>
      <c r="O53" s="172"/>
      <c r="P53" s="172"/>
      <c r="Q53" s="172"/>
      <c r="R53" s="80"/>
      <c r="S53" s="80"/>
      <c r="T53" s="21"/>
      <c r="U53" s="80"/>
      <c r="V53" s="80"/>
      <c r="W53" s="80"/>
      <c r="X53" s="80"/>
      <c r="Y53" s="80"/>
      <c r="Z53" s="80"/>
      <c r="AA53" s="80"/>
      <c r="AB53" s="80"/>
      <c r="AC53" s="80"/>
      <c r="AD53" s="80"/>
      <c r="AE53" s="80"/>
      <c r="AF53" s="20"/>
      <c r="AG53" s="22"/>
      <c r="AH53" s="22"/>
      <c r="AI53" s="80"/>
      <c r="AJ53" s="80"/>
      <c r="AK53" s="80"/>
      <c r="AL53" s="80"/>
      <c r="AM53" s="80"/>
      <c r="AN53" s="80"/>
      <c r="AO53" s="80"/>
      <c r="AP53" s="80"/>
      <c r="AQ53" s="80"/>
      <c r="AR53" s="80"/>
      <c r="AS53" s="80"/>
      <c r="AT53" s="80"/>
      <c r="AU53" s="80"/>
      <c r="AV53" s="80"/>
      <c r="AW53" s="80"/>
      <c r="AX53" s="80"/>
    </row>
    <row r="54" spans="2:50" ht="10.35" customHeight="1" x14ac:dyDescent="0.2">
      <c r="B54" s="80"/>
      <c r="C54" s="80"/>
      <c r="D54" s="10"/>
      <c r="E54" s="80"/>
      <c r="F54" s="80"/>
      <c r="G54" s="80"/>
      <c r="H54" s="80"/>
      <c r="I54" s="80"/>
      <c r="J54" s="80"/>
      <c r="K54" s="80"/>
      <c r="L54" s="172"/>
      <c r="M54" s="423"/>
      <c r="N54" s="172"/>
      <c r="O54" s="172"/>
      <c r="P54" s="172"/>
      <c r="Q54" s="172"/>
      <c r="R54" s="80"/>
      <c r="S54" s="80"/>
      <c r="T54" s="21"/>
      <c r="U54" s="80"/>
      <c r="V54" s="80"/>
      <c r="W54" s="80"/>
      <c r="X54" s="80"/>
      <c r="Y54" s="80"/>
      <c r="Z54" s="80"/>
      <c r="AA54" s="80"/>
      <c r="AB54" s="80"/>
      <c r="AC54" s="80"/>
      <c r="AD54" s="80"/>
      <c r="AE54" s="80"/>
      <c r="AF54" s="20"/>
      <c r="AG54" s="22"/>
      <c r="AH54" s="22"/>
      <c r="AI54" s="80"/>
      <c r="AJ54" s="80"/>
      <c r="AK54" s="80"/>
      <c r="AL54" s="80"/>
      <c r="AM54" s="80"/>
      <c r="AN54" s="80"/>
      <c r="AO54" s="80"/>
      <c r="AP54" s="80"/>
      <c r="AQ54" s="80"/>
      <c r="AR54" s="80"/>
      <c r="AS54" s="80"/>
      <c r="AT54" s="80"/>
      <c r="AU54" s="80"/>
      <c r="AV54" s="80"/>
      <c r="AW54" s="80"/>
      <c r="AX54" s="80"/>
    </row>
    <row r="55" spans="2:50" ht="10.35" customHeight="1" x14ac:dyDescent="0.2">
      <c r="B55" s="80"/>
      <c r="C55" s="80"/>
      <c r="D55" s="10" t="s">
        <v>94</v>
      </c>
      <c r="E55" s="80"/>
      <c r="F55" s="80"/>
      <c r="G55" s="80"/>
      <c r="H55" s="80"/>
      <c r="I55" s="80"/>
      <c r="J55" s="80"/>
      <c r="K55" s="80"/>
      <c r="L55" s="173"/>
      <c r="M55" s="423"/>
      <c r="N55" s="172"/>
      <c r="O55" s="172"/>
      <c r="P55" s="172"/>
      <c r="Q55" s="172"/>
      <c r="R55" s="80"/>
      <c r="S55" s="80"/>
      <c r="T55" s="21"/>
      <c r="U55" s="80"/>
      <c r="V55" s="80"/>
      <c r="W55" s="80"/>
      <c r="X55" s="80"/>
      <c r="Y55" s="80"/>
      <c r="Z55" s="80"/>
      <c r="AA55" s="80"/>
      <c r="AB55" s="80"/>
      <c r="AC55" s="80"/>
      <c r="AD55" s="80"/>
      <c r="AE55" s="80"/>
      <c r="AF55" s="20"/>
      <c r="AG55" s="22"/>
      <c r="AH55" s="22"/>
      <c r="AI55" s="80"/>
      <c r="AJ55" s="80"/>
      <c r="AK55" s="80"/>
      <c r="AL55" s="80"/>
      <c r="AM55" s="80"/>
      <c r="AN55" s="80"/>
      <c r="AO55" s="80"/>
      <c r="AP55" s="80"/>
      <c r="AQ55" s="80"/>
      <c r="AR55" s="80"/>
      <c r="AS55" s="80"/>
      <c r="AT55" s="80"/>
      <c r="AU55" s="80"/>
      <c r="AV55" s="80"/>
      <c r="AW55" s="80"/>
      <c r="AX55" s="80"/>
    </row>
    <row r="56" spans="2:50" ht="10.35" customHeight="1" x14ac:dyDescent="0.2">
      <c r="B56" s="80"/>
      <c r="C56" s="80"/>
      <c r="D56" s="80"/>
      <c r="E56" s="80"/>
      <c r="F56" s="80"/>
      <c r="G56" s="80"/>
      <c r="H56" s="80"/>
      <c r="I56" s="80"/>
      <c r="J56" s="80"/>
      <c r="K56" s="80"/>
      <c r="L56" s="424"/>
      <c r="M56" s="425"/>
      <c r="N56" s="83"/>
      <c r="O56" s="83"/>
      <c r="P56" s="83"/>
      <c r="Q56" s="83"/>
      <c r="R56" s="80"/>
      <c r="S56" s="80"/>
      <c r="T56" s="21"/>
      <c r="U56" s="80"/>
      <c r="V56" s="80"/>
      <c r="W56" s="80"/>
      <c r="X56" s="80"/>
      <c r="Y56" s="80"/>
      <c r="Z56" s="80"/>
      <c r="AA56" s="80"/>
      <c r="AB56" s="80"/>
      <c r="AC56" s="80"/>
      <c r="AD56" s="80"/>
      <c r="AE56" s="80"/>
      <c r="AF56" s="20"/>
      <c r="AG56" s="22"/>
      <c r="AH56" s="22"/>
      <c r="AI56" s="80"/>
      <c r="AJ56" s="80"/>
      <c r="AK56" s="80"/>
      <c r="AL56" s="80"/>
      <c r="AM56" s="80"/>
      <c r="AN56" s="80"/>
      <c r="AO56" s="80"/>
      <c r="AP56" s="80"/>
      <c r="AQ56" s="80"/>
      <c r="AR56" s="80"/>
      <c r="AS56" s="80"/>
      <c r="AT56" s="80"/>
      <c r="AU56" s="80"/>
      <c r="AV56" s="80"/>
      <c r="AW56" s="80"/>
      <c r="AX56" s="80"/>
    </row>
    <row r="57" spans="2:50" s="14" customFormat="1" ht="10.35" customHeight="1" x14ac:dyDescent="0.2">
      <c r="B57" s="16" t="s">
        <v>95</v>
      </c>
      <c r="C57" s="398"/>
      <c r="D57" s="398"/>
      <c r="E57" s="398"/>
      <c r="F57" s="398"/>
      <c r="G57" s="398"/>
      <c r="H57" s="398"/>
      <c r="I57" s="398"/>
      <c r="J57" s="398"/>
      <c r="K57" s="398"/>
      <c r="L57" s="421"/>
      <c r="M57" s="422"/>
      <c r="N57" s="398"/>
      <c r="O57" s="398"/>
      <c r="P57" s="398"/>
      <c r="Q57" s="398"/>
      <c r="R57" s="16"/>
      <c r="S57" s="398"/>
      <c r="T57" s="26"/>
      <c r="U57" s="398"/>
      <c r="V57" s="398"/>
      <c r="W57" s="398"/>
      <c r="X57" s="398"/>
      <c r="Y57" s="398"/>
      <c r="Z57" s="398"/>
      <c r="AA57" s="398"/>
      <c r="AB57" s="398"/>
      <c r="AC57" s="398"/>
      <c r="AD57" s="398"/>
      <c r="AE57" s="398"/>
      <c r="AF57" s="16"/>
      <c r="AG57" s="15"/>
      <c r="AH57" s="15"/>
      <c r="AI57" s="398"/>
      <c r="AJ57" s="398"/>
      <c r="AK57" s="398"/>
      <c r="AL57" s="398"/>
      <c r="AM57" s="398"/>
      <c r="AN57" s="398"/>
      <c r="AO57" s="398"/>
      <c r="AP57" s="398"/>
      <c r="AQ57" s="398"/>
      <c r="AR57" s="398"/>
      <c r="AS57" s="398"/>
      <c r="AT57" s="398"/>
      <c r="AU57" s="398"/>
      <c r="AV57" s="398"/>
      <c r="AW57" s="398"/>
      <c r="AX57" s="398"/>
    </row>
    <row r="58" spans="2:50" ht="10.35" customHeight="1" x14ac:dyDescent="0.2">
      <c r="B58" s="20"/>
      <c r="C58" s="80"/>
      <c r="D58" s="80"/>
      <c r="E58" s="80"/>
      <c r="F58" s="80"/>
      <c r="G58" s="80"/>
      <c r="H58" s="80"/>
      <c r="I58" s="80"/>
      <c r="J58" s="80"/>
      <c r="K58" s="80"/>
      <c r="L58" s="412"/>
      <c r="M58" s="413"/>
      <c r="N58" s="80"/>
      <c r="O58" s="80"/>
      <c r="P58" s="80"/>
      <c r="Q58" s="80"/>
      <c r="R58" s="20"/>
      <c r="S58" s="80"/>
      <c r="T58" s="21"/>
      <c r="U58" s="80"/>
      <c r="V58" s="80"/>
      <c r="W58" s="80"/>
      <c r="X58" s="80"/>
      <c r="Y58" s="80"/>
      <c r="Z58" s="80"/>
      <c r="AA58" s="80"/>
      <c r="AB58" s="80"/>
      <c r="AC58" s="80"/>
      <c r="AD58" s="80"/>
      <c r="AE58" s="80"/>
      <c r="AF58" s="20"/>
      <c r="AG58" s="22"/>
      <c r="AH58" s="22"/>
      <c r="AI58" s="80"/>
      <c r="AJ58" s="80"/>
      <c r="AK58" s="80"/>
      <c r="AL58" s="80"/>
      <c r="AM58" s="80"/>
      <c r="AN58" s="80"/>
      <c r="AO58" s="80"/>
      <c r="AP58" s="80"/>
      <c r="AQ58" s="80"/>
      <c r="AR58" s="80"/>
      <c r="AS58" s="80"/>
      <c r="AT58" s="80"/>
      <c r="AU58" s="80"/>
      <c r="AV58" s="80"/>
      <c r="AW58" s="80"/>
      <c r="AX58" s="80"/>
    </row>
    <row r="59" spans="2:50" s="18" customFormat="1" x14ac:dyDescent="0.2">
      <c r="B59" s="19"/>
      <c r="C59" s="19" t="s">
        <v>25</v>
      </c>
      <c r="D59" s="426"/>
      <c r="E59" s="426"/>
      <c r="F59" s="426"/>
      <c r="G59" s="426"/>
      <c r="H59" s="426"/>
      <c r="I59" s="426"/>
      <c r="J59" s="426"/>
      <c r="K59" s="427"/>
      <c r="L59" s="428"/>
      <c r="M59" s="429"/>
      <c r="N59" s="426"/>
      <c r="O59" s="426"/>
      <c r="P59" s="426"/>
      <c r="Q59" s="426"/>
      <c r="R59" s="426"/>
      <c r="S59" s="426"/>
      <c r="T59" s="426"/>
      <c r="U59" s="426"/>
      <c r="V59" s="426"/>
      <c r="W59" s="426"/>
      <c r="X59" s="426"/>
      <c r="Y59" s="426"/>
      <c r="Z59" s="426"/>
      <c r="AA59" s="426"/>
      <c r="AB59" s="426"/>
      <c r="AC59" s="426"/>
      <c r="AD59" s="426"/>
      <c r="AE59" s="426"/>
      <c r="AF59" s="426"/>
      <c r="AG59" s="426"/>
      <c r="AH59" s="426"/>
      <c r="AI59" s="426"/>
      <c r="AJ59" s="426"/>
      <c r="AK59" s="426"/>
      <c r="AL59" s="426"/>
      <c r="AM59" s="426"/>
      <c r="AN59" s="426"/>
      <c r="AO59" s="426"/>
      <c r="AP59" s="426"/>
      <c r="AQ59" s="426"/>
      <c r="AR59" s="426"/>
      <c r="AS59" s="426"/>
      <c r="AT59" s="426"/>
      <c r="AU59" s="426"/>
      <c r="AV59" s="426"/>
      <c r="AW59" s="426"/>
      <c r="AX59" s="426"/>
    </row>
    <row r="60" spans="2:50" ht="10.35" customHeight="1" outlineLevel="1" x14ac:dyDescent="0.2">
      <c r="B60" s="80"/>
      <c r="C60" s="80"/>
      <c r="D60" s="80"/>
      <c r="E60" s="80"/>
      <c r="F60" s="80"/>
      <c r="G60" s="80"/>
      <c r="H60" s="80"/>
      <c r="I60" s="80"/>
      <c r="J60" s="80"/>
      <c r="K60" s="80"/>
      <c r="L60" s="412"/>
      <c r="M60" s="413"/>
      <c r="N60" s="80"/>
      <c r="O60" s="80"/>
      <c r="P60" s="80"/>
      <c r="Q60" s="80"/>
      <c r="R60" s="20"/>
      <c r="S60" s="80"/>
      <c r="T60" s="21"/>
      <c r="U60" s="80"/>
      <c r="V60" s="80"/>
      <c r="W60" s="80"/>
      <c r="X60" s="80"/>
      <c r="Y60" s="80"/>
      <c r="Z60" s="80"/>
      <c r="AA60" s="80"/>
      <c r="AB60" s="80"/>
      <c r="AC60" s="80"/>
      <c r="AD60" s="80"/>
      <c r="AE60" s="80"/>
      <c r="AF60" s="20"/>
      <c r="AG60" s="22"/>
      <c r="AH60" s="22"/>
      <c r="AI60" s="80"/>
      <c r="AJ60" s="80"/>
      <c r="AK60" s="80"/>
      <c r="AL60" s="80"/>
      <c r="AM60" s="80"/>
      <c r="AN60" s="80"/>
      <c r="AO60" s="80"/>
      <c r="AP60" s="80"/>
      <c r="AQ60" s="80"/>
      <c r="AR60" s="80"/>
      <c r="AS60" s="80"/>
      <c r="AT60" s="80"/>
      <c r="AU60" s="80"/>
      <c r="AV60" s="80"/>
      <c r="AW60" s="80"/>
      <c r="AX60" s="80"/>
    </row>
    <row r="61" spans="2:50" ht="10.35" customHeight="1" outlineLevel="1" x14ac:dyDescent="0.2">
      <c r="B61" s="80"/>
      <c r="C61" s="80"/>
      <c r="D61" s="80"/>
      <c r="E61" s="80"/>
      <c r="F61" s="80"/>
      <c r="G61" s="80"/>
      <c r="H61" s="80"/>
      <c r="I61" s="80"/>
      <c r="J61" s="80"/>
      <c r="K61" s="80"/>
      <c r="L61" s="412"/>
      <c r="M61" s="413"/>
      <c r="N61" s="80"/>
      <c r="O61" s="80"/>
      <c r="P61" s="80"/>
      <c r="Q61" s="80"/>
      <c r="R61" s="20"/>
      <c r="S61" s="80"/>
      <c r="T61" s="21"/>
      <c r="U61" s="80"/>
      <c r="V61" s="80"/>
      <c r="W61" s="80"/>
      <c r="X61" s="80"/>
      <c r="Y61" s="80"/>
      <c r="Z61" s="80"/>
      <c r="AA61" s="80"/>
      <c r="AB61" s="80"/>
      <c r="AC61" s="80"/>
      <c r="AD61" s="80"/>
      <c r="AE61" s="80"/>
      <c r="AF61" s="20"/>
      <c r="AG61" s="22"/>
      <c r="AH61" s="22"/>
      <c r="AI61" s="80"/>
      <c r="AJ61" s="80"/>
      <c r="AK61" s="80"/>
      <c r="AL61" s="80"/>
      <c r="AM61" s="80"/>
      <c r="AN61" s="80"/>
      <c r="AO61" s="80"/>
      <c r="AP61" s="80"/>
      <c r="AQ61" s="80"/>
      <c r="AR61" s="80"/>
      <c r="AS61" s="80"/>
      <c r="AT61" s="80"/>
      <c r="AU61" s="80"/>
      <c r="AV61" s="80"/>
      <c r="AW61" s="80"/>
      <c r="AX61" s="80"/>
    </row>
    <row r="62" spans="2:50" ht="10.35" customHeight="1" outlineLevel="1" x14ac:dyDescent="0.2">
      <c r="B62" s="80"/>
      <c r="C62" s="80"/>
      <c r="D62" s="80"/>
      <c r="E62" s="80"/>
      <c r="F62" s="80"/>
      <c r="G62" s="80"/>
      <c r="H62" s="80"/>
      <c r="I62" s="80"/>
      <c r="J62" s="80"/>
      <c r="K62" s="80"/>
      <c r="L62" s="412"/>
      <c r="M62" s="413"/>
      <c r="N62" s="80"/>
      <c r="O62" s="80"/>
      <c r="P62" s="80"/>
      <c r="Q62" s="80"/>
      <c r="R62" s="20"/>
      <c r="S62" s="80"/>
      <c r="T62" s="21"/>
      <c r="U62" s="80"/>
      <c r="V62" s="80"/>
      <c r="W62" s="80"/>
      <c r="X62" s="80"/>
      <c r="Y62" s="80"/>
      <c r="Z62" s="80"/>
      <c r="AA62" s="80"/>
      <c r="AB62" s="80"/>
      <c r="AC62" s="80"/>
      <c r="AD62" s="80"/>
      <c r="AE62" s="80"/>
      <c r="AF62" s="20"/>
      <c r="AG62" s="22"/>
      <c r="AH62" s="22"/>
      <c r="AI62" s="80"/>
      <c r="AJ62" s="80"/>
      <c r="AK62" s="80"/>
      <c r="AL62" s="80"/>
      <c r="AM62" s="80"/>
      <c r="AN62" s="80"/>
      <c r="AO62" s="80"/>
      <c r="AP62" s="80"/>
      <c r="AQ62" s="80"/>
      <c r="AR62" s="80"/>
      <c r="AS62" s="80"/>
      <c r="AT62" s="80"/>
      <c r="AU62" s="80"/>
      <c r="AV62" s="80"/>
      <c r="AW62" s="80"/>
      <c r="AX62" s="80"/>
    </row>
    <row r="63" spans="2:50" ht="10.35" customHeight="1" outlineLevel="1" x14ac:dyDescent="0.2">
      <c r="B63" s="80"/>
      <c r="C63" s="80"/>
      <c r="D63" s="80"/>
      <c r="E63" s="80"/>
      <c r="F63" s="80"/>
      <c r="G63" s="80"/>
      <c r="H63" s="80"/>
      <c r="I63" s="80"/>
      <c r="J63" s="80"/>
      <c r="K63" s="80"/>
      <c r="L63" s="412"/>
      <c r="M63" s="413"/>
      <c r="N63" s="80"/>
      <c r="O63" s="80"/>
      <c r="P63" s="80"/>
      <c r="Q63" s="80"/>
      <c r="R63" s="20"/>
      <c r="S63" s="80"/>
      <c r="T63" s="21"/>
      <c r="U63" s="80"/>
      <c r="V63" s="80"/>
      <c r="W63" s="80"/>
      <c r="X63" s="80"/>
      <c r="Y63" s="80"/>
      <c r="Z63" s="80"/>
      <c r="AA63" s="80"/>
      <c r="AB63" s="80"/>
      <c r="AC63" s="80"/>
      <c r="AD63" s="80"/>
      <c r="AE63" s="80"/>
      <c r="AF63" s="20"/>
      <c r="AG63" s="22"/>
      <c r="AH63" s="22"/>
      <c r="AI63" s="80"/>
      <c r="AJ63" s="80"/>
      <c r="AK63" s="80"/>
      <c r="AL63" s="80"/>
      <c r="AM63" s="80"/>
      <c r="AN63" s="80"/>
      <c r="AO63" s="80"/>
      <c r="AP63" s="80"/>
      <c r="AQ63" s="80"/>
      <c r="AR63" s="80"/>
      <c r="AS63" s="80"/>
      <c r="AT63" s="80"/>
      <c r="AU63" s="80"/>
      <c r="AV63" s="80"/>
      <c r="AW63" s="80"/>
      <c r="AX63" s="80"/>
    </row>
    <row r="64" spans="2:50" ht="10.35" customHeight="1" outlineLevel="1" x14ac:dyDescent="0.2">
      <c r="B64" s="80"/>
      <c r="C64" s="80"/>
      <c r="D64" s="80"/>
      <c r="E64" s="80"/>
      <c r="F64" s="80"/>
      <c r="G64" s="80"/>
      <c r="H64" s="80"/>
      <c r="I64" s="80"/>
      <c r="J64" s="80"/>
      <c r="K64" s="80"/>
      <c r="L64" s="412"/>
      <c r="M64" s="413"/>
      <c r="N64" s="80"/>
      <c r="O64" s="80"/>
      <c r="P64" s="80"/>
      <c r="Q64" s="80"/>
      <c r="R64" s="20"/>
      <c r="S64" s="80"/>
      <c r="T64" s="21"/>
      <c r="U64" s="80"/>
      <c r="V64" s="80"/>
      <c r="W64" s="80"/>
      <c r="X64" s="80"/>
      <c r="Y64" s="80"/>
      <c r="Z64" s="80"/>
      <c r="AA64" s="80"/>
      <c r="AB64" s="80"/>
      <c r="AC64" s="80"/>
      <c r="AD64" s="80"/>
      <c r="AE64" s="80"/>
      <c r="AF64" s="20"/>
      <c r="AG64" s="22"/>
      <c r="AH64" s="22"/>
      <c r="AI64" s="80"/>
      <c r="AJ64" s="80"/>
      <c r="AK64" s="80"/>
      <c r="AL64" s="80"/>
      <c r="AM64" s="80"/>
      <c r="AN64" s="80"/>
      <c r="AO64" s="80"/>
      <c r="AP64" s="80"/>
      <c r="AQ64" s="80"/>
      <c r="AR64" s="80"/>
      <c r="AS64" s="80"/>
      <c r="AT64" s="80"/>
      <c r="AU64" s="80"/>
      <c r="AV64" s="80"/>
      <c r="AW64" s="80"/>
      <c r="AX64" s="80"/>
    </row>
    <row r="65" spans="3:68" ht="10.35" customHeight="1" outlineLevel="1" x14ac:dyDescent="0.2">
      <c r="C65" s="80"/>
      <c r="D65" s="80"/>
      <c r="E65" s="80"/>
      <c r="F65" s="80"/>
      <c r="G65" s="80"/>
      <c r="H65" s="80"/>
      <c r="I65" s="80"/>
      <c r="J65" s="80"/>
      <c r="K65" s="80"/>
      <c r="L65" s="412"/>
      <c r="M65" s="413"/>
      <c r="N65" s="80"/>
      <c r="O65" s="80"/>
      <c r="P65" s="80"/>
      <c r="Q65" s="80"/>
      <c r="R65" s="20"/>
      <c r="S65" s="80"/>
      <c r="T65" s="21"/>
      <c r="U65" s="80"/>
      <c r="V65" s="80"/>
      <c r="W65" s="80"/>
      <c r="X65" s="80"/>
      <c r="Y65" s="80"/>
      <c r="Z65" s="80"/>
      <c r="AA65" s="80"/>
      <c r="AB65" s="80"/>
      <c r="AC65" s="80"/>
      <c r="AD65" s="80"/>
      <c r="AE65" s="80"/>
      <c r="AF65" s="20"/>
      <c r="AG65" s="22"/>
      <c r="AH65" s="22"/>
      <c r="AI65" s="80"/>
      <c r="AJ65" s="80"/>
      <c r="AK65" s="80"/>
      <c r="AL65" s="80"/>
      <c r="AM65" s="80"/>
      <c r="AN65" s="80"/>
      <c r="AO65" s="80"/>
      <c r="AP65" s="80"/>
      <c r="AQ65" s="80"/>
      <c r="AR65" s="80"/>
      <c r="AS65" s="80"/>
      <c r="AT65" s="80"/>
      <c r="AU65" s="80"/>
      <c r="AV65" s="80"/>
      <c r="AW65" s="80"/>
      <c r="AX65" s="80"/>
      <c r="AY65" s="80"/>
      <c r="AZ65" s="80"/>
      <c r="BA65" s="80"/>
      <c r="BB65" s="80"/>
      <c r="BC65" s="80"/>
      <c r="BD65" s="80"/>
      <c r="BE65" s="80"/>
      <c r="BF65" s="80"/>
      <c r="BG65" s="80"/>
      <c r="BH65" s="80"/>
      <c r="BI65" s="80"/>
      <c r="BJ65" s="80"/>
      <c r="BK65" s="80"/>
      <c r="BL65" s="80"/>
      <c r="BM65" s="80"/>
      <c r="BN65" s="80"/>
      <c r="BO65" s="80"/>
      <c r="BP65" s="80"/>
    </row>
    <row r="66" spans="3:68" ht="10.35" customHeight="1" outlineLevel="1" x14ac:dyDescent="0.2">
      <c r="C66" s="80"/>
      <c r="D66" s="80"/>
      <c r="E66" s="80"/>
      <c r="F66" s="80"/>
      <c r="G66" s="80"/>
      <c r="H66" s="80"/>
      <c r="I66" s="80"/>
      <c r="J66" s="80"/>
      <c r="K66" s="80"/>
      <c r="L66" s="412"/>
      <c r="M66" s="413"/>
      <c r="N66" s="80"/>
      <c r="O66" s="80"/>
      <c r="P66" s="80"/>
      <c r="Q66" s="80"/>
      <c r="R66" s="178"/>
      <c r="S66" s="80"/>
      <c r="T66" s="21"/>
      <c r="U66" s="80"/>
      <c r="V66" s="80"/>
      <c r="W66" s="80"/>
      <c r="X66" s="80"/>
      <c r="Y66" s="80"/>
      <c r="Z66" s="80"/>
      <c r="AA66" s="80"/>
      <c r="AB66" s="80"/>
      <c r="AC66" s="80"/>
      <c r="AD66" s="80"/>
      <c r="AE66" s="80"/>
      <c r="AF66" s="20"/>
      <c r="AG66" s="22"/>
      <c r="AH66" s="22"/>
      <c r="AI66" s="80"/>
      <c r="AJ66" s="80"/>
      <c r="AK66" s="80"/>
      <c r="AL66" s="80"/>
      <c r="AM66" s="80"/>
      <c r="AN66" s="80"/>
      <c r="AO66" s="80"/>
      <c r="AP66" s="80"/>
      <c r="AQ66" s="80"/>
      <c r="AR66" s="80"/>
      <c r="AS66" s="80"/>
      <c r="AT66" s="80"/>
      <c r="AU66" s="80"/>
      <c r="AV66" s="80"/>
      <c r="AW66" s="80"/>
      <c r="AX66" s="80"/>
      <c r="AY66" s="80"/>
      <c r="AZ66" s="80"/>
      <c r="BA66" s="80"/>
      <c r="BB66" s="80"/>
      <c r="BC66" s="80"/>
      <c r="BD66" s="80"/>
      <c r="BE66" s="80"/>
      <c r="BF66" s="80"/>
      <c r="BG66" s="80"/>
      <c r="BH66" s="80"/>
      <c r="BI66" s="80"/>
      <c r="BJ66" s="80"/>
      <c r="BK66" s="80"/>
      <c r="BL66" s="80"/>
      <c r="BM66" s="80"/>
      <c r="BN66" s="80"/>
      <c r="BO66" s="80"/>
      <c r="BP66" s="80"/>
    </row>
    <row r="67" spans="3:68" ht="10.35" customHeight="1" outlineLevel="1" x14ac:dyDescent="0.2">
      <c r="C67" s="10"/>
      <c r="D67" s="80"/>
      <c r="E67" s="80"/>
      <c r="F67" s="10" t="s">
        <v>96</v>
      </c>
      <c r="G67" s="80"/>
      <c r="H67" s="80"/>
      <c r="I67" s="80"/>
      <c r="J67" s="80"/>
      <c r="K67" s="17"/>
      <c r="L67" s="104"/>
      <c r="M67" s="24" t="str">
        <f>"FY"&amp;RIGHT(Assumptions!$L$19+M68,2)</f>
        <v>FY17</v>
      </c>
      <c r="N67" s="24" t="str">
        <f>"FY"&amp;RIGHT(Assumptions!$L$19+N68,2)</f>
        <v>FY18</v>
      </c>
      <c r="O67" s="24" t="str">
        <f>"FY"&amp;RIGHT(Assumptions!$L$19+O68,2)</f>
        <v>FY19</v>
      </c>
      <c r="P67" s="24" t="str">
        <f>"FY"&amp;RIGHT(Assumptions!$L$19+P68,2)</f>
        <v>FY20</v>
      </c>
      <c r="Q67" s="24" t="str">
        <f>"FY"&amp;RIGHT(Assumptions!$L$19+Q68,2)</f>
        <v>FY21</v>
      </c>
      <c r="R67" s="24" t="str">
        <f>"FY"&amp;RIGHT(Assumptions!$L$19+R68,2)</f>
        <v>FY22</v>
      </c>
      <c r="S67" s="24" t="str">
        <f>"FY"&amp;RIGHT(Assumptions!$L$19+S68,2)</f>
        <v>FY23</v>
      </c>
      <c r="T67" s="24" t="str">
        <f>"FY"&amp;RIGHT(Assumptions!$L$19+T68,2)</f>
        <v>FY24</v>
      </c>
      <c r="U67" s="24" t="str">
        <f>"FY"&amp;RIGHT(Assumptions!$L$19+U68,2)</f>
        <v>FY25</v>
      </c>
      <c r="V67" s="24" t="str">
        <f>"FY"&amp;RIGHT(Assumptions!$L$19+V68,2)</f>
        <v>FY26</v>
      </c>
      <c r="W67" s="24" t="str">
        <f>"FY"&amp;RIGHT(Assumptions!$L$19+W68,2)</f>
        <v>FY27</v>
      </c>
      <c r="X67" s="24" t="str">
        <f>"FY"&amp;RIGHT(Assumptions!$L$19+X68,2)</f>
        <v>FY28</v>
      </c>
      <c r="Y67" s="24" t="str">
        <f>"FY"&amp;RIGHT(Assumptions!$L$19+Y68,2)</f>
        <v>FY29</v>
      </c>
      <c r="Z67" s="24" t="str">
        <f>"FY"&amp;RIGHT(Assumptions!$L$19+Z68,2)</f>
        <v>FY30</v>
      </c>
      <c r="AA67" s="24" t="str">
        <f>"FY"&amp;RIGHT(Assumptions!$L$19+AA68,2)</f>
        <v>FY31</v>
      </c>
      <c r="AB67" s="24" t="str">
        <f>"FY"&amp;RIGHT(Assumptions!$L$19+AB68,2)</f>
        <v>FY32</v>
      </c>
      <c r="AC67" s="24" t="str">
        <f>"FY"&amp;RIGHT(Assumptions!$L$19+AC68,2)</f>
        <v>FY33</v>
      </c>
      <c r="AD67" s="24" t="str">
        <f>"FY"&amp;RIGHT(Assumptions!$L$19+AD68,2)</f>
        <v>FY34</v>
      </c>
      <c r="AE67" s="24" t="str">
        <f>"FY"&amp;RIGHT(Assumptions!$L$19+AE68,2)</f>
        <v>FY35</v>
      </c>
      <c r="AF67" s="24" t="str">
        <f>"FY"&amp;RIGHT(Assumptions!$L$19+AF68,2)</f>
        <v>FY36</v>
      </c>
      <c r="AG67" s="24" t="str">
        <f>"FY"&amp;RIGHT(Assumptions!$L$19+AG68,2)</f>
        <v>FY37</v>
      </c>
      <c r="AH67" s="24" t="str">
        <f>"FY"&amp;RIGHT(Assumptions!$L$19+AH68,2)</f>
        <v>FY38</v>
      </c>
      <c r="AI67" s="24" t="str">
        <f>"FY"&amp;RIGHT(Assumptions!$L$19+AI68,2)</f>
        <v>FY39</v>
      </c>
      <c r="AJ67" s="24" t="str">
        <f>"FY"&amp;RIGHT(Assumptions!$L$19+AJ68,2)</f>
        <v>FY40</v>
      </c>
      <c r="AK67" s="24" t="str">
        <f>"FY"&amp;RIGHT(Assumptions!$L$19+AK68,2)</f>
        <v>FY41</v>
      </c>
      <c r="AL67" s="24" t="str">
        <f>"FY"&amp;RIGHT(Assumptions!$L$19+AL68,2)</f>
        <v>FY42</v>
      </c>
      <c r="AM67" s="24" t="str">
        <f>"FY"&amp;RIGHT(Assumptions!$L$19+AM68,2)</f>
        <v>FY43</v>
      </c>
      <c r="AN67" s="24" t="str">
        <f>"FY"&amp;RIGHT(Assumptions!$L$19+AN68,2)</f>
        <v>FY44</v>
      </c>
      <c r="AO67" s="24" t="str">
        <f>"FY"&amp;RIGHT(Assumptions!$L$19+AO68,2)</f>
        <v>FY45</v>
      </c>
      <c r="AP67" s="24" t="str">
        <f>"FY"&amp;RIGHT(Assumptions!$L$19+AP68,2)</f>
        <v>FY46</v>
      </c>
      <c r="AQ67" s="24" t="str">
        <f>"FY"&amp;RIGHT(Assumptions!$L$19+AQ68,2)</f>
        <v>FY47</v>
      </c>
      <c r="AR67" s="24" t="str">
        <f>"FY"&amp;RIGHT(Assumptions!$L$19+AR68,2)</f>
        <v>FY48</v>
      </c>
      <c r="AS67" s="24" t="str">
        <f>"FY"&amp;RIGHT(Assumptions!$L$19+AS68,2)</f>
        <v>FY49</v>
      </c>
      <c r="AT67" s="24" t="str">
        <f>"FY"&amp;RIGHT(Assumptions!$L$19+AT68,2)</f>
        <v>FY50</v>
      </c>
      <c r="AU67" s="24" t="str">
        <f>"FY"&amp;RIGHT(Assumptions!$L$19+AU68,2)</f>
        <v>FY51</v>
      </c>
      <c r="AV67" s="24" t="str">
        <f>"FY"&amp;RIGHT(Assumptions!$L$19+AV68,2)</f>
        <v>FY52</v>
      </c>
      <c r="AW67" s="24" t="str">
        <f>"FY"&amp;RIGHT(Assumptions!$L$19+AW68,2)</f>
        <v>FY53</v>
      </c>
      <c r="AX67" s="24" t="str">
        <f>"FY"&amp;RIGHT(Assumptions!$L$19+AX68,2)</f>
        <v>FY54</v>
      </c>
      <c r="AY67" s="24" t="str">
        <f>"FY"&amp;RIGHT(Assumptions!$L$19+AY68,2)</f>
        <v>FY55</v>
      </c>
      <c r="AZ67" s="24" t="str">
        <f>"FY"&amp;RIGHT(Assumptions!$L$19+AZ68,2)</f>
        <v>FY56</v>
      </c>
      <c r="BA67" s="24" t="str">
        <f>"FY"&amp;RIGHT(Assumptions!$L$19+BA68,2)</f>
        <v>FY57</v>
      </c>
      <c r="BB67" s="24" t="str">
        <f>"FY"&amp;RIGHT(Assumptions!$L$19+BB68,2)</f>
        <v>FY58</v>
      </c>
      <c r="BC67" s="24" t="str">
        <f>"FY"&amp;RIGHT(Assumptions!$L$19+BC68,2)</f>
        <v>FY59</v>
      </c>
      <c r="BD67" s="24" t="str">
        <f>"FY"&amp;RIGHT(Assumptions!$L$19+BD68,2)</f>
        <v>FY60</v>
      </c>
      <c r="BE67" s="24" t="str">
        <f>"FY"&amp;RIGHT(Assumptions!$L$19+BE68,2)</f>
        <v>FY61</v>
      </c>
      <c r="BF67" s="24" t="str">
        <f>"FY"&amp;RIGHT(Assumptions!$L$19+BF68,2)</f>
        <v>FY62</v>
      </c>
      <c r="BG67" s="24" t="str">
        <f>"FY"&amp;RIGHT(Assumptions!$L$19+BG68,2)</f>
        <v>FY63</v>
      </c>
      <c r="BH67" s="24" t="str">
        <f>"FY"&amp;RIGHT(Assumptions!$L$19+BH68,2)</f>
        <v>FY64</v>
      </c>
      <c r="BI67" s="24" t="str">
        <f>"FY"&amp;RIGHT(Assumptions!$L$19+BI68,2)</f>
        <v>FY65</v>
      </c>
      <c r="BJ67" s="24" t="str">
        <f>"FY"&amp;RIGHT(Assumptions!$L$19+BJ68,2)</f>
        <v>FY66</v>
      </c>
      <c r="BK67" s="24" t="str">
        <f>"FY"&amp;RIGHT(Assumptions!$L$19+BK68,2)</f>
        <v>FY67</v>
      </c>
      <c r="BL67" s="24" t="str">
        <f>"FY"&amp;RIGHT(Assumptions!$L$19+BL68,2)</f>
        <v>FY68</v>
      </c>
      <c r="BM67" s="24" t="str">
        <f>"FY"&amp;RIGHT(Assumptions!$L$19+BM68,2)</f>
        <v>FY69</v>
      </c>
      <c r="BN67" s="24" t="str">
        <f>"FY"&amp;RIGHT(Assumptions!$L$19+BN68,2)</f>
        <v>FY70</v>
      </c>
      <c r="BO67" s="24" t="str">
        <f>"FY"&amp;RIGHT(Assumptions!$L$19+BO68,2)</f>
        <v>FY71</v>
      </c>
      <c r="BP67" s="24" t="str">
        <f>"FY"&amp;RIGHT(Assumptions!$L$19+BP68,2)</f>
        <v>FY72</v>
      </c>
    </row>
    <row r="68" spans="3:68" ht="10.35" customHeight="1" outlineLevel="1" x14ac:dyDescent="0.2">
      <c r="C68" s="80"/>
      <c r="D68" s="80"/>
      <c r="E68" s="80"/>
      <c r="F68" s="27" t="s">
        <v>97</v>
      </c>
      <c r="G68" s="80"/>
      <c r="H68" s="80"/>
      <c r="I68" s="80"/>
      <c r="J68" s="80"/>
      <c r="K68" s="23"/>
      <c r="L68" s="106"/>
      <c r="M68" s="107">
        <f t="shared" ref="M68:Q68" si="0">N68-1</f>
        <v>-5</v>
      </c>
      <c r="N68" s="23">
        <f t="shared" si="0"/>
        <v>-4</v>
      </c>
      <c r="O68" s="23">
        <f t="shared" si="0"/>
        <v>-3</v>
      </c>
      <c r="P68" s="23">
        <f t="shared" si="0"/>
        <v>-2</v>
      </c>
      <c r="Q68" s="23">
        <f t="shared" si="0"/>
        <v>-1</v>
      </c>
      <c r="R68" s="23">
        <v>0</v>
      </c>
      <c r="S68" s="23">
        <f t="shared" ref="S68:AX68" si="1">R68+1</f>
        <v>1</v>
      </c>
      <c r="T68" s="23">
        <f t="shared" si="1"/>
        <v>2</v>
      </c>
      <c r="U68" s="23">
        <f t="shared" si="1"/>
        <v>3</v>
      </c>
      <c r="V68" s="23">
        <f t="shared" si="1"/>
        <v>4</v>
      </c>
      <c r="W68" s="23">
        <f t="shared" si="1"/>
        <v>5</v>
      </c>
      <c r="X68" s="23">
        <f t="shared" si="1"/>
        <v>6</v>
      </c>
      <c r="Y68" s="23">
        <f t="shared" si="1"/>
        <v>7</v>
      </c>
      <c r="Z68" s="23">
        <f t="shared" si="1"/>
        <v>8</v>
      </c>
      <c r="AA68" s="23">
        <f t="shared" si="1"/>
        <v>9</v>
      </c>
      <c r="AB68" s="23">
        <f t="shared" si="1"/>
        <v>10</v>
      </c>
      <c r="AC68" s="23">
        <f t="shared" si="1"/>
        <v>11</v>
      </c>
      <c r="AD68" s="23">
        <f t="shared" si="1"/>
        <v>12</v>
      </c>
      <c r="AE68" s="23">
        <f t="shared" si="1"/>
        <v>13</v>
      </c>
      <c r="AF68" s="23">
        <f t="shared" si="1"/>
        <v>14</v>
      </c>
      <c r="AG68" s="23">
        <f t="shared" si="1"/>
        <v>15</v>
      </c>
      <c r="AH68" s="23">
        <f t="shared" si="1"/>
        <v>16</v>
      </c>
      <c r="AI68" s="23">
        <f t="shared" si="1"/>
        <v>17</v>
      </c>
      <c r="AJ68" s="23">
        <f t="shared" si="1"/>
        <v>18</v>
      </c>
      <c r="AK68" s="23">
        <f t="shared" si="1"/>
        <v>19</v>
      </c>
      <c r="AL68" s="23">
        <f t="shared" si="1"/>
        <v>20</v>
      </c>
      <c r="AM68" s="23">
        <f t="shared" si="1"/>
        <v>21</v>
      </c>
      <c r="AN68" s="23">
        <f t="shared" si="1"/>
        <v>22</v>
      </c>
      <c r="AO68" s="23">
        <f t="shared" si="1"/>
        <v>23</v>
      </c>
      <c r="AP68" s="23">
        <f t="shared" si="1"/>
        <v>24</v>
      </c>
      <c r="AQ68" s="23">
        <f t="shared" si="1"/>
        <v>25</v>
      </c>
      <c r="AR68" s="23">
        <f t="shared" si="1"/>
        <v>26</v>
      </c>
      <c r="AS68" s="23">
        <f t="shared" si="1"/>
        <v>27</v>
      </c>
      <c r="AT68" s="23">
        <f t="shared" si="1"/>
        <v>28</v>
      </c>
      <c r="AU68" s="23">
        <f t="shared" si="1"/>
        <v>29</v>
      </c>
      <c r="AV68" s="23">
        <f t="shared" si="1"/>
        <v>30</v>
      </c>
      <c r="AW68" s="23">
        <f t="shared" si="1"/>
        <v>31</v>
      </c>
      <c r="AX68" s="23">
        <f t="shared" si="1"/>
        <v>32</v>
      </c>
      <c r="AY68" s="23">
        <f t="shared" ref="AY68:BP68" si="2">AX68+1</f>
        <v>33</v>
      </c>
      <c r="AZ68" s="23">
        <f t="shared" si="2"/>
        <v>34</v>
      </c>
      <c r="BA68" s="23">
        <f t="shared" si="2"/>
        <v>35</v>
      </c>
      <c r="BB68" s="23">
        <f t="shared" si="2"/>
        <v>36</v>
      </c>
      <c r="BC68" s="23">
        <f t="shared" si="2"/>
        <v>37</v>
      </c>
      <c r="BD68" s="23">
        <f t="shared" si="2"/>
        <v>38</v>
      </c>
      <c r="BE68" s="23">
        <f t="shared" si="2"/>
        <v>39</v>
      </c>
      <c r="BF68" s="23">
        <f t="shared" si="2"/>
        <v>40</v>
      </c>
      <c r="BG68" s="23">
        <f t="shared" si="2"/>
        <v>41</v>
      </c>
      <c r="BH68" s="23">
        <f t="shared" si="2"/>
        <v>42</v>
      </c>
      <c r="BI68" s="23">
        <f t="shared" si="2"/>
        <v>43</v>
      </c>
      <c r="BJ68" s="23">
        <f t="shared" si="2"/>
        <v>44</v>
      </c>
      <c r="BK68" s="23">
        <f t="shared" si="2"/>
        <v>45</v>
      </c>
      <c r="BL68" s="23">
        <f t="shared" si="2"/>
        <v>46</v>
      </c>
      <c r="BM68" s="23">
        <f t="shared" si="2"/>
        <v>47</v>
      </c>
      <c r="BN68" s="23">
        <f t="shared" si="2"/>
        <v>48</v>
      </c>
      <c r="BO68" s="23">
        <f t="shared" si="2"/>
        <v>49</v>
      </c>
      <c r="BP68" s="23">
        <f t="shared" si="2"/>
        <v>50</v>
      </c>
    </row>
    <row r="69" spans="3:68" ht="10.35" customHeight="1" outlineLevel="1" x14ac:dyDescent="0.2">
      <c r="C69" s="10"/>
      <c r="D69" s="80"/>
      <c r="E69" s="80"/>
      <c r="F69" s="80"/>
      <c r="G69" s="80"/>
      <c r="H69" s="80"/>
      <c r="I69" s="80"/>
      <c r="J69" s="80"/>
      <c r="K69" s="80"/>
      <c r="L69" s="430"/>
      <c r="M69" s="431"/>
      <c r="N69" s="432"/>
      <c r="O69" s="432"/>
      <c r="P69" s="432"/>
      <c r="Q69" s="432"/>
      <c r="R69" s="29"/>
      <c r="S69" s="29"/>
      <c r="T69" s="29"/>
      <c r="U69" s="29"/>
      <c r="V69" s="29"/>
      <c r="W69" s="29"/>
      <c r="X69" s="29"/>
      <c r="Y69" s="29"/>
      <c r="Z69" s="29"/>
      <c r="AA69" s="29"/>
      <c r="AB69" s="29"/>
      <c r="AC69" s="29"/>
      <c r="AD69" s="29"/>
      <c r="AE69" s="29"/>
      <c r="AF69" s="29"/>
      <c r="AG69" s="29"/>
      <c r="AH69" s="29"/>
      <c r="AI69" s="29"/>
      <c r="AJ69" s="29"/>
      <c r="AK69" s="29"/>
      <c r="AL69" s="29"/>
      <c r="AM69" s="29"/>
      <c r="AN69" s="29"/>
      <c r="AO69" s="29"/>
      <c r="AP69" s="29"/>
      <c r="AQ69" s="29"/>
      <c r="AR69" s="29"/>
      <c r="AS69" s="29"/>
      <c r="AT69" s="29"/>
      <c r="AU69" s="29"/>
      <c r="AV69" s="29"/>
      <c r="AW69" s="29"/>
      <c r="AX69" s="29"/>
      <c r="AY69" s="29"/>
      <c r="AZ69" s="29"/>
      <c r="BA69" s="29"/>
      <c r="BB69" s="29"/>
      <c r="BC69" s="29"/>
      <c r="BD69" s="29"/>
      <c r="BE69" s="29"/>
      <c r="BF69" s="29"/>
      <c r="BG69" s="29"/>
      <c r="BH69" s="29"/>
      <c r="BI69" s="29"/>
      <c r="BJ69" s="29"/>
      <c r="BK69" s="29"/>
      <c r="BL69" s="29"/>
      <c r="BM69" s="29"/>
      <c r="BN69" s="29"/>
      <c r="BO69" s="29"/>
      <c r="BP69" s="29"/>
    </row>
    <row r="70" spans="3:68" ht="10.35" customHeight="1" outlineLevel="1" x14ac:dyDescent="0.2">
      <c r="C70" s="80"/>
      <c r="D70" s="99" t="s">
        <v>98</v>
      </c>
      <c r="E70" s="80"/>
      <c r="F70" s="511"/>
      <c r="G70" s="511"/>
      <c r="H70" s="511"/>
      <c r="I70" s="511"/>
      <c r="J70" s="511"/>
      <c r="K70" s="80"/>
      <c r="L70" s="412"/>
      <c r="M70" s="413"/>
      <c r="N70" s="80"/>
      <c r="O70" s="80"/>
      <c r="P70" s="80"/>
      <c r="Q70" s="80"/>
      <c r="R70" s="29">
        <f>SUM(R71:R75)</f>
        <v>0</v>
      </c>
      <c r="S70" s="29">
        <f t="shared" ref="S70:AW70" si="3">SUM(S71:S75)</f>
        <v>0</v>
      </c>
      <c r="T70" s="29">
        <f t="shared" si="3"/>
        <v>0</v>
      </c>
      <c r="U70" s="29">
        <f t="shared" si="3"/>
        <v>-2714370</v>
      </c>
      <c r="V70" s="29">
        <f t="shared" si="3"/>
        <v>-3261225</v>
      </c>
      <c r="W70" s="29">
        <f t="shared" si="3"/>
        <v>-3274476</v>
      </c>
      <c r="X70" s="29">
        <f t="shared" si="3"/>
        <v>-2730746</v>
      </c>
      <c r="Y70" s="29">
        <f t="shared" si="3"/>
        <v>-3349622</v>
      </c>
      <c r="Z70" s="29">
        <f t="shared" si="3"/>
        <v>0</v>
      </c>
      <c r="AA70" s="29">
        <f t="shared" si="3"/>
        <v>0</v>
      </c>
      <c r="AB70" s="29">
        <f t="shared" si="3"/>
        <v>0</v>
      </c>
      <c r="AC70" s="29">
        <f t="shared" si="3"/>
        <v>0</v>
      </c>
      <c r="AD70" s="29">
        <f t="shared" si="3"/>
        <v>0</v>
      </c>
      <c r="AE70" s="29">
        <f t="shared" si="3"/>
        <v>0</v>
      </c>
      <c r="AF70" s="29">
        <f t="shared" si="3"/>
        <v>0</v>
      </c>
      <c r="AG70" s="29">
        <f t="shared" si="3"/>
        <v>0</v>
      </c>
      <c r="AH70" s="29">
        <f t="shared" si="3"/>
        <v>0</v>
      </c>
      <c r="AI70" s="29">
        <f t="shared" si="3"/>
        <v>0</v>
      </c>
      <c r="AJ70" s="29">
        <f t="shared" si="3"/>
        <v>0</v>
      </c>
      <c r="AK70" s="29">
        <f t="shared" si="3"/>
        <v>0</v>
      </c>
      <c r="AL70" s="29">
        <f t="shared" si="3"/>
        <v>0</v>
      </c>
      <c r="AM70" s="29">
        <f t="shared" si="3"/>
        <v>0</v>
      </c>
      <c r="AN70" s="29">
        <f t="shared" si="3"/>
        <v>0</v>
      </c>
      <c r="AO70" s="29">
        <f t="shared" si="3"/>
        <v>0</v>
      </c>
      <c r="AP70" s="29">
        <f t="shared" si="3"/>
        <v>0</v>
      </c>
      <c r="AQ70" s="29">
        <f t="shared" si="3"/>
        <v>0</v>
      </c>
      <c r="AR70" s="29">
        <f t="shared" si="3"/>
        <v>0</v>
      </c>
      <c r="AS70" s="29">
        <f t="shared" si="3"/>
        <v>0</v>
      </c>
      <c r="AT70" s="29">
        <f t="shared" si="3"/>
        <v>0</v>
      </c>
      <c r="AU70" s="29">
        <f t="shared" si="3"/>
        <v>0</v>
      </c>
      <c r="AV70" s="29">
        <f t="shared" si="3"/>
        <v>0</v>
      </c>
      <c r="AW70" s="29">
        <f t="shared" si="3"/>
        <v>0</v>
      </c>
      <c r="AX70" s="29">
        <f t="shared" ref="AX70:BP70" si="4">SUM(AX71:AX75)</f>
        <v>0</v>
      </c>
      <c r="AY70" s="29">
        <f t="shared" si="4"/>
        <v>0</v>
      </c>
      <c r="AZ70" s="29">
        <f t="shared" si="4"/>
        <v>0</v>
      </c>
      <c r="BA70" s="29">
        <f t="shared" si="4"/>
        <v>0</v>
      </c>
      <c r="BB70" s="29">
        <f t="shared" si="4"/>
        <v>0</v>
      </c>
      <c r="BC70" s="29">
        <f t="shared" si="4"/>
        <v>0</v>
      </c>
      <c r="BD70" s="29">
        <f t="shared" si="4"/>
        <v>0</v>
      </c>
      <c r="BE70" s="29">
        <f t="shared" si="4"/>
        <v>0</v>
      </c>
      <c r="BF70" s="29">
        <f t="shared" si="4"/>
        <v>0</v>
      </c>
      <c r="BG70" s="29">
        <f t="shared" si="4"/>
        <v>0</v>
      </c>
      <c r="BH70" s="29">
        <f t="shared" si="4"/>
        <v>0</v>
      </c>
      <c r="BI70" s="29">
        <f t="shared" si="4"/>
        <v>0</v>
      </c>
      <c r="BJ70" s="29">
        <f t="shared" si="4"/>
        <v>0</v>
      </c>
      <c r="BK70" s="29">
        <f t="shared" si="4"/>
        <v>0</v>
      </c>
      <c r="BL70" s="29">
        <f t="shared" si="4"/>
        <v>0</v>
      </c>
      <c r="BM70" s="29">
        <f t="shared" si="4"/>
        <v>0</v>
      </c>
      <c r="BN70" s="29">
        <f t="shared" si="4"/>
        <v>0</v>
      </c>
      <c r="BO70" s="29">
        <f t="shared" si="4"/>
        <v>0</v>
      </c>
      <c r="BP70" s="29">
        <f t="shared" si="4"/>
        <v>0</v>
      </c>
    </row>
    <row r="71" spans="3:68" ht="10.35" customHeight="1" outlineLevel="1" x14ac:dyDescent="0.2">
      <c r="C71" s="80"/>
      <c r="D71" s="433" t="s">
        <v>99</v>
      </c>
      <c r="E71" s="432"/>
      <c r="F71" s="511"/>
      <c r="G71" s="511"/>
      <c r="H71" s="511"/>
      <c r="I71" s="511"/>
      <c r="J71" s="511"/>
      <c r="K71" s="80"/>
      <c r="L71" s="412"/>
      <c r="M71" s="413"/>
      <c r="N71" s="80"/>
      <c r="O71" s="80"/>
      <c r="P71" s="80"/>
      <c r="Q71" s="80"/>
      <c r="R71" s="28"/>
      <c r="S71" s="28"/>
      <c r="T71" s="28"/>
      <c r="U71" s="28"/>
      <c r="V71" s="28"/>
      <c r="W71" s="28"/>
      <c r="X71" s="28"/>
      <c r="Y71" s="28"/>
      <c r="Z71" s="28"/>
      <c r="AA71" s="28"/>
      <c r="AB71" s="28"/>
      <c r="AC71" s="28"/>
      <c r="AD71" s="28"/>
      <c r="AE71" s="28"/>
      <c r="AF71" s="28"/>
      <c r="AG71" s="28"/>
      <c r="AH71" s="28"/>
      <c r="AI71" s="28"/>
      <c r="AJ71" s="28"/>
      <c r="AK71" s="28"/>
      <c r="AL71" s="28"/>
      <c r="AM71" s="28"/>
      <c r="AN71" s="28"/>
      <c r="AO71" s="28"/>
      <c r="AP71" s="28"/>
      <c r="AQ71" s="28"/>
      <c r="AR71" s="28"/>
      <c r="AS71" s="28"/>
      <c r="AT71" s="28"/>
      <c r="AU71" s="28"/>
      <c r="AV71" s="28"/>
      <c r="AW71" s="28"/>
      <c r="AX71" s="28"/>
      <c r="AY71" s="28"/>
      <c r="AZ71" s="28"/>
      <c r="BA71" s="28"/>
      <c r="BB71" s="28"/>
      <c r="BC71" s="28"/>
      <c r="BD71" s="28"/>
      <c r="BE71" s="28"/>
      <c r="BF71" s="28"/>
      <c r="BG71" s="28"/>
      <c r="BH71" s="28"/>
      <c r="BI71" s="28"/>
      <c r="BJ71" s="28"/>
      <c r="BK71" s="28"/>
      <c r="BL71" s="28"/>
      <c r="BM71" s="28"/>
      <c r="BN71" s="28"/>
      <c r="BO71" s="28"/>
      <c r="BP71" s="28"/>
    </row>
    <row r="72" spans="3:68" ht="10.35" customHeight="1" outlineLevel="1" x14ac:dyDescent="0.2">
      <c r="C72" s="80"/>
      <c r="D72" s="433" t="s">
        <v>100</v>
      </c>
      <c r="E72" s="432"/>
      <c r="F72" s="511"/>
      <c r="G72" s="511"/>
      <c r="H72" s="511"/>
      <c r="I72" s="511"/>
      <c r="J72" s="511"/>
      <c r="K72" s="80"/>
      <c r="L72" s="412"/>
      <c r="M72" s="413"/>
      <c r="N72" s="80"/>
      <c r="O72" s="80"/>
      <c r="P72" s="80"/>
      <c r="Q72" s="80"/>
      <c r="R72" s="28"/>
      <c r="S72" s="28"/>
      <c r="T72" s="28"/>
      <c r="U72" s="28"/>
      <c r="V72" s="28"/>
      <c r="W72" s="28"/>
      <c r="X72" s="28"/>
      <c r="Y72" s="28"/>
      <c r="Z72" s="28"/>
      <c r="AA72" s="28"/>
      <c r="AB72" s="28"/>
      <c r="AC72" s="28"/>
      <c r="AD72" s="28"/>
      <c r="AE72" s="28"/>
      <c r="AF72" s="28"/>
      <c r="AG72" s="28"/>
      <c r="AH72" s="28"/>
      <c r="AI72" s="28"/>
      <c r="AJ72" s="28"/>
      <c r="AK72" s="28"/>
      <c r="AL72" s="28"/>
      <c r="AM72" s="28"/>
      <c r="AN72" s="28"/>
      <c r="AO72" s="28"/>
      <c r="AP72" s="28"/>
      <c r="AQ72" s="28"/>
      <c r="AR72" s="28"/>
      <c r="AS72" s="28"/>
      <c r="AT72" s="28"/>
      <c r="AU72" s="28"/>
      <c r="AV72" s="28"/>
      <c r="AW72" s="28"/>
      <c r="AX72" s="28"/>
      <c r="AY72" s="28"/>
      <c r="AZ72" s="28"/>
      <c r="BA72" s="28"/>
      <c r="BB72" s="28"/>
      <c r="BC72" s="28"/>
      <c r="BD72" s="28"/>
      <c r="BE72" s="28"/>
      <c r="BF72" s="28"/>
      <c r="BG72" s="28"/>
      <c r="BH72" s="28"/>
      <c r="BI72" s="28"/>
      <c r="BJ72" s="28"/>
      <c r="BK72" s="28"/>
      <c r="BL72" s="28"/>
      <c r="BM72" s="28"/>
      <c r="BN72" s="28"/>
      <c r="BO72" s="28"/>
      <c r="BP72" s="28"/>
    </row>
    <row r="73" spans="3:68" ht="10.35" customHeight="1" outlineLevel="1" x14ac:dyDescent="0.2">
      <c r="C73" s="80"/>
      <c r="D73" s="433" t="s">
        <v>101</v>
      </c>
      <c r="E73" s="432"/>
      <c r="F73" s="511"/>
      <c r="G73" s="511"/>
      <c r="H73" s="511"/>
      <c r="I73" s="511"/>
      <c r="J73" s="511"/>
      <c r="K73" s="80"/>
      <c r="L73" s="412"/>
      <c r="M73" s="413"/>
      <c r="N73" s="80"/>
      <c r="O73" s="80"/>
      <c r="P73" s="80"/>
      <c r="Q73" s="80"/>
      <c r="R73" s="28"/>
      <c r="S73" s="28"/>
      <c r="T73" s="28"/>
      <c r="U73" s="28"/>
      <c r="V73" s="28"/>
      <c r="W73" s="28"/>
      <c r="X73" s="28"/>
      <c r="Y73" s="28"/>
      <c r="Z73" s="28"/>
      <c r="AA73" s="28"/>
      <c r="AB73" s="28"/>
      <c r="AC73" s="28"/>
      <c r="AD73" s="28"/>
      <c r="AE73" s="28"/>
      <c r="AF73" s="28"/>
      <c r="AG73" s="28"/>
      <c r="AH73" s="28"/>
      <c r="AI73" s="28"/>
      <c r="AJ73" s="28"/>
      <c r="AK73" s="28"/>
      <c r="AL73" s="28"/>
      <c r="AM73" s="28"/>
      <c r="AN73" s="28"/>
      <c r="AO73" s="28"/>
      <c r="AP73" s="28"/>
      <c r="AQ73" s="28"/>
      <c r="AR73" s="28"/>
      <c r="AS73" s="28"/>
      <c r="AT73" s="28"/>
      <c r="AU73" s="28"/>
      <c r="AV73" s="28"/>
      <c r="AW73" s="28"/>
      <c r="AX73" s="28"/>
      <c r="AY73" s="28"/>
      <c r="AZ73" s="28"/>
      <c r="BA73" s="28"/>
      <c r="BB73" s="28"/>
      <c r="BC73" s="28"/>
      <c r="BD73" s="28"/>
      <c r="BE73" s="28"/>
      <c r="BF73" s="28"/>
      <c r="BG73" s="28"/>
      <c r="BH73" s="28"/>
      <c r="BI73" s="28"/>
      <c r="BJ73" s="28"/>
      <c r="BK73" s="28"/>
      <c r="BL73" s="28"/>
      <c r="BM73" s="28"/>
      <c r="BN73" s="28"/>
      <c r="BO73" s="28"/>
      <c r="BP73" s="28"/>
    </row>
    <row r="74" spans="3:68" ht="10.35" customHeight="1" outlineLevel="1" x14ac:dyDescent="0.2">
      <c r="C74" s="80"/>
      <c r="D74" s="433" t="s">
        <v>102</v>
      </c>
      <c r="E74" s="432"/>
      <c r="F74" s="511"/>
      <c r="G74" s="511"/>
      <c r="H74" s="511"/>
      <c r="I74" s="511"/>
      <c r="J74" s="511"/>
      <c r="K74" s="80"/>
      <c r="L74" s="412"/>
      <c r="M74" s="413"/>
      <c r="N74" s="80"/>
      <c r="O74" s="80"/>
      <c r="P74" s="80"/>
      <c r="Q74" s="80"/>
      <c r="R74" s="28"/>
      <c r="S74" s="28"/>
      <c r="T74" s="28"/>
      <c r="U74" s="28"/>
      <c r="V74" s="28"/>
      <c r="W74" s="28"/>
      <c r="X74" s="28"/>
      <c r="Y74" s="28"/>
      <c r="Z74" s="28"/>
      <c r="AA74" s="28"/>
      <c r="AB74" s="28"/>
      <c r="AC74" s="28"/>
      <c r="AD74" s="28"/>
      <c r="AE74" s="28"/>
      <c r="AF74" s="28"/>
      <c r="AG74" s="28"/>
      <c r="AH74" s="28"/>
      <c r="AI74" s="28"/>
      <c r="AJ74" s="28"/>
      <c r="AK74" s="28"/>
      <c r="AL74" s="28"/>
      <c r="AM74" s="28"/>
      <c r="AN74" s="28"/>
      <c r="AO74" s="28"/>
      <c r="AP74" s="28"/>
      <c r="AQ74" s="28"/>
      <c r="AR74" s="28"/>
      <c r="AS74" s="28"/>
      <c r="AT74" s="28"/>
      <c r="AU74" s="28"/>
      <c r="AV74" s="28"/>
      <c r="AW74" s="28"/>
      <c r="AX74" s="28"/>
      <c r="AY74" s="28"/>
      <c r="AZ74" s="28"/>
      <c r="BA74" s="28"/>
      <c r="BB74" s="28"/>
      <c r="BC74" s="28"/>
      <c r="BD74" s="28"/>
      <c r="BE74" s="28"/>
      <c r="BF74" s="28"/>
      <c r="BG74" s="28"/>
      <c r="BH74" s="28"/>
      <c r="BI74" s="28"/>
      <c r="BJ74" s="28"/>
      <c r="BK74" s="28"/>
      <c r="BL74" s="28"/>
      <c r="BM74" s="28"/>
      <c r="BN74" s="28"/>
      <c r="BO74" s="28"/>
      <c r="BP74" s="28"/>
    </row>
    <row r="75" spans="3:68" ht="10.35" customHeight="1" outlineLevel="1" x14ac:dyDescent="0.2">
      <c r="C75" s="80"/>
      <c r="D75" s="433" t="s">
        <v>103</v>
      </c>
      <c r="E75" s="432"/>
      <c r="F75" s="512" t="s">
        <v>104</v>
      </c>
      <c r="G75" s="512"/>
      <c r="H75" s="512"/>
      <c r="I75" s="512"/>
      <c r="J75" s="512"/>
      <c r="K75" s="80"/>
      <c r="L75" s="412"/>
      <c r="M75" s="413"/>
      <c r="N75" s="80"/>
      <c r="O75" s="80"/>
      <c r="P75" s="80"/>
      <c r="Q75" s="80"/>
      <c r="R75" s="28">
        <f>QuickCalc!E22</f>
        <v>0</v>
      </c>
      <c r="S75" s="28">
        <f>QuickCalc!F22</f>
        <v>0</v>
      </c>
      <c r="T75" s="28">
        <f>QuickCalc!G22</f>
        <v>0</v>
      </c>
      <c r="U75" s="28">
        <f>QuickCalc!H22</f>
        <v>-2714370</v>
      </c>
      <c r="V75" s="28">
        <f>QuickCalc!I22</f>
        <v>-3261225</v>
      </c>
      <c r="W75" s="28">
        <f>QuickCalc!J22</f>
        <v>-3274476</v>
      </c>
      <c r="X75" s="28">
        <f>QuickCalc!K22</f>
        <v>-2730746</v>
      </c>
      <c r="Y75" s="28">
        <f>QuickCalc!L22</f>
        <v>-3349622</v>
      </c>
      <c r="Z75" s="28">
        <f>QuickCalc!M22</f>
        <v>0</v>
      </c>
      <c r="AA75" s="28">
        <f>QuickCalc!N22</f>
        <v>0</v>
      </c>
      <c r="AB75" s="28">
        <f>QuickCalc!O22</f>
        <v>0</v>
      </c>
      <c r="AC75" s="28">
        <f>QuickCalc!P22</f>
        <v>0</v>
      </c>
      <c r="AD75" s="28">
        <f>QuickCalc!Q22</f>
        <v>0</v>
      </c>
      <c r="AE75" s="28">
        <f>QuickCalc!R22</f>
        <v>0</v>
      </c>
      <c r="AF75" s="28">
        <f>QuickCalc!S22</f>
        <v>0</v>
      </c>
      <c r="AG75" s="28">
        <f>QuickCalc!T22</f>
        <v>0</v>
      </c>
      <c r="AH75" s="28">
        <f>QuickCalc!U22</f>
        <v>0</v>
      </c>
      <c r="AI75" s="28">
        <f>QuickCalc!V22</f>
        <v>0</v>
      </c>
      <c r="AJ75" s="28">
        <f>QuickCalc!W22</f>
        <v>0</v>
      </c>
      <c r="AK75" s="28">
        <f>QuickCalc!X22</f>
        <v>0</v>
      </c>
      <c r="AL75" s="28">
        <f>QuickCalc!Y22</f>
        <v>0</v>
      </c>
      <c r="AM75" s="28">
        <f>QuickCalc!Z22</f>
        <v>0</v>
      </c>
      <c r="AN75" s="28">
        <f>QuickCalc!AA22</f>
        <v>0</v>
      </c>
      <c r="AO75" s="28">
        <f>QuickCalc!AB22</f>
        <v>0</v>
      </c>
      <c r="AP75" s="28">
        <f>QuickCalc!AC22</f>
        <v>0</v>
      </c>
      <c r="AQ75" s="28">
        <f>QuickCalc!AD22</f>
        <v>0</v>
      </c>
      <c r="AR75" s="28">
        <f>QuickCalc!AE22</f>
        <v>0</v>
      </c>
      <c r="AS75" s="28">
        <f>QuickCalc!AF22</f>
        <v>0</v>
      </c>
      <c r="AT75" s="28">
        <f>QuickCalc!AG22</f>
        <v>0</v>
      </c>
      <c r="AU75" s="28">
        <f>QuickCalc!AH22</f>
        <v>0</v>
      </c>
      <c r="AV75" s="28">
        <f>QuickCalc!AI22</f>
        <v>0</v>
      </c>
      <c r="AW75" s="28">
        <f>QuickCalc!AJ22</f>
        <v>0</v>
      </c>
      <c r="AX75" s="28">
        <f>QuickCalc!AK22</f>
        <v>0</v>
      </c>
      <c r="AY75" s="28">
        <f>QuickCalc!AL22</f>
        <v>0</v>
      </c>
      <c r="AZ75" s="28">
        <f>QuickCalc!AM22</f>
        <v>0</v>
      </c>
      <c r="BA75" s="28">
        <f>QuickCalc!AN22</f>
        <v>0</v>
      </c>
      <c r="BB75" s="28">
        <f>QuickCalc!AO22</f>
        <v>0</v>
      </c>
      <c r="BC75" s="28">
        <f>QuickCalc!AP22</f>
        <v>0</v>
      </c>
      <c r="BD75" s="28">
        <f>QuickCalc!AQ22</f>
        <v>0</v>
      </c>
      <c r="BE75" s="28">
        <f>QuickCalc!AR22</f>
        <v>0</v>
      </c>
      <c r="BF75" s="28">
        <f>QuickCalc!AS22</f>
        <v>0</v>
      </c>
      <c r="BG75" s="28">
        <f>QuickCalc!AT22</f>
        <v>0</v>
      </c>
      <c r="BH75" s="28">
        <f>QuickCalc!AU22</f>
        <v>0</v>
      </c>
      <c r="BI75" s="28">
        <f>QuickCalc!AV22</f>
        <v>0</v>
      </c>
      <c r="BJ75" s="28">
        <f>QuickCalc!AW22</f>
        <v>0</v>
      </c>
      <c r="BK75" s="28">
        <f>QuickCalc!AX22</f>
        <v>0</v>
      </c>
      <c r="BL75" s="28">
        <f>QuickCalc!AY22</f>
        <v>0</v>
      </c>
      <c r="BM75" s="28">
        <f>QuickCalc!AZ22</f>
        <v>0</v>
      </c>
      <c r="BN75" s="28">
        <f>QuickCalc!BA22</f>
        <v>0</v>
      </c>
      <c r="BO75" s="28">
        <f>QuickCalc!BB22</f>
        <v>0</v>
      </c>
      <c r="BP75" s="28">
        <f>QuickCalc!BC22</f>
        <v>0</v>
      </c>
    </row>
    <row r="76" spans="3:68" ht="10.35" customHeight="1" outlineLevel="1" x14ac:dyDescent="0.2">
      <c r="C76" s="80"/>
      <c r="D76" s="434"/>
      <c r="E76" s="432"/>
      <c r="F76" s="83"/>
      <c r="G76" s="83"/>
      <c r="H76" s="83"/>
      <c r="I76" s="83"/>
      <c r="J76" s="83"/>
      <c r="K76" s="80"/>
      <c r="L76" s="412"/>
      <c r="M76" s="413"/>
      <c r="N76" s="80"/>
      <c r="O76" s="80"/>
      <c r="P76" s="80"/>
      <c r="Q76" s="80"/>
      <c r="R76" s="29"/>
      <c r="S76" s="29"/>
      <c r="T76" s="29"/>
      <c r="U76" s="29"/>
      <c r="V76" s="29"/>
      <c r="W76" s="29"/>
      <c r="X76" s="29"/>
      <c r="Y76" s="29"/>
      <c r="Z76" s="29"/>
      <c r="AA76" s="29"/>
      <c r="AB76" s="29"/>
      <c r="AC76" s="29"/>
      <c r="AD76" s="29"/>
      <c r="AE76" s="29"/>
      <c r="AF76" s="29"/>
      <c r="AG76" s="29"/>
      <c r="AH76" s="29"/>
      <c r="AI76" s="29"/>
      <c r="AJ76" s="29"/>
      <c r="AK76" s="29"/>
      <c r="AL76" s="29"/>
      <c r="AM76" s="29"/>
      <c r="AN76" s="29"/>
      <c r="AO76" s="29"/>
      <c r="AP76" s="29"/>
      <c r="AQ76" s="29"/>
      <c r="AR76" s="29"/>
      <c r="AS76" s="29"/>
      <c r="AT76" s="29"/>
      <c r="AU76" s="29"/>
      <c r="AV76" s="29"/>
      <c r="AW76" s="29"/>
      <c r="AX76" s="29"/>
      <c r="AY76" s="29"/>
      <c r="AZ76" s="29"/>
      <c r="BA76" s="29"/>
      <c r="BB76" s="29"/>
      <c r="BC76" s="29"/>
      <c r="BD76" s="29"/>
      <c r="BE76" s="29"/>
      <c r="BF76" s="29"/>
      <c r="BG76" s="29"/>
      <c r="BH76" s="29"/>
      <c r="BI76" s="29"/>
      <c r="BJ76" s="29"/>
      <c r="BK76" s="29"/>
      <c r="BL76" s="29"/>
      <c r="BM76" s="29"/>
      <c r="BN76" s="29"/>
      <c r="BO76" s="29"/>
      <c r="BP76" s="29"/>
    </row>
    <row r="77" spans="3:68" ht="10.35" customHeight="1" outlineLevel="1" x14ac:dyDescent="0.2">
      <c r="C77" s="80"/>
      <c r="D77" s="99" t="s">
        <v>105</v>
      </c>
      <c r="E77" s="80"/>
      <c r="F77" s="511"/>
      <c r="G77" s="511"/>
      <c r="H77" s="511"/>
      <c r="I77" s="511"/>
      <c r="J77" s="511"/>
      <c r="K77" s="80"/>
      <c r="L77" s="412"/>
      <c r="M77" s="413"/>
      <c r="N77" s="80"/>
      <c r="O77" s="80"/>
      <c r="P77" s="80"/>
      <c r="Q77" s="80"/>
      <c r="R77" s="29">
        <f t="shared" ref="R77:AW77" si="5">SUM(R78:R82)</f>
        <v>0</v>
      </c>
      <c r="S77" s="29">
        <f t="shared" si="5"/>
        <v>0</v>
      </c>
      <c r="T77" s="29">
        <f t="shared" si="5"/>
        <v>0</v>
      </c>
      <c r="U77" s="29">
        <f t="shared" si="5"/>
        <v>0</v>
      </c>
      <c r="V77" s="29">
        <f t="shared" si="5"/>
        <v>0</v>
      </c>
      <c r="W77" s="29">
        <f t="shared" si="5"/>
        <v>0</v>
      </c>
      <c r="X77" s="29">
        <f t="shared" si="5"/>
        <v>0</v>
      </c>
      <c r="Y77" s="29">
        <f t="shared" si="5"/>
        <v>0</v>
      </c>
      <c r="Z77" s="29">
        <f t="shared" si="5"/>
        <v>0</v>
      </c>
      <c r="AA77" s="29">
        <f t="shared" si="5"/>
        <v>0</v>
      </c>
      <c r="AB77" s="29">
        <f t="shared" si="5"/>
        <v>0</v>
      </c>
      <c r="AC77" s="29">
        <f t="shared" si="5"/>
        <v>0</v>
      </c>
      <c r="AD77" s="29">
        <f t="shared" si="5"/>
        <v>0</v>
      </c>
      <c r="AE77" s="29">
        <f t="shared" si="5"/>
        <v>0</v>
      </c>
      <c r="AF77" s="29">
        <f t="shared" si="5"/>
        <v>0</v>
      </c>
      <c r="AG77" s="29">
        <f t="shared" si="5"/>
        <v>0</v>
      </c>
      <c r="AH77" s="29">
        <f t="shared" si="5"/>
        <v>0</v>
      </c>
      <c r="AI77" s="29">
        <f t="shared" si="5"/>
        <v>0</v>
      </c>
      <c r="AJ77" s="29">
        <f t="shared" si="5"/>
        <v>0</v>
      </c>
      <c r="AK77" s="29">
        <f t="shared" si="5"/>
        <v>0</v>
      </c>
      <c r="AL77" s="29">
        <f t="shared" si="5"/>
        <v>0</v>
      </c>
      <c r="AM77" s="29">
        <f t="shared" si="5"/>
        <v>0</v>
      </c>
      <c r="AN77" s="29">
        <f t="shared" si="5"/>
        <v>0</v>
      </c>
      <c r="AO77" s="29">
        <f t="shared" si="5"/>
        <v>0</v>
      </c>
      <c r="AP77" s="29">
        <f t="shared" si="5"/>
        <v>0</v>
      </c>
      <c r="AQ77" s="29">
        <f t="shared" si="5"/>
        <v>0</v>
      </c>
      <c r="AR77" s="29">
        <f t="shared" si="5"/>
        <v>0</v>
      </c>
      <c r="AS77" s="29">
        <f t="shared" si="5"/>
        <v>0</v>
      </c>
      <c r="AT77" s="29">
        <f t="shared" si="5"/>
        <v>0</v>
      </c>
      <c r="AU77" s="29">
        <f t="shared" si="5"/>
        <v>0</v>
      </c>
      <c r="AV77" s="29">
        <f t="shared" si="5"/>
        <v>0</v>
      </c>
      <c r="AW77" s="29">
        <f t="shared" si="5"/>
        <v>0</v>
      </c>
      <c r="AX77" s="29">
        <f t="shared" ref="AX77:BP77" si="6">SUM(AX78:AX82)</f>
        <v>0</v>
      </c>
      <c r="AY77" s="29">
        <f t="shared" si="6"/>
        <v>0</v>
      </c>
      <c r="AZ77" s="29">
        <f t="shared" si="6"/>
        <v>0</v>
      </c>
      <c r="BA77" s="29">
        <f t="shared" si="6"/>
        <v>0</v>
      </c>
      <c r="BB77" s="29">
        <f t="shared" si="6"/>
        <v>0</v>
      </c>
      <c r="BC77" s="29">
        <f t="shared" si="6"/>
        <v>0</v>
      </c>
      <c r="BD77" s="29">
        <f t="shared" si="6"/>
        <v>0</v>
      </c>
      <c r="BE77" s="29">
        <f t="shared" si="6"/>
        <v>0</v>
      </c>
      <c r="BF77" s="29">
        <f t="shared" si="6"/>
        <v>0</v>
      </c>
      <c r="BG77" s="29">
        <f t="shared" si="6"/>
        <v>0</v>
      </c>
      <c r="BH77" s="29">
        <f t="shared" si="6"/>
        <v>0</v>
      </c>
      <c r="BI77" s="29">
        <f t="shared" si="6"/>
        <v>0</v>
      </c>
      <c r="BJ77" s="29">
        <f t="shared" si="6"/>
        <v>0</v>
      </c>
      <c r="BK77" s="29">
        <f t="shared" si="6"/>
        <v>0</v>
      </c>
      <c r="BL77" s="29">
        <f t="shared" si="6"/>
        <v>0</v>
      </c>
      <c r="BM77" s="29">
        <f t="shared" si="6"/>
        <v>0</v>
      </c>
      <c r="BN77" s="29">
        <f t="shared" si="6"/>
        <v>0</v>
      </c>
      <c r="BO77" s="29">
        <f t="shared" si="6"/>
        <v>0</v>
      </c>
      <c r="BP77" s="29">
        <f t="shared" si="6"/>
        <v>0</v>
      </c>
    </row>
    <row r="78" spans="3:68" ht="10.35" customHeight="1" outlineLevel="1" x14ac:dyDescent="0.2">
      <c r="C78" s="80"/>
      <c r="D78" s="433" t="s">
        <v>99</v>
      </c>
      <c r="E78" s="432"/>
      <c r="F78" s="511"/>
      <c r="G78" s="511"/>
      <c r="H78" s="511"/>
      <c r="I78" s="511"/>
      <c r="J78" s="511"/>
      <c r="K78" s="80"/>
      <c r="L78" s="412"/>
      <c r="M78" s="413"/>
      <c r="N78" s="80"/>
      <c r="O78" s="80"/>
      <c r="P78" s="80"/>
      <c r="Q78" s="80"/>
      <c r="R78" s="28"/>
      <c r="S78" s="28"/>
      <c r="T78" s="28"/>
      <c r="U78" s="28"/>
      <c r="V78" s="28"/>
      <c r="W78" s="28"/>
      <c r="X78" s="28"/>
      <c r="Y78" s="28"/>
      <c r="Z78" s="28"/>
      <c r="AA78" s="28"/>
      <c r="AB78" s="28"/>
      <c r="AC78" s="28"/>
      <c r="AD78" s="28"/>
      <c r="AE78" s="28"/>
      <c r="AF78" s="28"/>
      <c r="AG78" s="28"/>
      <c r="AH78" s="28"/>
      <c r="AI78" s="28"/>
      <c r="AJ78" s="28"/>
      <c r="AK78" s="28"/>
      <c r="AL78" s="28"/>
      <c r="AM78" s="28"/>
      <c r="AN78" s="28"/>
      <c r="AO78" s="28"/>
      <c r="AP78" s="28"/>
      <c r="AQ78" s="28"/>
      <c r="AR78" s="28"/>
      <c r="AS78" s="28"/>
      <c r="AT78" s="28"/>
      <c r="AU78" s="28"/>
      <c r="AV78" s="28"/>
      <c r="AW78" s="28"/>
      <c r="AX78" s="28"/>
      <c r="AY78" s="28"/>
      <c r="AZ78" s="28"/>
      <c r="BA78" s="28"/>
      <c r="BB78" s="28"/>
      <c r="BC78" s="28"/>
      <c r="BD78" s="28"/>
      <c r="BE78" s="28"/>
      <c r="BF78" s="28"/>
      <c r="BG78" s="28"/>
      <c r="BH78" s="28"/>
      <c r="BI78" s="28"/>
      <c r="BJ78" s="28"/>
      <c r="BK78" s="28"/>
      <c r="BL78" s="28"/>
      <c r="BM78" s="28"/>
      <c r="BN78" s="28"/>
      <c r="BO78" s="28"/>
      <c r="BP78" s="28"/>
    </row>
    <row r="79" spans="3:68" ht="10.35" customHeight="1" outlineLevel="1" x14ac:dyDescent="0.2">
      <c r="C79" s="80"/>
      <c r="D79" s="433" t="s">
        <v>100</v>
      </c>
      <c r="E79" s="432"/>
      <c r="F79" s="511"/>
      <c r="G79" s="511"/>
      <c r="H79" s="511"/>
      <c r="I79" s="511"/>
      <c r="J79" s="511"/>
      <c r="K79" s="80"/>
      <c r="L79" s="412"/>
      <c r="M79" s="413"/>
      <c r="N79" s="80"/>
      <c r="O79" s="80"/>
      <c r="P79" s="80"/>
      <c r="Q79" s="80"/>
      <c r="R79" s="28"/>
      <c r="S79" s="28"/>
      <c r="T79" s="28"/>
      <c r="U79" s="28"/>
      <c r="V79" s="28"/>
      <c r="W79" s="28"/>
      <c r="X79" s="28"/>
      <c r="Y79" s="28"/>
      <c r="Z79" s="28"/>
      <c r="AA79" s="28"/>
      <c r="AB79" s="28"/>
      <c r="AC79" s="28"/>
      <c r="AD79" s="28"/>
      <c r="AE79" s="28"/>
      <c r="AF79" s="28"/>
      <c r="AG79" s="28"/>
      <c r="AH79" s="28"/>
      <c r="AI79" s="28"/>
      <c r="AJ79" s="28"/>
      <c r="AK79" s="28"/>
      <c r="AL79" s="28"/>
      <c r="AM79" s="28"/>
      <c r="AN79" s="28"/>
      <c r="AO79" s="28"/>
      <c r="AP79" s="28"/>
      <c r="AQ79" s="28"/>
      <c r="AR79" s="28"/>
      <c r="AS79" s="28"/>
      <c r="AT79" s="28"/>
      <c r="AU79" s="28"/>
      <c r="AV79" s="28"/>
      <c r="AW79" s="28"/>
      <c r="AX79" s="28"/>
      <c r="AY79" s="28"/>
      <c r="AZ79" s="28"/>
      <c r="BA79" s="28"/>
      <c r="BB79" s="28"/>
      <c r="BC79" s="28"/>
      <c r="BD79" s="28"/>
      <c r="BE79" s="28"/>
      <c r="BF79" s="28"/>
      <c r="BG79" s="28"/>
      <c r="BH79" s="28"/>
      <c r="BI79" s="28"/>
      <c r="BJ79" s="28"/>
      <c r="BK79" s="28"/>
      <c r="BL79" s="28"/>
      <c r="BM79" s="28"/>
      <c r="BN79" s="28"/>
      <c r="BO79" s="28"/>
      <c r="BP79" s="28"/>
    </row>
    <row r="80" spans="3:68" ht="10.35" customHeight="1" outlineLevel="1" x14ac:dyDescent="0.2">
      <c r="C80" s="80"/>
      <c r="D80" s="433" t="s">
        <v>101</v>
      </c>
      <c r="E80" s="432"/>
      <c r="F80" s="511"/>
      <c r="G80" s="511"/>
      <c r="H80" s="511"/>
      <c r="I80" s="511"/>
      <c r="J80" s="511"/>
      <c r="K80" s="80"/>
      <c r="L80" s="412"/>
      <c r="M80" s="413"/>
      <c r="N80" s="80"/>
      <c r="O80" s="80"/>
      <c r="P80" s="80"/>
      <c r="Q80" s="80"/>
      <c r="R80" s="28"/>
      <c r="S80" s="28"/>
      <c r="T80" s="28"/>
      <c r="U80" s="28"/>
      <c r="V80" s="28"/>
      <c r="W80" s="28"/>
      <c r="X80" s="28"/>
      <c r="Y80" s="28"/>
      <c r="Z80" s="28"/>
      <c r="AA80" s="28"/>
      <c r="AB80" s="28"/>
      <c r="AC80" s="28"/>
      <c r="AD80" s="28"/>
      <c r="AE80" s="28"/>
      <c r="AF80" s="28"/>
      <c r="AG80" s="28"/>
      <c r="AH80" s="28"/>
      <c r="AI80" s="28"/>
      <c r="AJ80" s="28"/>
      <c r="AK80" s="28"/>
      <c r="AL80" s="28"/>
      <c r="AM80" s="28"/>
      <c r="AN80" s="28"/>
      <c r="AO80" s="28"/>
      <c r="AP80" s="28"/>
      <c r="AQ80" s="28"/>
      <c r="AR80" s="28"/>
      <c r="AS80" s="28"/>
      <c r="AT80" s="28"/>
      <c r="AU80" s="28"/>
      <c r="AV80" s="28"/>
      <c r="AW80" s="28"/>
      <c r="AX80" s="28"/>
      <c r="AY80" s="28"/>
      <c r="AZ80" s="28"/>
      <c r="BA80" s="28"/>
      <c r="BB80" s="28"/>
      <c r="BC80" s="28"/>
      <c r="BD80" s="28"/>
      <c r="BE80" s="28"/>
      <c r="BF80" s="28"/>
      <c r="BG80" s="28"/>
      <c r="BH80" s="28"/>
      <c r="BI80" s="28"/>
      <c r="BJ80" s="28"/>
      <c r="BK80" s="28"/>
      <c r="BL80" s="28"/>
      <c r="BM80" s="28"/>
      <c r="BN80" s="28"/>
      <c r="BO80" s="28"/>
      <c r="BP80" s="28"/>
    </row>
    <row r="81" spans="4:68" ht="10.35" customHeight="1" outlineLevel="1" x14ac:dyDescent="0.2">
      <c r="D81" s="433" t="s">
        <v>102</v>
      </c>
      <c r="E81" s="432"/>
      <c r="F81" s="511"/>
      <c r="G81" s="511"/>
      <c r="H81" s="511"/>
      <c r="I81" s="511"/>
      <c r="J81" s="511"/>
      <c r="K81" s="80"/>
      <c r="L81" s="412"/>
      <c r="M81" s="413"/>
      <c r="N81" s="80"/>
      <c r="O81" s="80"/>
      <c r="P81" s="80"/>
      <c r="Q81" s="80"/>
      <c r="R81" s="28"/>
      <c r="S81" s="28"/>
      <c r="T81" s="28"/>
      <c r="U81" s="28"/>
      <c r="V81" s="28"/>
      <c r="W81" s="28"/>
      <c r="X81" s="28"/>
      <c r="Y81" s="28"/>
      <c r="Z81" s="28"/>
      <c r="AA81" s="28"/>
      <c r="AB81" s="28"/>
      <c r="AC81" s="28"/>
      <c r="AD81" s="28"/>
      <c r="AE81" s="28"/>
      <c r="AF81" s="28"/>
      <c r="AG81" s="28"/>
      <c r="AH81" s="28"/>
      <c r="AI81" s="28"/>
      <c r="AJ81" s="28"/>
      <c r="AK81" s="28"/>
      <c r="AL81" s="28"/>
      <c r="AM81" s="28"/>
      <c r="AN81" s="28"/>
      <c r="AO81" s="28"/>
      <c r="AP81" s="28"/>
      <c r="AQ81" s="28"/>
      <c r="AR81" s="28"/>
      <c r="AS81" s="28"/>
      <c r="AT81" s="28"/>
      <c r="AU81" s="28"/>
      <c r="AV81" s="28"/>
      <c r="AW81" s="28"/>
      <c r="AX81" s="28"/>
      <c r="AY81" s="28"/>
      <c r="AZ81" s="28"/>
      <c r="BA81" s="28"/>
      <c r="BB81" s="28"/>
      <c r="BC81" s="28"/>
      <c r="BD81" s="28"/>
      <c r="BE81" s="28"/>
      <c r="BF81" s="28"/>
      <c r="BG81" s="28"/>
      <c r="BH81" s="28"/>
      <c r="BI81" s="28"/>
      <c r="BJ81" s="28"/>
      <c r="BK81" s="28"/>
      <c r="BL81" s="28"/>
      <c r="BM81" s="28"/>
      <c r="BN81" s="28"/>
      <c r="BO81" s="28"/>
      <c r="BP81" s="28"/>
    </row>
    <row r="82" spans="4:68" ht="10.35" customHeight="1" outlineLevel="1" x14ac:dyDescent="0.2">
      <c r="D82" s="433" t="s">
        <v>103</v>
      </c>
      <c r="E82" s="432"/>
      <c r="F82" s="511"/>
      <c r="G82" s="511"/>
      <c r="H82" s="511"/>
      <c r="I82" s="511"/>
      <c r="J82" s="511"/>
      <c r="K82" s="80"/>
      <c r="L82" s="412"/>
      <c r="M82" s="413"/>
      <c r="N82" s="80"/>
      <c r="O82" s="80"/>
      <c r="P82" s="80"/>
      <c r="Q82" s="80"/>
      <c r="R82" s="28"/>
      <c r="S82" s="28"/>
      <c r="T82" s="28"/>
      <c r="U82" s="28"/>
      <c r="V82" s="28"/>
      <c r="W82" s="28"/>
      <c r="X82" s="28"/>
      <c r="Y82" s="28"/>
      <c r="Z82" s="28"/>
      <c r="AA82" s="28"/>
      <c r="AB82" s="28"/>
      <c r="AC82" s="28"/>
      <c r="AD82" s="28"/>
      <c r="AE82" s="28"/>
      <c r="AF82" s="28"/>
      <c r="AG82" s="28"/>
      <c r="AH82" s="28"/>
      <c r="AI82" s="28"/>
      <c r="AJ82" s="28"/>
      <c r="AK82" s="28"/>
      <c r="AL82" s="28"/>
      <c r="AM82" s="28"/>
      <c r="AN82" s="28"/>
      <c r="AO82" s="28"/>
      <c r="AP82" s="28"/>
      <c r="AQ82" s="28"/>
      <c r="AR82" s="28"/>
      <c r="AS82" s="28"/>
      <c r="AT82" s="28"/>
      <c r="AU82" s="28"/>
      <c r="AV82" s="28"/>
      <c r="AW82" s="28"/>
      <c r="AX82" s="28"/>
      <c r="AY82" s="28"/>
      <c r="AZ82" s="28"/>
      <c r="BA82" s="28"/>
      <c r="BB82" s="28"/>
      <c r="BC82" s="28"/>
      <c r="BD82" s="28"/>
      <c r="BE82" s="28"/>
      <c r="BF82" s="28"/>
      <c r="BG82" s="28"/>
      <c r="BH82" s="28"/>
      <c r="BI82" s="28"/>
      <c r="BJ82" s="28"/>
      <c r="BK82" s="28"/>
      <c r="BL82" s="28"/>
      <c r="BM82" s="28"/>
      <c r="BN82" s="28"/>
      <c r="BO82" s="28"/>
      <c r="BP82" s="28"/>
    </row>
    <row r="83" spans="4:68" ht="10.35" customHeight="1" outlineLevel="1" x14ac:dyDescent="0.2">
      <c r="D83" s="434"/>
      <c r="E83" s="432"/>
      <c r="F83" s="83"/>
      <c r="G83" s="83"/>
      <c r="H83" s="83"/>
      <c r="I83" s="83"/>
      <c r="J83" s="83"/>
      <c r="K83" s="80"/>
      <c r="L83" s="412"/>
      <c r="M83" s="413"/>
      <c r="N83" s="80"/>
      <c r="O83" s="80"/>
      <c r="P83" s="80"/>
      <c r="Q83" s="80"/>
      <c r="R83" s="29"/>
      <c r="S83" s="29"/>
      <c r="T83" s="29"/>
      <c r="U83" s="29"/>
      <c r="V83" s="29"/>
      <c r="W83" s="29"/>
      <c r="X83" s="29"/>
      <c r="Y83" s="29"/>
      <c r="Z83" s="29"/>
      <c r="AA83" s="29"/>
      <c r="AB83" s="29"/>
      <c r="AC83" s="29"/>
      <c r="AD83" s="29"/>
      <c r="AE83" s="29"/>
      <c r="AF83" s="29"/>
      <c r="AG83" s="29"/>
      <c r="AH83" s="29"/>
      <c r="AI83" s="29"/>
      <c r="AJ83" s="29"/>
      <c r="AK83" s="29"/>
      <c r="AL83" s="29"/>
      <c r="AM83" s="29"/>
      <c r="AN83" s="29"/>
      <c r="AO83" s="29"/>
      <c r="AP83" s="29"/>
      <c r="AQ83" s="29"/>
      <c r="AR83" s="29"/>
      <c r="AS83" s="29"/>
      <c r="AT83" s="29"/>
      <c r="AU83" s="29"/>
      <c r="AV83" s="29"/>
      <c r="AW83" s="29"/>
      <c r="AX83" s="29"/>
      <c r="AY83" s="29"/>
      <c r="AZ83" s="29"/>
      <c r="BA83" s="29"/>
      <c r="BB83" s="29"/>
      <c r="BC83" s="29"/>
      <c r="BD83" s="29"/>
      <c r="BE83" s="29"/>
      <c r="BF83" s="29"/>
      <c r="BG83" s="29"/>
      <c r="BH83" s="29"/>
      <c r="BI83" s="29"/>
      <c r="BJ83" s="29"/>
      <c r="BK83" s="29"/>
      <c r="BL83" s="29"/>
      <c r="BM83" s="29"/>
      <c r="BN83" s="29"/>
      <c r="BO83" s="29"/>
      <c r="BP83" s="29"/>
    </row>
    <row r="84" spans="4:68" ht="10.35" customHeight="1" outlineLevel="1" x14ac:dyDescent="0.2">
      <c r="D84" s="99" t="s">
        <v>106</v>
      </c>
      <c r="E84" s="80"/>
      <c r="F84" s="511"/>
      <c r="G84" s="511"/>
      <c r="H84" s="511"/>
      <c r="I84" s="511"/>
      <c r="J84" s="511"/>
      <c r="K84" s="80"/>
      <c r="L84" s="412"/>
      <c r="M84" s="413"/>
      <c r="N84" s="80"/>
      <c r="O84" s="80"/>
      <c r="P84" s="80"/>
      <c r="Q84" s="80"/>
      <c r="R84" s="29">
        <f t="shared" ref="R84:AW84" si="7">SUM(R85:R89)</f>
        <v>0</v>
      </c>
      <c r="S84" s="29">
        <f t="shared" si="7"/>
        <v>0</v>
      </c>
      <c r="T84" s="29">
        <f t="shared" si="7"/>
        <v>0</v>
      </c>
      <c r="U84" s="29">
        <f t="shared" si="7"/>
        <v>0</v>
      </c>
      <c r="V84" s="29">
        <f t="shared" si="7"/>
        <v>0</v>
      </c>
      <c r="W84" s="29">
        <f t="shared" si="7"/>
        <v>0</v>
      </c>
      <c r="X84" s="29">
        <f t="shared" si="7"/>
        <v>0</v>
      </c>
      <c r="Y84" s="29">
        <f t="shared" si="7"/>
        <v>0</v>
      </c>
      <c r="Z84" s="29">
        <f t="shared" si="7"/>
        <v>0</v>
      </c>
      <c r="AA84" s="29">
        <f t="shared" si="7"/>
        <v>0</v>
      </c>
      <c r="AB84" s="29">
        <f t="shared" si="7"/>
        <v>0</v>
      </c>
      <c r="AC84" s="29">
        <f t="shared" si="7"/>
        <v>0</v>
      </c>
      <c r="AD84" s="29">
        <f t="shared" si="7"/>
        <v>0</v>
      </c>
      <c r="AE84" s="29">
        <f t="shared" si="7"/>
        <v>0</v>
      </c>
      <c r="AF84" s="29">
        <f t="shared" si="7"/>
        <v>0</v>
      </c>
      <c r="AG84" s="29">
        <f t="shared" si="7"/>
        <v>0</v>
      </c>
      <c r="AH84" s="29">
        <f t="shared" si="7"/>
        <v>0</v>
      </c>
      <c r="AI84" s="29">
        <f t="shared" si="7"/>
        <v>0</v>
      </c>
      <c r="AJ84" s="29">
        <f t="shared" si="7"/>
        <v>0</v>
      </c>
      <c r="AK84" s="29">
        <f t="shared" si="7"/>
        <v>0</v>
      </c>
      <c r="AL84" s="29">
        <f t="shared" si="7"/>
        <v>0</v>
      </c>
      <c r="AM84" s="29">
        <f t="shared" si="7"/>
        <v>0</v>
      </c>
      <c r="AN84" s="29">
        <f t="shared" si="7"/>
        <v>0</v>
      </c>
      <c r="AO84" s="29">
        <f t="shared" si="7"/>
        <v>0</v>
      </c>
      <c r="AP84" s="29">
        <f t="shared" si="7"/>
        <v>0</v>
      </c>
      <c r="AQ84" s="29">
        <f t="shared" si="7"/>
        <v>0</v>
      </c>
      <c r="AR84" s="29">
        <f t="shared" si="7"/>
        <v>0</v>
      </c>
      <c r="AS84" s="29">
        <f t="shared" si="7"/>
        <v>0</v>
      </c>
      <c r="AT84" s="29">
        <f t="shared" si="7"/>
        <v>0</v>
      </c>
      <c r="AU84" s="29">
        <f t="shared" si="7"/>
        <v>0</v>
      </c>
      <c r="AV84" s="29">
        <f t="shared" si="7"/>
        <v>0</v>
      </c>
      <c r="AW84" s="29">
        <f t="shared" si="7"/>
        <v>0</v>
      </c>
      <c r="AX84" s="29">
        <f t="shared" ref="AX84:BP84" si="8">SUM(AX85:AX89)</f>
        <v>0</v>
      </c>
      <c r="AY84" s="29">
        <f t="shared" si="8"/>
        <v>0</v>
      </c>
      <c r="AZ84" s="29">
        <f t="shared" si="8"/>
        <v>0</v>
      </c>
      <c r="BA84" s="29">
        <f t="shared" si="8"/>
        <v>0</v>
      </c>
      <c r="BB84" s="29">
        <f t="shared" si="8"/>
        <v>0</v>
      </c>
      <c r="BC84" s="29">
        <f t="shared" si="8"/>
        <v>0</v>
      </c>
      <c r="BD84" s="29">
        <f t="shared" si="8"/>
        <v>0</v>
      </c>
      <c r="BE84" s="29">
        <f t="shared" si="8"/>
        <v>0</v>
      </c>
      <c r="BF84" s="29">
        <f t="shared" si="8"/>
        <v>0</v>
      </c>
      <c r="BG84" s="29">
        <f t="shared" si="8"/>
        <v>0</v>
      </c>
      <c r="BH84" s="29">
        <f t="shared" si="8"/>
        <v>0</v>
      </c>
      <c r="BI84" s="29">
        <f t="shared" si="8"/>
        <v>0</v>
      </c>
      <c r="BJ84" s="29">
        <f t="shared" si="8"/>
        <v>0</v>
      </c>
      <c r="BK84" s="29">
        <f t="shared" si="8"/>
        <v>0</v>
      </c>
      <c r="BL84" s="29">
        <f t="shared" si="8"/>
        <v>0</v>
      </c>
      <c r="BM84" s="29">
        <f t="shared" si="8"/>
        <v>0</v>
      </c>
      <c r="BN84" s="29">
        <f t="shared" si="8"/>
        <v>0</v>
      </c>
      <c r="BO84" s="29">
        <f t="shared" si="8"/>
        <v>0</v>
      </c>
      <c r="BP84" s="29">
        <f t="shared" si="8"/>
        <v>0</v>
      </c>
    </row>
    <row r="85" spans="4:68" ht="10.35" customHeight="1" outlineLevel="1" x14ac:dyDescent="0.2">
      <c r="D85" s="433" t="s">
        <v>99</v>
      </c>
      <c r="E85" s="432"/>
      <c r="F85" s="511"/>
      <c r="G85" s="511"/>
      <c r="H85" s="511"/>
      <c r="I85" s="511"/>
      <c r="J85" s="511"/>
      <c r="K85" s="80"/>
      <c r="L85" s="412"/>
      <c r="M85" s="413"/>
      <c r="N85" s="80"/>
      <c r="O85" s="80"/>
      <c r="P85" s="80"/>
      <c r="Q85" s="80"/>
      <c r="R85" s="28"/>
      <c r="S85" s="28"/>
      <c r="T85" s="28"/>
      <c r="U85" s="28"/>
      <c r="V85" s="28"/>
      <c r="W85" s="28"/>
      <c r="X85" s="28"/>
      <c r="Y85" s="28"/>
      <c r="Z85" s="28"/>
      <c r="AA85" s="28"/>
      <c r="AB85" s="28"/>
      <c r="AC85" s="28"/>
      <c r="AD85" s="28"/>
      <c r="AE85" s="28"/>
      <c r="AF85" s="28"/>
      <c r="AG85" s="28"/>
      <c r="AH85" s="28"/>
      <c r="AI85" s="28"/>
      <c r="AJ85" s="28"/>
      <c r="AK85" s="28"/>
      <c r="AL85" s="28"/>
      <c r="AM85" s="28"/>
      <c r="AN85" s="28"/>
      <c r="AO85" s="28"/>
      <c r="AP85" s="28"/>
      <c r="AQ85" s="28"/>
      <c r="AR85" s="28"/>
      <c r="AS85" s="28"/>
      <c r="AT85" s="28"/>
      <c r="AU85" s="28"/>
      <c r="AV85" s="28"/>
      <c r="AW85" s="28"/>
      <c r="AX85" s="28"/>
      <c r="AY85" s="28"/>
      <c r="AZ85" s="28"/>
      <c r="BA85" s="28"/>
      <c r="BB85" s="28"/>
      <c r="BC85" s="28"/>
      <c r="BD85" s="28"/>
      <c r="BE85" s="28"/>
      <c r="BF85" s="28"/>
      <c r="BG85" s="28"/>
      <c r="BH85" s="28"/>
      <c r="BI85" s="28"/>
      <c r="BJ85" s="28"/>
      <c r="BK85" s="28"/>
      <c r="BL85" s="28"/>
      <c r="BM85" s="28"/>
      <c r="BN85" s="28"/>
      <c r="BO85" s="28"/>
      <c r="BP85" s="28"/>
    </row>
    <row r="86" spans="4:68" ht="10.35" customHeight="1" outlineLevel="1" x14ac:dyDescent="0.2">
      <c r="D86" s="433" t="s">
        <v>100</v>
      </c>
      <c r="E86" s="432"/>
      <c r="F86" s="511"/>
      <c r="G86" s="511"/>
      <c r="H86" s="511"/>
      <c r="I86" s="511"/>
      <c r="J86" s="511"/>
      <c r="K86" s="80"/>
      <c r="L86" s="412"/>
      <c r="M86" s="413"/>
      <c r="N86" s="80"/>
      <c r="O86" s="80"/>
      <c r="P86" s="80"/>
      <c r="Q86" s="80"/>
      <c r="R86" s="28"/>
      <c r="S86" s="28"/>
      <c r="T86" s="28"/>
      <c r="U86" s="28"/>
      <c r="V86" s="28"/>
      <c r="W86" s="28"/>
      <c r="X86" s="28"/>
      <c r="Y86" s="28"/>
      <c r="Z86" s="28"/>
      <c r="AA86" s="28"/>
      <c r="AB86" s="28"/>
      <c r="AC86" s="28"/>
      <c r="AD86" s="28"/>
      <c r="AE86" s="28"/>
      <c r="AF86" s="28"/>
      <c r="AG86" s="28"/>
      <c r="AH86" s="28"/>
      <c r="AI86" s="28"/>
      <c r="AJ86" s="28"/>
      <c r="AK86" s="28"/>
      <c r="AL86" s="28"/>
      <c r="AM86" s="28"/>
      <c r="AN86" s="28"/>
      <c r="AO86" s="28"/>
      <c r="AP86" s="28"/>
      <c r="AQ86" s="28"/>
      <c r="AR86" s="28"/>
      <c r="AS86" s="28"/>
      <c r="AT86" s="28"/>
      <c r="AU86" s="28"/>
      <c r="AV86" s="28"/>
      <c r="AW86" s="28"/>
      <c r="AX86" s="28"/>
      <c r="AY86" s="28"/>
      <c r="AZ86" s="28"/>
      <c r="BA86" s="28"/>
      <c r="BB86" s="28"/>
      <c r="BC86" s="28"/>
      <c r="BD86" s="28"/>
      <c r="BE86" s="28"/>
      <c r="BF86" s="28"/>
      <c r="BG86" s="28"/>
      <c r="BH86" s="28"/>
      <c r="BI86" s="28"/>
      <c r="BJ86" s="28"/>
      <c r="BK86" s="28"/>
      <c r="BL86" s="28"/>
      <c r="BM86" s="28"/>
      <c r="BN86" s="28"/>
      <c r="BO86" s="28"/>
      <c r="BP86" s="28"/>
    </row>
    <row r="87" spans="4:68" ht="10.35" customHeight="1" outlineLevel="1" x14ac:dyDescent="0.2">
      <c r="D87" s="433" t="s">
        <v>101</v>
      </c>
      <c r="E87" s="432"/>
      <c r="F87" s="511"/>
      <c r="G87" s="511"/>
      <c r="H87" s="511"/>
      <c r="I87" s="511"/>
      <c r="J87" s="511"/>
      <c r="K87" s="80"/>
      <c r="L87" s="412"/>
      <c r="M87" s="413"/>
      <c r="N87" s="80"/>
      <c r="O87" s="80"/>
      <c r="P87" s="80"/>
      <c r="Q87" s="80"/>
      <c r="R87" s="28"/>
      <c r="S87" s="28"/>
      <c r="T87" s="28"/>
      <c r="U87" s="28"/>
      <c r="V87" s="28"/>
      <c r="W87" s="28"/>
      <c r="X87" s="28"/>
      <c r="Y87" s="28"/>
      <c r="Z87" s="28"/>
      <c r="AA87" s="28"/>
      <c r="AB87" s="28"/>
      <c r="AC87" s="28"/>
      <c r="AD87" s="28"/>
      <c r="AE87" s="28"/>
      <c r="AF87" s="28"/>
      <c r="AG87" s="28"/>
      <c r="AH87" s="28"/>
      <c r="AI87" s="28"/>
      <c r="AJ87" s="28"/>
      <c r="AK87" s="28"/>
      <c r="AL87" s="28"/>
      <c r="AM87" s="28"/>
      <c r="AN87" s="28"/>
      <c r="AO87" s="28"/>
      <c r="AP87" s="28"/>
      <c r="AQ87" s="28"/>
      <c r="AR87" s="28"/>
      <c r="AS87" s="28"/>
      <c r="AT87" s="28"/>
      <c r="AU87" s="28"/>
      <c r="AV87" s="28"/>
      <c r="AW87" s="28"/>
      <c r="AX87" s="28"/>
      <c r="AY87" s="28"/>
      <c r="AZ87" s="28"/>
      <c r="BA87" s="28"/>
      <c r="BB87" s="28"/>
      <c r="BC87" s="28"/>
      <c r="BD87" s="28"/>
      <c r="BE87" s="28"/>
      <c r="BF87" s="28"/>
      <c r="BG87" s="28"/>
      <c r="BH87" s="28"/>
      <c r="BI87" s="28"/>
      <c r="BJ87" s="28"/>
      <c r="BK87" s="28"/>
      <c r="BL87" s="28"/>
      <c r="BM87" s="28"/>
      <c r="BN87" s="28"/>
      <c r="BO87" s="28"/>
      <c r="BP87" s="28"/>
    </row>
    <row r="88" spans="4:68" ht="10.35" customHeight="1" outlineLevel="1" x14ac:dyDescent="0.2">
      <c r="D88" s="433" t="s">
        <v>102</v>
      </c>
      <c r="E88" s="432"/>
      <c r="F88" s="511"/>
      <c r="G88" s="511"/>
      <c r="H88" s="511"/>
      <c r="I88" s="511"/>
      <c r="J88" s="511"/>
      <c r="K88" s="80"/>
      <c r="L88" s="412"/>
      <c r="M88" s="413"/>
      <c r="N88" s="80"/>
      <c r="O88" s="80"/>
      <c r="P88" s="80"/>
      <c r="Q88" s="80"/>
      <c r="R88" s="28"/>
      <c r="S88" s="28"/>
      <c r="T88" s="28"/>
      <c r="U88" s="28"/>
      <c r="V88" s="28"/>
      <c r="W88" s="28"/>
      <c r="X88" s="28"/>
      <c r="Y88" s="28"/>
      <c r="Z88" s="28"/>
      <c r="AA88" s="28"/>
      <c r="AB88" s="28"/>
      <c r="AC88" s="28"/>
      <c r="AD88" s="28"/>
      <c r="AE88" s="28"/>
      <c r="AF88" s="28"/>
      <c r="AG88" s="28"/>
      <c r="AH88" s="28"/>
      <c r="AI88" s="28"/>
      <c r="AJ88" s="28"/>
      <c r="AK88" s="28"/>
      <c r="AL88" s="28"/>
      <c r="AM88" s="28"/>
      <c r="AN88" s="28"/>
      <c r="AO88" s="28"/>
      <c r="AP88" s="28"/>
      <c r="AQ88" s="28"/>
      <c r="AR88" s="28"/>
      <c r="AS88" s="28"/>
      <c r="AT88" s="28"/>
      <c r="AU88" s="28"/>
      <c r="AV88" s="28"/>
      <c r="AW88" s="28"/>
      <c r="AX88" s="28"/>
      <c r="AY88" s="28"/>
      <c r="AZ88" s="28"/>
      <c r="BA88" s="28"/>
      <c r="BB88" s="28"/>
      <c r="BC88" s="28"/>
      <c r="BD88" s="28"/>
      <c r="BE88" s="28"/>
      <c r="BF88" s="28"/>
      <c r="BG88" s="28"/>
      <c r="BH88" s="28"/>
      <c r="BI88" s="28"/>
      <c r="BJ88" s="28"/>
      <c r="BK88" s="28"/>
      <c r="BL88" s="28"/>
      <c r="BM88" s="28"/>
      <c r="BN88" s="28"/>
      <c r="BO88" s="28"/>
      <c r="BP88" s="28"/>
    </row>
    <row r="89" spans="4:68" ht="10.35" customHeight="1" outlineLevel="1" x14ac:dyDescent="0.2">
      <c r="D89" s="433" t="s">
        <v>103</v>
      </c>
      <c r="E89" s="432"/>
      <c r="F89" s="511"/>
      <c r="G89" s="511"/>
      <c r="H89" s="511"/>
      <c r="I89" s="511"/>
      <c r="J89" s="511"/>
      <c r="K89" s="80"/>
      <c r="L89" s="412"/>
      <c r="M89" s="413"/>
      <c r="N89" s="80"/>
      <c r="O89" s="80"/>
      <c r="P89" s="80"/>
      <c r="Q89" s="80"/>
      <c r="R89" s="28"/>
      <c r="S89" s="28"/>
      <c r="T89" s="28"/>
      <c r="U89" s="28"/>
      <c r="V89" s="28"/>
      <c r="W89" s="28"/>
      <c r="X89" s="28"/>
      <c r="Y89" s="28"/>
      <c r="Z89" s="28"/>
      <c r="AA89" s="28"/>
      <c r="AB89" s="28"/>
      <c r="AC89" s="28"/>
      <c r="AD89" s="28"/>
      <c r="AE89" s="28"/>
      <c r="AF89" s="28"/>
      <c r="AG89" s="28"/>
      <c r="AH89" s="28"/>
      <c r="AI89" s="28"/>
      <c r="AJ89" s="28"/>
      <c r="AK89" s="28"/>
      <c r="AL89" s="28"/>
      <c r="AM89" s="28"/>
      <c r="AN89" s="28"/>
      <c r="AO89" s="28"/>
      <c r="AP89" s="28"/>
      <c r="AQ89" s="28"/>
      <c r="AR89" s="28"/>
      <c r="AS89" s="28"/>
      <c r="AT89" s="28"/>
      <c r="AU89" s="28"/>
      <c r="AV89" s="28"/>
      <c r="AW89" s="28"/>
      <c r="AX89" s="28"/>
      <c r="AY89" s="28"/>
      <c r="AZ89" s="28"/>
      <c r="BA89" s="28"/>
      <c r="BB89" s="28"/>
      <c r="BC89" s="28"/>
      <c r="BD89" s="28"/>
      <c r="BE89" s="28"/>
      <c r="BF89" s="28"/>
      <c r="BG89" s="28"/>
      <c r="BH89" s="28"/>
      <c r="BI89" s="28"/>
      <c r="BJ89" s="28"/>
      <c r="BK89" s="28"/>
      <c r="BL89" s="28"/>
      <c r="BM89" s="28"/>
      <c r="BN89" s="28"/>
      <c r="BO89" s="28"/>
      <c r="BP89" s="28"/>
    </row>
    <row r="90" spans="4:68" ht="10.35" customHeight="1" outlineLevel="1" x14ac:dyDescent="0.2">
      <c r="D90" s="434"/>
      <c r="E90" s="432"/>
      <c r="F90" s="83"/>
      <c r="G90" s="83"/>
      <c r="H90" s="83"/>
      <c r="I90" s="83"/>
      <c r="J90" s="83"/>
      <c r="K90" s="80"/>
      <c r="L90" s="412"/>
      <c r="M90" s="413"/>
      <c r="N90" s="80"/>
      <c r="O90" s="80"/>
      <c r="P90" s="80"/>
      <c r="Q90" s="80"/>
      <c r="R90" s="29"/>
      <c r="S90" s="29"/>
      <c r="T90" s="29"/>
      <c r="U90" s="29"/>
      <c r="V90" s="29"/>
      <c r="W90" s="29"/>
      <c r="X90" s="29"/>
      <c r="Y90" s="29"/>
      <c r="Z90" s="29"/>
      <c r="AA90" s="29"/>
      <c r="AB90" s="29"/>
      <c r="AC90" s="29"/>
      <c r="AD90" s="29"/>
      <c r="AE90" s="29"/>
      <c r="AF90" s="29"/>
      <c r="AG90" s="29"/>
      <c r="AH90" s="29"/>
      <c r="AI90" s="29"/>
      <c r="AJ90" s="29"/>
      <c r="AK90" s="29"/>
      <c r="AL90" s="29"/>
      <c r="AM90" s="29"/>
      <c r="AN90" s="29"/>
      <c r="AO90" s="29"/>
      <c r="AP90" s="29"/>
      <c r="AQ90" s="29"/>
      <c r="AR90" s="29"/>
      <c r="AS90" s="29"/>
      <c r="AT90" s="29"/>
      <c r="AU90" s="29"/>
      <c r="AV90" s="29"/>
      <c r="AW90" s="29"/>
      <c r="AX90" s="29"/>
      <c r="AY90" s="29"/>
      <c r="AZ90" s="29"/>
      <c r="BA90" s="29"/>
      <c r="BB90" s="29"/>
      <c r="BC90" s="29"/>
      <c r="BD90" s="29"/>
      <c r="BE90" s="29"/>
      <c r="BF90" s="29"/>
      <c r="BG90" s="29"/>
      <c r="BH90" s="29"/>
      <c r="BI90" s="29"/>
      <c r="BJ90" s="29"/>
      <c r="BK90" s="29"/>
      <c r="BL90" s="29"/>
      <c r="BM90" s="29"/>
      <c r="BN90" s="29"/>
      <c r="BO90" s="29"/>
      <c r="BP90" s="29"/>
    </row>
    <row r="91" spans="4:68" ht="10.35" customHeight="1" outlineLevel="1" x14ac:dyDescent="0.2">
      <c r="D91" s="99" t="s">
        <v>107</v>
      </c>
      <c r="E91" s="80"/>
      <c r="F91" s="511"/>
      <c r="G91" s="511"/>
      <c r="H91" s="511"/>
      <c r="I91" s="511"/>
      <c r="J91" s="511"/>
      <c r="K91" s="80"/>
      <c r="L91" s="412"/>
      <c r="M91" s="413"/>
      <c r="N91" s="80"/>
      <c r="O91" s="80"/>
      <c r="P91" s="80"/>
      <c r="Q91" s="80"/>
      <c r="R91" s="29">
        <f t="shared" ref="R91:AW91" si="9">SUM(R92:R96)</f>
        <v>0</v>
      </c>
      <c r="S91" s="29">
        <f t="shared" si="9"/>
        <v>0</v>
      </c>
      <c r="T91" s="29">
        <f t="shared" si="9"/>
        <v>0</v>
      </c>
      <c r="U91" s="29">
        <f t="shared" si="9"/>
        <v>0</v>
      </c>
      <c r="V91" s="29">
        <f t="shared" si="9"/>
        <v>0</v>
      </c>
      <c r="W91" s="29">
        <f t="shared" si="9"/>
        <v>0</v>
      </c>
      <c r="X91" s="29">
        <f t="shared" si="9"/>
        <v>0</v>
      </c>
      <c r="Y91" s="29">
        <f t="shared" si="9"/>
        <v>0</v>
      </c>
      <c r="Z91" s="29">
        <f t="shared" si="9"/>
        <v>0</v>
      </c>
      <c r="AA91" s="29">
        <f t="shared" si="9"/>
        <v>0</v>
      </c>
      <c r="AB91" s="29">
        <f t="shared" si="9"/>
        <v>0</v>
      </c>
      <c r="AC91" s="29">
        <f t="shared" si="9"/>
        <v>0</v>
      </c>
      <c r="AD91" s="29">
        <f t="shared" si="9"/>
        <v>0</v>
      </c>
      <c r="AE91" s="29">
        <f t="shared" si="9"/>
        <v>0</v>
      </c>
      <c r="AF91" s="29">
        <f t="shared" si="9"/>
        <v>0</v>
      </c>
      <c r="AG91" s="29">
        <f t="shared" si="9"/>
        <v>0</v>
      </c>
      <c r="AH91" s="29">
        <f t="shared" si="9"/>
        <v>0</v>
      </c>
      <c r="AI91" s="29">
        <f t="shared" si="9"/>
        <v>0</v>
      </c>
      <c r="AJ91" s="29">
        <f t="shared" si="9"/>
        <v>0</v>
      </c>
      <c r="AK91" s="29">
        <f t="shared" si="9"/>
        <v>0</v>
      </c>
      <c r="AL91" s="29">
        <f t="shared" si="9"/>
        <v>0</v>
      </c>
      <c r="AM91" s="29">
        <f t="shared" si="9"/>
        <v>0</v>
      </c>
      <c r="AN91" s="29">
        <f t="shared" si="9"/>
        <v>0</v>
      </c>
      <c r="AO91" s="29">
        <f t="shared" si="9"/>
        <v>0</v>
      </c>
      <c r="AP91" s="29">
        <f t="shared" si="9"/>
        <v>0</v>
      </c>
      <c r="AQ91" s="29">
        <f t="shared" si="9"/>
        <v>0</v>
      </c>
      <c r="AR91" s="29">
        <f t="shared" si="9"/>
        <v>0</v>
      </c>
      <c r="AS91" s="29">
        <f t="shared" si="9"/>
        <v>0</v>
      </c>
      <c r="AT91" s="29">
        <f t="shared" si="9"/>
        <v>0</v>
      </c>
      <c r="AU91" s="29">
        <f t="shared" si="9"/>
        <v>0</v>
      </c>
      <c r="AV91" s="29">
        <f t="shared" si="9"/>
        <v>0</v>
      </c>
      <c r="AW91" s="29">
        <f t="shared" si="9"/>
        <v>0</v>
      </c>
      <c r="AX91" s="29">
        <f t="shared" ref="AX91:BP91" si="10">SUM(AX92:AX96)</f>
        <v>0</v>
      </c>
      <c r="AY91" s="29">
        <f t="shared" si="10"/>
        <v>0</v>
      </c>
      <c r="AZ91" s="29">
        <f t="shared" si="10"/>
        <v>0</v>
      </c>
      <c r="BA91" s="29">
        <f t="shared" si="10"/>
        <v>0</v>
      </c>
      <c r="BB91" s="29">
        <f t="shared" si="10"/>
        <v>0</v>
      </c>
      <c r="BC91" s="29">
        <f t="shared" si="10"/>
        <v>0</v>
      </c>
      <c r="BD91" s="29">
        <f t="shared" si="10"/>
        <v>0</v>
      </c>
      <c r="BE91" s="29">
        <f t="shared" si="10"/>
        <v>0</v>
      </c>
      <c r="BF91" s="29">
        <f t="shared" si="10"/>
        <v>0</v>
      </c>
      <c r="BG91" s="29">
        <f t="shared" si="10"/>
        <v>0</v>
      </c>
      <c r="BH91" s="29">
        <f t="shared" si="10"/>
        <v>0</v>
      </c>
      <c r="BI91" s="29">
        <f t="shared" si="10"/>
        <v>0</v>
      </c>
      <c r="BJ91" s="29">
        <f t="shared" si="10"/>
        <v>0</v>
      </c>
      <c r="BK91" s="29">
        <f t="shared" si="10"/>
        <v>0</v>
      </c>
      <c r="BL91" s="29">
        <f t="shared" si="10"/>
        <v>0</v>
      </c>
      <c r="BM91" s="29">
        <f t="shared" si="10"/>
        <v>0</v>
      </c>
      <c r="BN91" s="29">
        <f t="shared" si="10"/>
        <v>0</v>
      </c>
      <c r="BO91" s="29">
        <f t="shared" si="10"/>
        <v>0</v>
      </c>
      <c r="BP91" s="29">
        <f t="shared" si="10"/>
        <v>0</v>
      </c>
    </row>
    <row r="92" spans="4:68" ht="10.35" customHeight="1" outlineLevel="1" x14ac:dyDescent="0.2">
      <c r="D92" s="433" t="s">
        <v>99</v>
      </c>
      <c r="E92" s="432"/>
      <c r="F92" s="511"/>
      <c r="G92" s="511"/>
      <c r="H92" s="511"/>
      <c r="I92" s="511"/>
      <c r="J92" s="511"/>
      <c r="K92" s="80"/>
      <c r="L92" s="412"/>
      <c r="M92" s="413"/>
      <c r="N92" s="80"/>
      <c r="O92" s="80"/>
      <c r="P92" s="80"/>
      <c r="Q92" s="80"/>
      <c r="R92" s="28"/>
      <c r="S92" s="28"/>
      <c r="T92" s="28"/>
      <c r="U92" s="28"/>
      <c r="V92" s="28"/>
      <c r="W92" s="28"/>
      <c r="X92" s="28"/>
      <c r="Y92" s="28"/>
      <c r="Z92" s="28"/>
      <c r="AA92" s="28"/>
      <c r="AB92" s="28"/>
      <c r="AC92" s="28"/>
      <c r="AD92" s="28"/>
      <c r="AE92" s="28"/>
      <c r="AF92" s="28"/>
      <c r="AG92" s="28"/>
      <c r="AH92" s="28"/>
      <c r="AI92" s="28"/>
      <c r="AJ92" s="28"/>
      <c r="AK92" s="28"/>
      <c r="AL92" s="28"/>
      <c r="AM92" s="28"/>
      <c r="AN92" s="28"/>
      <c r="AO92" s="28"/>
      <c r="AP92" s="28"/>
      <c r="AQ92" s="28"/>
      <c r="AR92" s="28"/>
      <c r="AS92" s="28"/>
      <c r="AT92" s="28"/>
      <c r="AU92" s="28"/>
      <c r="AV92" s="28"/>
      <c r="AW92" s="28"/>
      <c r="AX92" s="28"/>
      <c r="AY92" s="28"/>
      <c r="AZ92" s="28"/>
      <c r="BA92" s="28"/>
      <c r="BB92" s="28"/>
      <c r="BC92" s="28"/>
      <c r="BD92" s="28"/>
      <c r="BE92" s="28"/>
      <c r="BF92" s="28"/>
      <c r="BG92" s="28"/>
      <c r="BH92" s="28"/>
      <c r="BI92" s="28"/>
      <c r="BJ92" s="28"/>
      <c r="BK92" s="28"/>
      <c r="BL92" s="28"/>
      <c r="BM92" s="28"/>
      <c r="BN92" s="28"/>
      <c r="BO92" s="28"/>
      <c r="BP92" s="28"/>
    </row>
    <row r="93" spans="4:68" ht="10.35" customHeight="1" outlineLevel="1" x14ac:dyDescent="0.2">
      <c r="D93" s="433" t="s">
        <v>100</v>
      </c>
      <c r="E93" s="432"/>
      <c r="F93" s="511"/>
      <c r="G93" s="511"/>
      <c r="H93" s="511"/>
      <c r="I93" s="511"/>
      <c r="J93" s="511"/>
      <c r="K93" s="80"/>
      <c r="L93" s="412"/>
      <c r="M93" s="413"/>
      <c r="N93" s="80"/>
      <c r="O93" s="80"/>
      <c r="P93" s="80"/>
      <c r="Q93" s="80"/>
      <c r="R93" s="28"/>
      <c r="S93" s="28"/>
      <c r="T93" s="28"/>
      <c r="U93" s="28"/>
      <c r="V93" s="28"/>
      <c r="W93" s="28"/>
      <c r="X93" s="28"/>
      <c r="Y93" s="28"/>
      <c r="Z93" s="28"/>
      <c r="AA93" s="28"/>
      <c r="AB93" s="28"/>
      <c r="AC93" s="28"/>
      <c r="AD93" s="28"/>
      <c r="AE93" s="28"/>
      <c r="AF93" s="28"/>
      <c r="AG93" s="28"/>
      <c r="AH93" s="28"/>
      <c r="AI93" s="28"/>
      <c r="AJ93" s="28"/>
      <c r="AK93" s="28"/>
      <c r="AL93" s="28"/>
      <c r="AM93" s="28"/>
      <c r="AN93" s="28"/>
      <c r="AO93" s="28"/>
      <c r="AP93" s="28"/>
      <c r="AQ93" s="28"/>
      <c r="AR93" s="28"/>
      <c r="AS93" s="28"/>
      <c r="AT93" s="28"/>
      <c r="AU93" s="28"/>
      <c r="AV93" s="28"/>
      <c r="AW93" s="28"/>
      <c r="AX93" s="28"/>
      <c r="AY93" s="28"/>
      <c r="AZ93" s="28"/>
      <c r="BA93" s="28"/>
      <c r="BB93" s="28"/>
      <c r="BC93" s="28"/>
      <c r="BD93" s="28"/>
      <c r="BE93" s="28"/>
      <c r="BF93" s="28"/>
      <c r="BG93" s="28"/>
      <c r="BH93" s="28"/>
      <c r="BI93" s="28"/>
      <c r="BJ93" s="28"/>
      <c r="BK93" s="28"/>
      <c r="BL93" s="28"/>
      <c r="BM93" s="28"/>
      <c r="BN93" s="28"/>
      <c r="BO93" s="28"/>
      <c r="BP93" s="28"/>
    </row>
    <row r="94" spans="4:68" ht="10.35" customHeight="1" outlineLevel="1" x14ac:dyDescent="0.2">
      <c r="D94" s="433" t="s">
        <v>101</v>
      </c>
      <c r="E94" s="432"/>
      <c r="F94" s="511"/>
      <c r="G94" s="511"/>
      <c r="H94" s="511"/>
      <c r="I94" s="511"/>
      <c r="J94" s="511"/>
      <c r="K94" s="80"/>
      <c r="L94" s="412"/>
      <c r="M94" s="413"/>
      <c r="N94" s="80"/>
      <c r="O94" s="80"/>
      <c r="P94" s="80"/>
      <c r="Q94" s="80"/>
      <c r="R94" s="28"/>
      <c r="S94" s="28"/>
      <c r="T94" s="28"/>
      <c r="U94" s="28"/>
      <c r="V94" s="28"/>
      <c r="W94" s="28"/>
      <c r="X94" s="28"/>
      <c r="Y94" s="28"/>
      <c r="Z94" s="28"/>
      <c r="AA94" s="28"/>
      <c r="AB94" s="28"/>
      <c r="AC94" s="28"/>
      <c r="AD94" s="28"/>
      <c r="AE94" s="28"/>
      <c r="AF94" s="28"/>
      <c r="AG94" s="28"/>
      <c r="AH94" s="28"/>
      <c r="AI94" s="28"/>
      <c r="AJ94" s="28"/>
      <c r="AK94" s="28"/>
      <c r="AL94" s="28"/>
      <c r="AM94" s="28"/>
      <c r="AN94" s="28"/>
      <c r="AO94" s="28"/>
      <c r="AP94" s="28"/>
      <c r="AQ94" s="28"/>
      <c r="AR94" s="28"/>
      <c r="AS94" s="28"/>
      <c r="AT94" s="28"/>
      <c r="AU94" s="28"/>
      <c r="AV94" s="28"/>
      <c r="AW94" s="28"/>
      <c r="AX94" s="28"/>
      <c r="AY94" s="28"/>
      <c r="AZ94" s="28"/>
      <c r="BA94" s="28"/>
      <c r="BB94" s="28"/>
      <c r="BC94" s="28"/>
      <c r="BD94" s="28"/>
      <c r="BE94" s="28"/>
      <c r="BF94" s="28"/>
      <c r="BG94" s="28"/>
      <c r="BH94" s="28"/>
      <c r="BI94" s="28"/>
      <c r="BJ94" s="28"/>
      <c r="BK94" s="28"/>
      <c r="BL94" s="28"/>
      <c r="BM94" s="28"/>
      <c r="BN94" s="28"/>
      <c r="BO94" s="28"/>
      <c r="BP94" s="28"/>
    </row>
    <row r="95" spans="4:68" ht="10.35" customHeight="1" outlineLevel="1" x14ac:dyDescent="0.2">
      <c r="D95" s="433" t="s">
        <v>102</v>
      </c>
      <c r="E95" s="432"/>
      <c r="F95" s="511"/>
      <c r="G95" s="511"/>
      <c r="H95" s="511"/>
      <c r="I95" s="511"/>
      <c r="J95" s="511"/>
      <c r="K95" s="80"/>
      <c r="L95" s="412"/>
      <c r="M95" s="413"/>
      <c r="N95" s="80"/>
      <c r="O95" s="80"/>
      <c r="P95" s="80"/>
      <c r="Q95" s="80"/>
      <c r="R95" s="28"/>
      <c r="S95" s="28"/>
      <c r="T95" s="28"/>
      <c r="U95" s="28"/>
      <c r="V95" s="28"/>
      <c r="W95" s="28"/>
      <c r="X95" s="28"/>
      <c r="Y95" s="28"/>
      <c r="Z95" s="28"/>
      <c r="AA95" s="28"/>
      <c r="AB95" s="28"/>
      <c r="AC95" s="28"/>
      <c r="AD95" s="28"/>
      <c r="AE95" s="28"/>
      <c r="AF95" s="28"/>
      <c r="AG95" s="28"/>
      <c r="AH95" s="28"/>
      <c r="AI95" s="28"/>
      <c r="AJ95" s="28"/>
      <c r="AK95" s="28"/>
      <c r="AL95" s="28"/>
      <c r="AM95" s="28"/>
      <c r="AN95" s="28"/>
      <c r="AO95" s="28"/>
      <c r="AP95" s="28"/>
      <c r="AQ95" s="28"/>
      <c r="AR95" s="28"/>
      <c r="AS95" s="28"/>
      <c r="AT95" s="28"/>
      <c r="AU95" s="28"/>
      <c r="AV95" s="28"/>
      <c r="AW95" s="28"/>
      <c r="AX95" s="28"/>
      <c r="AY95" s="28"/>
      <c r="AZ95" s="28"/>
      <c r="BA95" s="28"/>
      <c r="BB95" s="28"/>
      <c r="BC95" s="28"/>
      <c r="BD95" s="28"/>
      <c r="BE95" s="28"/>
      <c r="BF95" s="28"/>
      <c r="BG95" s="28"/>
      <c r="BH95" s="28"/>
      <c r="BI95" s="28"/>
      <c r="BJ95" s="28"/>
      <c r="BK95" s="28"/>
      <c r="BL95" s="28"/>
      <c r="BM95" s="28"/>
      <c r="BN95" s="28"/>
      <c r="BO95" s="28"/>
      <c r="BP95" s="28"/>
    </row>
    <row r="96" spans="4:68" ht="10.35" customHeight="1" outlineLevel="1" x14ac:dyDescent="0.2">
      <c r="D96" s="433" t="s">
        <v>103</v>
      </c>
      <c r="E96" s="432"/>
      <c r="F96" s="511"/>
      <c r="G96" s="511"/>
      <c r="H96" s="511"/>
      <c r="I96" s="511"/>
      <c r="J96" s="511"/>
      <c r="K96" s="80"/>
      <c r="L96" s="412"/>
      <c r="M96" s="413"/>
      <c r="N96" s="80"/>
      <c r="O96" s="80"/>
      <c r="P96" s="80"/>
      <c r="Q96" s="80"/>
      <c r="R96" s="28"/>
      <c r="S96" s="28"/>
      <c r="T96" s="28"/>
      <c r="U96" s="28"/>
      <c r="V96" s="28"/>
      <c r="W96" s="28"/>
      <c r="X96" s="28"/>
      <c r="Y96" s="28"/>
      <c r="Z96" s="28"/>
      <c r="AA96" s="28"/>
      <c r="AB96" s="28"/>
      <c r="AC96" s="28"/>
      <c r="AD96" s="28"/>
      <c r="AE96" s="28"/>
      <c r="AF96" s="28"/>
      <c r="AG96" s="28"/>
      <c r="AH96" s="28"/>
      <c r="AI96" s="28"/>
      <c r="AJ96" s="28"/>
      <c r="AK96" s="28"/>
      <c r="AL96" s="28"/>
      <c r="AM96" s="28"/>
      <c r="AN96" s="28"/>
      <c r="AO96" s="28"/>
      <c r="AP96" s="28"/>
      <c r="AQ96" s="28"/>
      <c r="AR96" s="28"/>
      <c r="AS96" s="28"/>
      <c r="AT96" s="28"/>
      <c r="AU96" s="28"/>
      <c r="AV96" s="28"/>
      <c r="AW96" s="28"/>
      <c r="AX96" s="28"/>
      <c r="AY96" s="28"/>
      <c r="AZ96" s="28"/>
      <c r="BA96" s="28"/>
      <c r="BB96" s="28"/>
      <c r="BC96" s="28"/>
      <c r="BD96" s="28"/>
      <c r="BE96" s="28"/>
      <c r="BF96" s="28"/>
      <c r="BG96" s="28"/>
      <c r="BH96" s="28"/>
      <c r="BI96" s="28"/>
      <c r="BJ96" s="28"/>
      <c r="BK96" s="28"/>
      <c r="BL96" s="28"/>
      <c r="BM96" s="28"/>
      <c r="BN96" s="28"/>
      <c r="BO96" s="28"/>
      <c r="BP96" s="28"/>
    </row>
    <row r="97" spans="3:68" ht="10.35" customHeight="1" outlineLevel="1" x14ac:dyDescent="0.2">
      <c r="C97" s="80"/>
      <c r="D97" s="434"/>
      <c r="E97" s="432"/>
      <c r="F97" s="83"/>
      <c r="G97" s="83"/>
      <c r="H97" s="83"/>
      <c r="I97" s="83"/>
      <c r="J97" s="83"/>
      <c r="K97" s="80"/>
      <c r="L97" s="412"/>
      <c r="M97" s="413"/>
      <c r="N97" s="80"/>
      <c r="O97" s="80"/>
      <c r="P97" s="80"/>
      <c r="Q97" s="80"/>
      <c r="R97" s="29"/>
      <c r="S97" s="29"/>
      <c r="T97" s="29"/>
      <c r="U97" s="29"/>
      <c r="V97" s="29"/>
      <c r="W97" s="29"/>
      <c r="X97" s="29"/>
      <c r="Y97" s="29"/>
      <c r="Z97" s="29"/>
      <c r="AA97" s="29"/>
      <c r="AB97" s="29"/>
      <c r="AC97" s="29"/>
      <c r="AD97" s="29"/>
      <c r="AE97" s="29"/>
      <c r="AF97" s="29"/>
      <c r="AG97" s="29"/>
      <c r="AH97" s="29"/>
      <c r="AI97" s="29"/>
      <c r="AJ97" s="29"/>
      <c r="AK97" s="29"/>
      <c r="AL97" s="29"/>
      <c r="AM97" s="29"/>
      <c r="AN97" s="29"/>
      <c r="AO97" s="29"/>
      <c r="AP97" s="29"/>
      <c r="AQ97" s="29"/>
      <c r="AR97" s="29"/>
      <c r="AS97" s="29"/>
      <c r="AT97" s="29"/>
      <c r="AU97" s="29"/>
      <c r="AV97" s="29"/>
      <c r="AW97" s="29"/>
      <c r="AX97" s="29"/>
      <c r="AY97" s="29"/>
      <c r="AZ97" s="29"/>
      <c r="BA97" s="29"/>
      <c r="BB97" s="29"/>
      <c r="BC97" s="29"/>
      <c r="BD97" s="29"/>
      <c r="BE97" s="29"/>
      <c r="BF97" s="29"/>
      <c r="BG97" s="29"/>
      <c r="BH97" s="29"/>
      <c r="BI97" s="29"/>
      <c r="BJ97" s="29"/>
      <c r="BK97" s="29"/>
      <c r="BL97" s="29"/>
      <c r="BM97" s="29"/>
      <c r="BN97" s="29"/>
      <c r="BO97" s="29"/>
      <c r="BP97" s="29"/>
    </row>
    <row r="98" spans="3:68" ht="10.35" customHeight="1" outlineLevel="1" x14ac:dyDescent="0.2">
      <c r="C98" s="80"/>
      <c r="D98" s="80" t="s">
        <v>108</v>
      </c>
      <c r="E98" s="80"/>
      <c r="F98" s="511"/>
      <c r="G98" s="511"/>
      <c r="H98" s="511"/>
      <c r="I98" s="511"/>
      <c r="J98" s="511"/>
      <c r="K98" s="80"/>
      <c r="L98" s="412"/>
      <c r="M98" s="413"/>
      <c r="N98" s="80"/>
      <c r="O98" s="80"/>
      <c r="P98" s="80"/>
      <c r="Q98" s="80"/>
      <c r="R98" s="29">
        <f t="shared" ref="R98:AW98" si="11">SUM(R99:R103)</f>
        <v>0</v>
      </c>
      <c r="S98" s="29">
        <f t="shared" si="11"/>
        <v>0</v>
      </c>
      <c r="T98" s="29">
        <f t="shared" si="11"/>
        <v>0</v>
      </c>
      <c r="U98" s="29">
        <f t="shared" si="11"/>
        <v>0</v>
      </c>
      <c r="V98" s="29">
        <f t="shared" si="11"/>
        <v>0</v>
      </c>
      <c r="W98" s="29">
        <f t="shared" si="11"/>
        <v>0</v>
      </c>
      <c r="X98" s="29">
        <f t="shared" si="11"/>
        <v>0</v>
      </c>
      <c r="Y98" s="29">
        <f t="shared" si="11"/>
        <v>0</v>
      </c>
      <c r="Z98" s="29">
        <f t="shared" si="11"/>
        <v>0</v>
      </c>
      <c r="AA98" s="29">
        <f t="shared" si="11"/>
        <v>0</v>
      </c>
      <c r="AB98" s="29">
        <f t="shared" si="11"/>
        <v>0</v>
      </c>
      <c r="AC98" s="29">
        <f t="shared" si="11"/>
        <v>0</v>
      </c>
      <c r="AD98" s="29">
        <f t="shared" si="11"/>
        <v>0</v>
      </c>
      <c r="AE98" s="29">
        <f t="shared" si="11"/>
        <v>0</v>
      </c>
      <c r="AF98" s="29">
        <f t="shared" si="11"/>
        <v>0</v>
      </c>
      <c r="AG98" s="29">
        <f t="shared" si="11"/>
        <v>0</v>
      </c>
      <c r="AH98" s="29">
        <f t="shared" si="11"/>
        <v>0</v>
      </c>
      <c r="AI98" s="29">
        <f t="shared" si="11"/>
        <v>0</v>
      </c>
      <c r="AJ98" s="29">
        <f t="shared" si="11"/>
        <v>0</v>
      </c>
      <c r="AK98" s="29">
        <f t="shared" si="11"/>
        <v>0</v>
      </c>
      <c r="AL98" s="29">
        <f t="shared" si="11"/>
        <v>0</v>
      </c>
      <c r="AM98" s="29">
        <f t="shared" si="11"/>
        <v>0</v>
      </c>
      <c r="AN98" s="29">
        <f t="shared" si="11"/>
        <v>0</v>
      </c>
      <c r="AO98" s="29">
        <f t="shared" si="11"/>
        <v>0</v>
      </c>
      <c r="AP98" s="29">
        <f t="shared" si="11"/>
        <v>0</v>
      </c>
      <c r="AQ98" s="29">
        <f t="shared" si="11"/>
        <v>0</v>
      </c>
      <c r="AR98" s="29">
        <f t="shared" si="11"/>
        <v>0</v>
      </c>
      <c r="AS98" s="29">
        <f t="shared" si="11"/>
        <v>0</v>
      </c>
      <c r="AT98" s="29">
        <f t="shared" si="11"/>
        <v>0</v>
      </c>
      <c r="AU98" s="29">
        <f t="shared" si="11"/>
        <v>0</v>
      </c>
      <c r="AV98" s="29">
        <f t="shared" si="11"/>
        <v>0</v>
      </c>
      <c r="AW98" s="29">
        <f t="shared" si="11"/>
        <v>0</v>
      </c>
      <c r="AX98" s="29">
        <f t="shared" ref="AX98:BP98" si="12">SUM(AX99:AX103)</f>
        <v>0</v>
      </c>
      <c r="AY98" s="29">
        <f t="shared" si="12"/>
        <v>0</v>
      </c>
      <c r="AZ98" s="29">
        <f t="shared" si="12"/>
        <v>0</v>
      </c>
      <c r="BA98" s="29">
        <f t="shared" si="12"/>
        <v>0</v>
      </c>
      <c r="BB98" s="29">
        <f t="shared" si="12"/>
        <v>0</v>
      </c>
      <c r="BC98" s="29">
        <f t="shared" si="12"/>
        <v>0</v>
      </c>
      <c r="BD98" s="29">
        <f t="shared" si="12"/>
        <v>0</v>
      </c>
      <c r="BE98" s="29">
        <f t="shared" si="12"/>
        <v>0</v>
      </c>
      <c r="BF98" s="29">
        <f t="shared" si="12"/>
        <v>0</v>
      </c>
      <c r="BG98" s="29">
        <f t="shared" si="12"/>
        <v>0</v>
      </c>
      <c r="BH98" s="29">
        <f t="shared" si="12"/>
        <v>0</v>
      </c>
      <c r="BI98" s="29">
        <f t="shared" si="12"/>
        <v>0</v>
      </c>
      <c r="BJ98" s="29">
        <f t="shared" si="12"/>
        <v>0</v>
      </c>
      <c r="BK98" s="29">
        <f t="shared" si="12"/>
        <v>0</v>
      </c>
      <c r="BL98" s="29">
        <f t="shared" si="12"/>
        <v>0</v>
      </c>
      <c r="BM98" s="29">
        <f t="shared" si="12"/>
        <v>0</v>
      </c>
      <c r="BN98" s="29">
        <f t="shared" si="12"/>
        <v>0</v>
      </c>
      <c r="BO98" s="29">
        <f t="shared" si="12"/>
        <v>0</v>
      </c>
      <c r="BP98" s="29">
        <f t="shared" si="12"/>
        <v>0</v>
      </c>
    </row>
    <row r="99" spans="3:68" ht="10.35" customHeight="1" outlineLevel="1" x14ac:dyDescent="0.2">
      <c r="C99" s="80"/>
      <c r="D99" s="433" t="s">
        <v>99</v>
      </c>
      <c r="E99" s="432"/>
      <c r="F99" s="511"/>
      <c r="G99" s="511"/>
      <c r="H99" s="511"/>
      <c r="I99" s="511"/>
      <c r="J99" s="511"/>
      <c r="K99" s="80"/>
      <c r="L99" s="412"/>
      <c r="M99" s="413"/>
      <c r="N99" s="80"/>
      <c r="O99" s="80"/>
      <c r="P99" s="80"/>
      <c r="Q99" s="80"/>
      <c r="R99" s="28"/>
      <c r="S99" s="28"/>
      <c r="T99" s="28"/>
      <c r="U99" s="28"/>
      <c r="V99" s="28"/>
      <c r="W99" s="28"/>
      <c r="X99" s="28"/>
      <c r="Y99" s="28"/>
      <c r="Z99" s="28"/>
      <c r="AA99" s="28"/>
      <c r="AB99" s="28"/>
      <c r="AC99" s="28"/>
      <c r="AD99" s="28"/>
      <c r="AE99" s="28"/>
      <c r="AF99" s="28"/>
      <c r="AG99" s="28"/>
      <c r="AH99" s="28"/>
      <c r="AI99" s="28"/>
      <c r="AJ99" s="28"/>
      <c r="AK99" s="28"/>
      <c r="AL99" s="28"/>
      <c r="AM99" s="28"/>
      <c r="AN99" s="28"/>
      <c r="AO99" s="28"/>
      <c r="AP99" s="28"/>
      <c r="AQ99" s="28"/>
      <c r="AR99" s="28"/>
      <c r="AS99" s="28"/>
      <c r="AT99" s="28"/>
      <c r="AU99" s="28"/>
      <c r="AV99" s="28"/>
      <c r="AW99" s="28"/>
      <c r="AX99" s="28"/>
      <c r="AY99" s="28"/>
      <c r="AZ99" s="28"/>
      <c r="BA99" s="28"/>
      <c r="BB99" s="28"/>
      <c r="BC99" s="28"/>
      <c r="BD99" s="28"/>
      <c r="BE99" s="28"/>
      <c r="BF99" s="28"/>
      <c r="BG99" s="28"/>
      <c r="BH99" s="28"/>
      <c r="BI99" s="28"/>
      <c r="BJ99" s="28"/>
      <c r="BK99" s="28"/>
      <c r="BL99" s="28"/>
      <c r="BM99" s="28"/>
      <c r="BN99" s="28"/>
      <c r="BO99" s="28"/>
      <c r="BP99" s="28"/>
    </row>
    <row r="100" spans="3:68" ht="10.35" customHeight="1" outlineLevel="1" x14ac:dyDescent="0.2">
      <c r="C100" s="80"/>
      <c r="D100" s="433" t="s">
        <v>100</v>
      </c>
      <c r="E100" s="432"/>
      <c r="F100" s="511"/>
      <c r="G100" s="511"/>
      <c r="H100" s="511"/>
      <c r="I100" s="511"/>
      <c r="J100" s="511"/>
      <c r="K100" s="80"/>
      <c r="L100" s="412"/>
      <c r="M100" s="413"/>
      <c r="N100" s="80"/>
      <c r="O100" s="80"/>
      <c r="P100" s="80"/>
      <c r="Q100" s="80"/>
      <c r="R100" s="28"/>
      <c r="S100" s="28"/>
      <c r="T100" s="28"/>
      <c r="U100" s="28"/>
      <c r="V100" s="28"/>
      <c r="W100" s="28"/>
      <c r="X100" s="28"/>
      <c r="Y100" s="28"/>
      <c r="Z100" s="28"/>
      <c r="AA100" s="28"/>
      <c r="AB100" s="28"/>
      <c r="AC100" s="28"/>
      <c r="AD100" s="28"/>
      <c r="AE100" s="28"/>
      <c r="AF100" s="28"/>
      <c r="AG100" s="28"/>
      <c r="AH100" s="28"/>
      <c r="AI100" s="28"/>
      <c r="AJ100" s="28"/>
      <c r="AK100" s="28"/>
      <c r="AL100" s="28"/>
      <c r="AM100" s="28"/>
      <c r="AN100" s="28"/>
      <c r="AO100" s="28"/>
      <c r="AP100" s="28"/>
      <c r="AQ100" s="28"/>
      <c r="AR100" s="28"/>
      <c r="AS100" s="28"/>
      <c r="AT100" s="28"/>
      <c r="AU100" s="28"/>
      <c r="AV100" s="28"/>
      <c r="AW100" s="28"/>
      <c r="AX100" s="28"/>
      <c r="AY100" s="28"/>
      <c r="AZ100" s="28"/>
      <c r="BA100" s="28"/>
      <c r="BB100" s="28"/>
      <c r="BC100" s="28"/>
      <c r="BD100" s="28"/>
      <c r="BE100" s="28"/>
      <c r="BF100" s="28"/>
      <c r="BG100" s="28"/>
      <c r="BH100" s="28"/>
      <c r="BI100" s="28"/>
      <c r="BJ100" s="28"/>
      <c r="BK100" s="28"/>
      <c r="BL100" s="28"/>
      <c r="BM100" s="28"/>
      <c r="BN100" s="28"/>
      <c r="BO100" s="28"/>
      <c r="BP100" s="28"/>
    </row>
    <row r="101" spans="3:68" ht="10.35" customHeight="1" outlineLevel="1" x14ac:dyDescent="0.2">
      <c r="C101" s="80"/>
      <c r="D101" s="433" t="s">
        <v>101</v>
      </c>
      <c r="E101" s="432"/>
      <c r="F101" s="511"/>
      <c r="G101" s="511"/>
      <c r="H101" s="511"/>
      <c r="I101" s="511"/>
      <c r="J101" s="511"/>
      <c r="K101" s="80"/>
      <c r="L101" s="412"/>
      <c r="M101" s="413"/>
      <c r="N101" s="80"/>
      <c r="O101" s="80"/>
      <c r="P101" s="80"/>
      <c r="Q101" s="80"/>
      <c r="R101" s="28"/>
      <c r="S101" s="28"/>
      <c r="T101" s="28"/>
      <c r="U101" s="28"/>
      <c r="V101" s="28"/>
      <c r="W101" s="28"/>
      <c r="X101" s="28"/>
      <c r="Y101" s="28"/>
      <c r="Z101" s="28"/>
      <c r="AA101" s="28"/>
      <c r="AB101" s="28"/>
      <c r="AC101" s="28"/>
      <c r="AD101" s="28"/>
      <c r="AE101" s="28"/>
      <c r="AF101" s="28"/>
      <c r="AG101" s="28"/>
      <c r="AH101" s="28"/>
      <c r="AI101" s="28"/>
      <c r="AJ101" s="28"/>
      <c r="AK101" s="28"/>
      <c r="AL101" s="28"/>
      <c r="AM101" s="28"/>
      <c r="AN101" s="28"/>
      <c r="AO101" s="28"/>
      <c r="AP101" s="28"/>
      <c r="AQ101" s="28"/>
      <c r="AR101" s="28"/>
      <c r="AS101" s="28"/>
      <c r="AT101" s="28"/>
      <c r="AU101" s="28"/>
      <c r="AV101" s="28"/>
      <c r="AW101" s="28"/>
      <c r="AX101" s="28"/>
      <c r="AY101" s="28"/>
      <c r="AZ101" s="28"/>
      <c r="BA101" s="28"/>
      <c r="BB101" s="28"/>
      <c r="BC101" s="28"/>
      <c r="BD101" s="28"/>
      <c r="BE101" s="28"/>
      <c r="BF101" s="28"/>
      <c r="BG101" s="28"/>
      <c r="BH101" s="28"/>
      <c r="BI101" s="28"/>
      <c r="BJ101" s="28"/>
      <c r="BK101" s="28"/>
      <c r="BL101" s="28"/>
      <c r="BM101" s="28"/>
      <c r="BN101" s="28"/>
      <c r="BO101" s="28"/>
      <c r="BP101" s="28"/>
    </row>
    <row r="102" spans="3:68" ht="10.35" customHeight="1" outlineLevel="1" x14ac:dyDescent="0.2">
      <c r="C102" s="80"/>
      <c r="D102" s="433" t="s">
        <v>102</v>
      </c>
      <c r="E102" s="432"/>
      <c r="F102" s="511"/>
      <c r="G102" s="511"/>
      <c r="H102" s="511"/>
      <c r="I102" s="511"/>
      <c r="J102" s="511"/>
      <c r="K102" s="80"/>
      <c r="L102" s="412"/>
      <c r="M102" s="413"/>
      <c r="N102" s="80"/>
      <c r="O102" s="80"/>
      <c r="P102" s="80"/>
      <c r="Q102" s="80"/>
      <c r="R102" s="28"/>
      <c r="S102" s="28"/>
      <c r="T102" s="28"/>
      <c r="U102" s="28"/>
      <c r="V102" s="28"/>
      <c r="W102" s="28"/>
      <c r="X102" s="28"/>
      <c r="Y102" s="28"/>
      <c r="Z102" s="28"/>
      <c r="AA102" s="28"/>
      <c r="AB102" s="28"/>
      <c r="AC102" s="28"/>
      <c r="AD102" s="28"/>
      <c r="AE102" s="28"/>
      <c r="AF102" s="28"/>
      <c r="AG102" s="28"/>
      <c r="AH102" s="28"/>
      <c r="AI102" s="28"/>
      <c r="AJ102" s="28"/>
      <c r="AK102" s="28"/>
      <c r="AL102" s="28"/>
      <c r="AM102" s="28"/>
      <c r="AN102" s="28"/>
      <c r="AO102" s="28"/>
      <c r="AP102" s="28"/>
      <c r="AQ102" s="28"/>
      <c r="AR102" s="28"/>
      <c r="AS102" s="28"/>
      <c r="AT102" s="28"/>
      <c r="AU102" s="28"/>
      <c r="AV102" s="28"/>
      <c r="AW102" s="28"/>
      <c r="AX102" s="28"/>
      <c r="AY102" s="28"/>
      <c r="AZ102" s="28"/>
      <c r="BA102" s="28"/>
      <c r="BB102" s="28"/>
      <c r="BC102" s="28"/>
      <c r="BD102" s="28"/>
      <c r="BE102" s="28"/>
      <c r="BF102" s="28"/>
      <c r="BG102" s="28"/>
      <c r="BH102" s="28"/>
      <c r="BI102" s="28"/>
      <c r="BJ102" s="28"/>
      <c r="BK102" s="28"/>
      <c r="BL102" s="28"/>
      <c r="BM102" s="28"/>
      <c r="BN102" s="28"/>
      <c r="BO102" s="28"/>
      <c r="BP102" s="28"/>
    </row>
    <row r="103" spans="3:68" ht="10.35" customHeight="1" outlineLevel="1" x14ac:dyDescent="0.2">
      <c r="C103" s="80"/>
      <c r="D103" s="433" t="s">
        <v>103</v>
      </c>
      <c r="E103" s="432"/>
      <c r="F103" s="511"/>
      <c r="G103" s="511"/>
      <c r="H103" s="511"/>
      <c r="I103" s="511"/>
      <c r="J103" s="511"/>
      <c r="K103" s="80"/>
      <c r="L103" s="412"/>
      <c r="M103" s="413"/>
      <c r="N103" s="80"/>
      <c r="O103" s="80"/>
      <c r="P103" s="80"/>
      <c r="Q103" s="80"/>
      <c r="R103" s="28"/>
      <c r="S103" s="28"/>
      <c r="T103" s="28"/>
      <c r="U103" s="28"/>
      <c r="V103" s="28"/>
      <c r="W103" s="28"/>
      <c r="X103" s="28"/>
      <c r="Y103" s="28"/>
      <c r="Z103" s="28"/>
      <c r="AA103" s="28"/>
      <c r="AB103" s="28"/>
      <c r="AC103" s="28"/>
      <c r="AD103" s="28"/>
      <c r="AE103" s="28"/>
      <c r="AF103" s="28"/>
      <c r="AG103" s="28"/>
      <c r="AH103" s="28"/>
      <c r="AI103" s="28"/>
      <c r="AJ103" s="28"/>
      <c r="AK103" s="28"/>
      <c r="AL103" s="28"/>
      <c r="AM103" s="28"/>
      <c r="AN103" s="28"/>
      <c r="AO103" s="28"/>
      <c r="AP103" s="28"/>
      <c r="AQ103" s="28"/>
      <c r="AR103" s="28"/>
      <c r="AS103" s="28"/>
      <c r="AT103" s="28"/>
      <c r="AU103" s="28"/>
      <c r="AV103" s="28"/>
      <c r="AW103" s="28"/>
      <c r="AX103" s="28"/>
      <c r="AY103" s="28"/>
      <c r="AZ103" s="28"/>
      <c r="BA103" s="28"/>
      <c r="BB103" s="28"/>
      <c r="BC103" s="28"/>
      <c r="BD103" s="28"/>
      <c r="BE103" s="28"/>
      <c r="BF103" s="28"/>
      <c r="BG103" s="28"/>
      <c r="BH103" s="28"/>
      <c r="BI103" s="28"/>
      <c r="BJ103" s="28"/>
      <c r="BK103" s="28"/>
      <c r="BL103" s="28"/>
      <c r="BM103" s="28"/>
      <c r="BN103" s="28"/>
      <c r="BO103" s="28"/>
      <c r="BP103" s="28"/>
    </row>
    <row r="104" spans="3:68" ht="10.35" customHeight="1" outlineLevel="1" x14ac:dyDescent="0.2">
      <c r="C104" s="80"/>
      <c r="D104" s="434"/>
      <c r="E104" s="432"/>
      <c r="F104" s="83"/>
      <c r="G104" s="83"/>
      <c r="H104" s="83"/>
      <c r="I104" s="83"/>
      <c r="J104" s="83"/>
      <c r="K104" s="80"/>
      <c r="L104" s="412"/>
      <c r="M104" s="413"/>
      <c r="N104" s="80"/>
      <c r="O104" s="80"/>
      <c r="P104" s="80"/>
      <c r="Q104" s="80"/>
      <c r="R104" s="29"/>
      <c r="S104" s="29"/>
      <c r="T104" s="29"/>
      <c r="U104" s="29"/>
      <c r="V104" s="29"/>
      <c r="W104" s="29"/>
      <c r="X104" s="29"/>
      <c r="Y104" s="29"/>
      <c r="Z104" s="29"/>
      <c r="AA104" s="29"/>
      <c r="AB104" s="29"/>
      <c r="AC104" s="29"/>
      <c r="AD104" s="29"/>
      <c r="AE104" s="29"/>
      <c r="AF104" s="29"/>
      <c r="AG104" s="29"/>
      <c r="AH104" s="29"/>
      <c r="AI104" s="29"/>
      <c r="AJ104" s="29"/>
      <c r="AK104" s="29"/>
      <c r="AL104" s="29"/>
      <c r="AM104" s="29"/>
      <c r="AN104" s="29"/>
      <c r="AO104" s="29"/>
      <c r="AP104" s="29"/>
      <c r="AQ104" s="29"/>
      <c r="AR104" s="29"/>
      <c r="AS104" s="29"/>
      <c r="AT104" s="29"/>
      <c r="AU104" s="29"/>
      <c r="AV104" s="29"/>
      <c r="AW104" s="29"/>
      <c r="AX104" s="29"/>
      <c r="AY104" s="29"/>
      <c r="AZ104" s="29"/>
      <c r="BA104" s="29"/>
      <c r="BB104" s="29"/>
      <c r="BC104" s="29"/>
      <c r="BD104" s="29"/>
      <c r="BE104" s="29"/>
      <c r="BF104" s="29"/>
      <c r="BG104" s="29"/>
      <c r="BH104" s="29"/>
      <c r="BI104" s="29"/>
      <c r="BJ104" s="29"/>
      <c r="BK104" s="29"/>
      <c r="BL104" s="29"/>
      <c r="BM104" s="29"/>
      <c r="BN104" s="29"/>
      <c r="BO104" s="29"/>
      <c r="BP104" s="29"/>
    </row>
    <row r="105" spans="3:68" ht="10.35" customHeight="1" outlineLevel="1" x14ac:dyDescent="0.2">
      <c r="C105" s="80"/>
      <c r="D105" s="435" t="s">
        <v>109</v>
      </c>
      <c r="E105" s="432"/>
      <c r="F105" s="511"/>
      <c r="G105" s="511"/>
      <c r="H105" s="511"/>
      <c r="I105" s="511"/>
      <c r="J105" s="511"/>
      <c r="K105" s="80"/>
      <c r="L105" s="412"/>
      <c r="M105" s="413"/>
      <c r="N105" s="80"/>
      <c r="O105" s="80"/>
      <c r="P105" s="80"/>
      <c r="Q105" s="80"/>
      <c r="R105" s="28"/>
      <c r="S105" s="28"/>
      <c r="T105" s="28"/>
      <c r="U105" s="28"/>
      <c r="V105" s="28"/>
      <c r="W105" s="28"/>
      <c r="X105" s="28"/>
      <c r="Y105" s="28"/>
      <c r="Z105" s="28"/>
      <c r="AA105" s="28"/>
      <c r="AB105" s="28"/>
      <c r="AC105" s="28"/>
      <c r="AD105" s="28"/>
      <c r="AE105" s="28"/>
      <c r="AF105" s="28"/>
      <c r="AG105" s="28"/>
      <c r="AH105" s="28"/>
      <c r="AI105" s="28"/>
      <c r="AJ105" s="28"/>
      <c r="AK105" s="28"/>
      <c r="AL105" s="28"/>
      <c r="AM105" s="28"/>
      <c r="AN105" s="28"/>
      <c r="AO105" s="28"/>
      <c r="AP105" s="28"/>
      <c r="AQ105" s="28"/>
      <c r="AR105" s="28"/>
      <c r="AS105" s="28"/>
      <c r="AT105" s="28"/>
      <c r="AU105" s="28"/>
      <c r="AV105" s="28"/>
      <c r="AW105" s="28"/>
      <c r="AX105" s="28"/>
      <c r="AY105" s="28"/>
      <c r="AZ105" s="28"/>
      <c r="BA105" s="28"/>
      <c r="BB105" s="28"/>
      <c r="BC105" s="28"/>
      <c r="BD105" s="28"/>
      <c r="BE105" s="28"/>
      <c r="BF105" s="28"/>
      <c r="BG105" s="28"/>
      <c r="BH105" s="28"/>
      <c r="BI105" s="28"/>
      <c r="BJ105" s="28"/>
      <c r="BK105" s="28"/>
      <c r="BL105" s="28"/>
      <c r="BM105" s="28"/>
      <c r="BN105" s="28"/>
      <c r="BO105" s="28"/>
      <c r="BP105" s="28"/>
    </row>
    <row r="106" spans="3:68" ht="10.35" customHeight="1" outlineLevel="1" x14ac:dyDescent="0.2">
      <c r="C106" s="80"/>
      <c r="D106" s="434"/>
      <c r="E106" s="432"/>
      <c r="F106" s="83"/>
      <c r="G106" s="83"/>
      <c r="H106" s="83"/>
      <c r="I106" s="83"/>
      <c r="J106" s="83"/>
      <c r="K106" s="80"/>
      <c r="L106" s="412"/>
      <c r="M106" s="413"/>
      <c r="N106" s="80"/>
      <c r="O106" s="80"/>
      <c r="P106" s="80"/>
      <c r="Q106" s="80"/>
      <c r="R106" s="29"/>
      <c r="S106" s="29"/>
      <c r="T106" s="29"/>
      <c r="U106" s="29"/>
      <c r="V106" s="29"/>
      <c r="W106" s="29"/>
      <c r="X106" s="29"/>
      <c r="Y106" s="29"/>
      <c r="Z106" s="29"/>
      <c r="AA106" s="29"/>
      <c r="AB106" s="29"/>
      <c r="AC106" s="29"/>
      <c r="AD106" s="29"/>
      <c r="AE106" s="29"/>
      <c r="AF106" s="29"/>
      <c r="AG106" s="29"/>
      <c r="AH106" s="29"/>
      <c r="AI106" s="29"/>
      <c r="AJ106" s="29"/>
      <c r="AK106" s="29"/>
      <c r="AL106" s="29"/>
      <c r="AM106" s="29"/>
      <c r="AN106" s="29"/>
      <c r="AO106" s="29"/>
      <c r="AP106" s="29"/>
      <c r="AQ106" s="29"/>
      <c r="AR106" s="29"/>
      <c r="AS106" s="29"/>
      <c r="AT106" s="29"/>
      <c r="AU106" s="29"/>
      <c r="AV106" s="29"/>
      <c r="AW106" s="29"/>
      <c r="AX106" s="29"/>
      <c r="AY106" s="29"/>
      <c r="AZ106" s="29"/>
      <c r="BA106" s="29"/>
      <c r="BB106" s="29"/>
      <c r="BC106" s="29"/>
      <c r="BD106" s="29"/>
      <c r="BE106" s="29"/>
      <c r="BF106" s="29"/>
      <c r="BG106" s="29"/>
      <c r="BH106" s="29"/>
      <c r="BI106" s="29"/>
      <c r="BJ106" s="29"/>
      <c r="BK106" s="29"/>
      <c r="BL106" s="29"/>
      <c r="BM106" s="29"/>
      <c r="BN106" s="29"/>
      <c r="BO106" s="29"/>
      <c r="BP106" s="29"/>
    </row>
    <row r="107" spans="3:68" ht="10.35" customHeight="1" outlineLevel="1" x14ac:dyDescent="0.2">
      <c r="C107" s="80"/>
      <c r="D107" s="435" t="s">
        <v>110</v>
      </c>
      <c r="E107" s="432"/>
      <c r="F107" s="511"/>
      <c r="G107" s="511"/>
      <c r="H107" s="511"/>
      <c r="I107" s="511"/>
      <c r="J107" s="511"/>
      <c r="K107" s="80"/>
      <c r="L107" s="412"/>
      <c r="M107" s="413"/>
      <c r="N107" s="80"/>
      <c r="O107" s="80"/>
      <c r="P107" s="80"/>
      <c r="Q107" s="80"/>
      <c r="R107" s="28"/>
      <c r="S107" s="28"/>
      <c r="T107" s="28"/>
      <c r="U107" s="28"/>
      <c r="V107" s="28"/>
      <c r="W107" s="28"/>
      <c r="X107" s="28"/>
      <c r="Y107" s="28"/>
      <c r="Z107" s="28"/>
      <c r="AA107" s="28"/>
      <c r="AB107" s="28"/>
      <c r="AC107" s="28"/>
      <c r="AD107" s="28"/>
      <c r="AE107" s="28"/>
      <c r="AF107" s="28"/>
      <c r="AG107" s="28"/>
      <c r="AH107" s="28"/>
      <c r="AI107" s="28"/>
      <c r="AJ107" s="28"/>
      <c r="AK107" s="28"/>
      <c r="AL107" s="28"/>
      <c r="AM107" s="28"/>
      <c r="AN107" s="28"/>
      <c r="AO107" s="28"/>
      <c r="AP107" s="28"/>
      <c r="AQ107" s="28"/>
      <c r="AR107" s="28"/>
      <c r="AS107" s="28"/>
      <c r="AT107" s="28"/>
      <c r="AU107" s="28"/>
      <c r="AV107" s="28"/>
      <c r="AW107" s="28"/>
      <c r="AX107" s="28"/>
      <c r="AY107" s="28"/>
      <c r="AZ107" s="28"/>
      <c r="BA107" s="28"/>
      <c r="BB107" s="28"/>
      <c r="BC107" s="28"/>
      <c r="BD107" s="28"/>
      <c r="BE107" s="28"/>
      <c r="BF107" s="28"/>
      <c r="BG107" s="28"/>
      <c r="BH107" s="28"/>
      <c r="BI107" s="28"/>
      <c r="BJ107" s="28"/>
      <c r="BK107" s="28"/>
      <c r="BL107" s="28"/>
      <c r="BM107" s="28"/>
      <c r="BN107" s="28"/>
      <c r="BO107" s="28"/>
      <c r="BP107" s="28"/>
    </row>
    <row r="108" spans="3:68" ht="10.35" customHeight="1" outlineLevel="1" x14ac:dyDescent="0.2">
      <c r="C108" s="80"/>
      <c r="D108" s="435"/>
      <c r="E108" s="432"/>
      <c r="F108" s="83"/>
      <c r="G108" s="83"/>
      <c r="H108" s="83"/>
      <c r="I108" s="83"/>
      <c r="J108" s="83"/>
      <c r="K108" s="80"/>
      <c r="L108" s="412"/>
      <c r="M108" s="413"/>
      <c r="N108" s="80"/>
      <c r="O108" s="80"/>
      <c r="P108" s="80"/>
      <c r="Q108" s="80"/>
      <c r="R108" s="29"/>
      <c r="S108" s="29"/>
      <c r="T108" s="29"/>
      <c r="U108" s="29"/>
      <c r="V108" s="29"/>
      <c r="W108" s="29"/>
      <c r="X108" s="29"/>
      <c r="Y108" s="29"/>
      <c r="Z108" s="29"/>
      <c r="AA108" s="29"/>
      <c r="AB108" s="29"/>
      <c r="AC108" s="29"/>
      <c r="AD108" s="29"/>
      <c r="AE108" s="29"/>
      <c r="AF108" s="29"/>
      <c r="AG108" s="29"/>
      <c r="AH108" s="29"/>
      <c r="AI108" s="29"/>
      <c r="AJ108" s="29"/>
      <c r="AK108" s="29"/>
      <c r="AL108" s="29"/>
      <c r="AM108" s="29"/>
      <c r="AN108" s="29"/>
      <c r="AO108" s="29"/>
      <c r="AP108" s="29"/>
      <c r="AQ108" s="29"/>
      <c r="AR108" s="29"/>
      <c r="AS108" s="29"/>
      <c r="AT108" s="29"/>
      <c r="AU108" s="29"/>
      <c r="AV108" s="29"/>
      <c r="AW108" s="29"/>
      <c r="AX108" s="29"/>
      <c r="AY108" s="29"/>
      <c r="AZ108" s="29"/>
      <c r="BA108" s="29"/>
      <c r="BB108" s="29"/>
      <c r="BC108" s="29"/>
      <c r="BD108" s="29"/>
      <c r="BE108" s="29"/>
      <c r="BF108" s="29"/>
      <c r="BG108" s="29"/>
      <c r="BH108" s="29"/>
      <c r="BI108" s="29"/>
      <c r="BJ108" s="29"/>
      <c r="BK108" s="29"/>
      <c r="BL108" s="29"/>
      <c r="BM108" s="29"/>
      <c r="BN108" s="29"/>
      <c r="BO108" s="29"/>
      <c r="BP108" s="29"/>
    </row>
    <row r="109" spans="3:68" s="18" customFormat="1" ht="10.35" customHeight="1" collapsed="1" x14ac:dyDescent="0.2">
      <c r="C109" s="19" t="s">
        <v>111</v>
      </c>
      <c r="D109" s="426"/>
      <c r="E109" s="426"/>
      <c r="F109" s="426"/>
      <c r="G109" s="426"/>
      <c r="H109" s="426"/>
      <c r="I109" s="426"/>
      <c r="J109" s="426"/>
      <c r="K109" s="426"/>
      <c r="L109" s="428"/>
      <c r="M109" s="429"/>
      <c r="N109" s="426"/>
      <c r="O109" s="426"/>
      <c r="P109" s="426"/>
      <c r="Q109" s="426"/>
      <c r="R109" s="30"/>
      <c r="S109" s="30"/>
      <c r="T109" s="30"/>
      <c r="U109" s="30"/>
      <c r="V109" s="30"/>
      <c r="W109" s="30"/>
      <c r="X109" s="30"/>
      <c r="Y109" s="30"/>
      <c r="Z109" s="30"/>
      <c r="AA109" s="30"/>
      <c r="AB109" s="30"/>
      <c r="AC109" s="30"/>
      <c r="AD109" s="30"/>
      <c r="AE109" s="30"/>
      <c r="AF109" s="30"/>
      <c r="AG109" s="30"/>
      <c r="AH109" s="30"/>
      <c r="AI109" s="30"/>
      <c r="AJ109" s="30"/>
      <c r="AK109" s="30"/>
      <c r="AL109" s="30"/>
      <c r="AM109" s="30"/>
      <c r="AN109" s="30"/>
      <c r="AO109" s="30"/>
      <c r="AP109" s="30"/>
      <c r="AQ109" s="30"/>
      <c r="AR109" s="30"/>
      <c r="AS109" s="30"/>
      <c r="AT109" s="30"/>
      <c r="AU109" s="30"/>
      <c r="AV109" s="30"/>
      <c r="AW109" s="30"/>
      <c r="AX109" s="30"/>
      <c r="AY109" s="30"/>
      <c r="AZ109" s="30"/>
      <c r="BA109" s="30"/>
      <c r="BB109" s="30"/>
      <c r="BC109" s="30"/>
      <c r="BD109" s="30"/>
      <c r="BE109" s="30"/>
      <c r="BF109" s="30"/>
      <c r="BG109" s="30"/>
      <c r="BH109" s="30"/>
      <c r="BI109" s="30"/>
      <c r="BJ109" s="30"/>
      <c r="BK109" s="30"/>
      <c r="BL109" s="30"/>
      <c r="BM109" s="30"/>
      <c r="BN109" s="30"/>
      <c r="BO109" s="30"/>
      <c r="BP109" s="30"/>
    </row>
    <row r="110" spans="3:68" ht="10.35" hidden="1" customHeight="1" outlineLevel="1" x14ac:dyDescent="0.2">
      <c r="C110" s="80"/>
      <c r="D110" s="80"/>
      <c r="E110" s="80"/>
      <c r="F110" s="80"/>
      <c r="G110" s="80"/>
      <c r="H110" s="80"/>
      <c r="I110" s="80"/>
      <c r="J110" s="80"/>
      <c r="K110" s="80"/>
      <c r="L110" s="412"/>
      <c r="M110" s="413"/>
      <c r="N110" s="80"/>
      <c r="O110" s="80"/>
      <c r="P110" s="80"/>
      <c r="Q110" s="80"/>
      <c r="R110" s="29"/>
      <c r="S110" s="29"/>
      <c r="T110" s="29"/>
      <c r="U110" s="29"/>
      <c r="V110" s="29"/>
      <c r="W110" s="29"/>
      <c r="X110" s="29"/>
      <c r="Y110" s="29"/>
      <c r="Z110" s="29"/>
      <c r="AA110" s="29"/>
      <c r="AB110" s="29"/>
      <c r="AC110" s="29"/>
      <c r="AD110" s="29"/>
      <c r="AE110" s="29"/>
      <c r="AF110" s="29"/>
      <c r="AG110" s="29"/>
      <c r="AH110" s="29"/>
      <c r="AI110" s="29"/>
      <c r="AJ110" s="29"/>
      <c r="AK110" s="29"/>
      <c r="AL110" s="29"/>
      <c r="AM110" s="29"/>
      <c r="AN110" s="29"/>
      <c r="AO110" s="29"/>
      <c r="AP110" s="29"/>
      <c r="AQ110" s="29"/>
      <c r="AR110" s="29"/>
      <c r="AS110" s="29"/>
      <c r="AT110" s="29"/>
      <c r="AU110" s="29"/>
      <c r="AV110" s="29"/>
      <c r="AW110" s="29"/>
      <c r="AX110" s="29"/>
      <c r="AY110" s="29"/>
      <c r="AZ110" s="29"/>
      <c r="BA110" s="29"/>
      <c r="BB110" s="29"/>
      <c r="BC110" s="29"/>
      <c r="BD110" s="29"/>
      <c r="BE110" s="29"/>
      <c r="BF110" s="29"/>
      <c r="BG110" s="29"/>
      <c r="BH110" s="29"/>
      <c r="BI110" s="29"/>
      <c r="BJ110" s="29"/>
      <c r="BK110" s="29"/>
      <c r="BL110" s="29"/>
      <c r="BM110" s="29"/>
      <c r="BN110" s="29"/>
      <c r="BO110" s="29"/>
      <c r="BP110" s="29"/>
    </row>
    <row r="111" spans="3:68" ht="10.35" hidden="1" customHeight="1" outlineLevel="1" x14ac:dyDescent="0.2">
      <c r="C111" s="80"/>
      <c r="D111" s="80"/>
      <c r="E111" s="80"/>
      <c r="F111" s="80"/>
      <c r="G111" s="80"/>
      <c r="H111" s="80"/>
      <c r="I111" s="80"/>
      <c r="J111" s="80"/>
      <c r="K111" s="80"/>
      <c r="L111" s="412"/>
      <c r="M111" s="413"/>
      <c r="N111" s="80"/>
      <c r="O111" s="80"/>
      <c r="P111" s="80"/>
      <c r="Q111" s="80"/>
      <c r="R111" s="29"/>
      <c r="S111" s="29"/>
      <c r="T111" s="29"/>
      <c r="U111" s="29"/>
      <c r="V111" s="29"/>
      <c r="W111" s="29"/>
      <c r="X111" s="29"/>
      <c r="Y111" s="29"/>
      <c r="Z111" s="29"/>
      <c r="AA111" s="29"/>
      <c r="AB111" s="29"/>
      <c r="AC111" s="29"/>
      <c r="AD111" s="29"/>
      <c r="AE111" s="29"/>
      <c r="AF111" s="29"/>
      <c r="AG111" s="29"/>
      <c r="AH111" s="29"/>
      <c r="AI111" s="29"/>
      <c r="AJ111" s="29"/>
      <c r="AK111" s="29"/>
      <c r="AL111" s="29"/>
      <c r="AM111" s="29"/>
      <c r="AN111" s="29"/>
      <c r="AO111" s="29"/>
      <c r="AP111" s="29"/>
      <c r="AQ111" s="29"/>
      <c r="AR111" s="29"/>
      <c r="AS111" s="29"/>
      <c r="AT111" s="29"/>
      <c r="AU111" s="29"/>
      <c r="AV111" s="29"/>
      <c r="AW111" s="29"/>
      <c r="AX111" s="29"/>
      <c r="AY111" s="29"/>
      <c r="AZ111" s="29"/>
      <c r="BA111" s="29"/>
      <c r="BB111" s="29"/>
      <c r="BC111" s="29"/>
      <c r="BD111" s="29"/>
      <c r="BE111" s="29"/>
      <c r="BF111" s="29"/>
      <c r="BG111" s="29"/>
      <c r="BH111" s="29"/>
      <c r="BI111" s="29"/>
      <c r="BJ111" s="29"/>
      <c r="BK111" s="29"/>
      <c r="BL111" s="29"/>
      <c r="BM111" s="29"/>
      <c r="BN111" s="29"/>
      <c r="BO111" s="29"/>
      <c r="BP111" s="29"/>
    </row>
    <row r="112" spans="3:68" ht="10.35" hidden="1" customHeight="1" outlineLevel="1" x14ac:dyDescent="0.2">
      <c r="C112" s="80"/>
      <c r="D112" s="80"/>
      <c r="E112" s="80"/>
      <c r="F112" s="80"/>
      <c r="G112" s="80"/>
      <c r="H112" s="80"/>
      <c r="I112" s="80"/>
      <c r="J112" s="80"/>
      <c r="K112" s="80"/>
      <c r="L112" s="412"/>
      <c r="M112" s="413"/>
      <c r="N112" s="80"/>
      <c r="O112" s="80"/>
      <c r="P112" s="80"/>
      <c r="Q112" s="80"/>
      <c r="R112" s="29"/>
      <c r="S112" s="29"/>
      <c r="T112" s="29"/>
      <c r="U112" s="29"/>
      <c r="V112" s="29"/>
      <c r="W112" s="29"/>
      <c r="X112" s="29"/>
      <c r="Y112" s="29"/>
      <c r="Z112" s="29"/>
      <c r="AA112" s="29"/>
      <c r="AB112" s="29"/>
      <c r="AC112" s="29"/>
      <c r="AD112" s="29"/>
      <c r="AE112" s="29"/>
      <c r="AF112" s="29"/>
      <c r="AG112" s="29"/>
      <c r="AH112" s="29"/>
      <c r="AI112" s="29"/>
      <c r="AJ112" s="29"/>
      <c r="AK112" s="29"/>
      <c r="AL112" s="29"/>
      <c r="AM112" s="29"/>
      <c r="AN112" s="29"/>
      <c r="AO112" s="29"/>
      <c r="AP112" s="29"/>
      <c r="AQ112" s="29"/>
      <c r="AR112" s="29"/>
      <c r="AS112" s="29"/>
      <c r="AT112" s="29"/>
      <c r="AU112" s="29"/>
      <c r="AV112" s="29"/>
      <c r="AW112" s="29"/>
      <c r="AX112" s="29"/>
      <c r="AY112" s="29"/>
      <c r="AZ112" s="29"/>
      <c r="BA112" s="29"/>
      <c r="BB112" s="29"/>
      <c r="BC112" s="29"/>
      <c r="BD112" s="29"/>
      <c r="BE112" s="29"/>
      <c r="BF112" s="29"/>
      <c r="BG112" s="29"/>
      <c r="BH112" s="29"/>
      <c r="BI112" s="29"/>
      <c r="BJ112" s="29"/>
      <c r="BK112" s="29"/>
      <c r="BL112" s="29"/>
      <c r="BM112" s="29"/>
      <c r="BN112" s="29"/>
      <c r="BO112" s="29"/>
      <c r="BP112" s="29"/>
    </row>
    <row r="113" spans="3:68" ht="10.35" hidden="1" customHeight="1" outlineLevel="1" x14ac:dyDescent="0.2">
      <c r="C113" s="80"/>
      <c r="D113" s="80"/>
      <c r="E113" s="80"/>
      <c r="F113" s="80"/>
      <c r="G113" s="80"/>
      <c r="H113" s="80"/>
      <c r="I113" s="80"/>
      <c r="J113" s="80"/>
      <c r="K113" s="80"/>
      <c r="L113" s="412"/>
      <c r="M113" s="80"/>
      <c r="N113" s="80"/>
      <c r="O113" s="80"/>
      <c r="P113" s="80"/>
      <c r="Q113" s="80"/>
      <c r="R113" s="29"/>
      <c r="S113" s="29"/>
      <c r="T113" s="29"/>
      <c r="U113" s="29"/>
      <c r="V113" s="29"/>
      <c r="W113" s="29"/>
      <c r="X113" s="29"/>
      <c r="Y113" s="29"/>
      <c r="Z113" s="29"/>
      <c r="AA113" s="29"/>
      <c r="AB113" s="29"/>
      <c r="AC113" s="29"/>
      <c r="AD113" s="29"/>
      <c r="AE113" s="29"/>
      <c r="AF113" s="29"/>
      <c r="AG113" s="29"/>
      <c r="AH113" s="29"/>
      <c r="AI113" s="29"/>
      <c r="AJ113" s="29"/>
      <c r="AK113" s="29"/>
      <c r="AL113" s="29"/>
      <c r="AM113" s="29"/>
      <c r="AN113" s="29"/>
      <c r="AO113" s="29"/>
      <c r="AP113" s="29"/>
      <c r="AQ113" s="29"/>
      <c r="AR113" s="29"/>
      <c r="AS113" s="29"/>
      <c r="AT113" s="29"/>
      <c r="AU113" s="29"/>
      <c r="AV113" s="29"/>
      <c r="AW113" s="29"/>
      <c r="AX113" s="29"/>
      <c r="AY113" s="29"/>
      <c r="AZ113" s="29"/>
      <c r="BA113" s="29"/>
      <c r="BB113" s="29"/>
      <c r="BC113" s="29"/>
      <c r="BD113" s="29"/>
      <c r="BE113" s="29"/>
      <c r="BF113" s="29"/>
      <c r="BG113" s="29"/>
      <c r="BH113" s="29"/>
      <c r="BI113" s="29"/>
      <c r="BJ113" s="29"/>
      <c r="BK113" s="29"/>
      <c r="BL113" s="29"/>
      <c r="BM113" s="29"/>
      <c r="BN113" s="29"/>
      <c r="BO113" s="29"/>
      <c r="BP113" s="29"/>
    </row>
    <row r="114" spans="3:68" ht="10.35" hidden="1" customHeight="1" outlineLevel="1" x14ac:dyDescent="0.2">
      <c r="C114" s="80"/>
      <c r="D114" s="80"/>
      <c r="E114" s="80"/>
      <c r="F114" s="515" t="s">
        <v>96</v>
      </c>
      <c r="G114" s="515"/>
      <c r="H114" s="515"/>
      <c r="I114" s="515"/>
      <c r="J114" s="515"/>
      <c r="K114" s="79"/>
      <c r="L114" s="109"/>
      <c r="M114" s="24" t="str">
        <f>"FY"&amp;RIGHT(Assumptions!$L$19+M68,2)</f>
        <v>FY17</v>
      </c>
      <c r="N114" s="24" t="str">
        <f>"FY"&amp;RIGHT(Assumptions!$L$19+N68,2)</f>
        <v>FY18</v>
      </c>
      <c r="O114" s="24" t="str">
        <f>"FY"&amp;RIGHT(Assumptions!$L$19+O68,2)</f>
        <v>FY19</v>
      </c>
      <c r="P114" s="24" t="str">
        <f>"FY"&amp;RIGHT(Assumptions!$L$19+P68,2)</f>
        <v>FY20</v>
      </c>
      <c r="Q114" s="24" t="str">
        <f>"FY"&amp;RIGHT(Assumptions!$L$19+Q68,2)</f>
        <v>FY21</v>
      </c>
      <c r="R114" s="29"/>
      <c r="S114" s="29"/>
      <c r="T114" s="29"/>
      <c r="U114" s="29"/>
      <c r="V114" s="29"/>
      <c r="W114" s="29"/>
      <c r="X114" s="29"/>
      <c r="Y114" s="29"/>
      <c r="Z114" s="29"/>
      <c r="AA114" s="29"/>
      <c r="AB114" s="29"/>
      <c r="AC114" s="29"/>
      <c r="AD114" s="29"/>
      <c r="AE114" s="29"/>
      <c r="AF114" s="29"/>
      <c r="AG114" s="29"/>
      <c r="AH114" s="29"/>
      <c r="AI114" s="29"/>
      <c r="AJ114" s="29"/>
      <c r="AK114" s="29"/>
      <c r="AL114" s="29"/>
      <c r="AM114" s="29"/>
      <c r="AN114" s="29"/>
      <c r="AO114" s="29"/>
      <c r="AP114" s="29"/>
      <c r="AQ114" s="29"/>
      <c r="AR114" s="29"/>
      <c r="AS114" s="29"/>
      <c r="AT114" s="29"/>
      <c r="AU114" s="29"/>
      <c r="AV114" s="29"/>
      <c r="AW114" s="29"/>
      <c r="AX114" s="29"/>
      <c r="AY114" s="29"/>
      <c r="AZ114" s="29"/>
      <c r="BA114" s="29"/>
      <c r="BB114" s="29"/>
      <c r="BC114" s="29"/>
      <c r="BD114" s="29"/>
      <c r="BE114" s="29"/>
      <c r="BF114" s="29"/>
      <c r="BG114" s="29"/>
      <c r="BH114" s="29"/>
      <c r="BI114" s="29"/>
      <c r="BJ114" s="29"/>
      <c r="BK114" s="29"/>
      <c r="BL114" s="29"/>
      <c r="BM114" s="29"/>
      <c r="BN114" s="29"/>
      <c r="BO114" s="29"/>
      <c r="BP114" s="29"/>
    </row>
    <row r="115" spans="3:68" ht="10.35" hidden="1" customHeight="1" outlineLevel="1" x14ac:dyDescent="0.2">
      <c r="C115" s="80"/>
      <c r="D115" s="80"/>
      <c r="E115" s="80"/>
      <c r="F115" s="83"/>
      <c r="G115" s="83"/>
      <c r="H115" s="83"/>
      <c r="I115" s="83"/>
      <c r="J115" s="83"/>
      <c r="K115" s="79"/>
      <c r="L115" s="109"/>
      <c r="M115" s="110"/>
      <c r="N115" s="29"/>
      <c r="O115" s="29"/>
      <c r="P115" s="29"/>
      <c r="Q115" s="29"/>
      <c r="R115" s="29"/>
      <c r="S115" s="29"/>
      <c r="T115" s="29"/>
      <c r="U115" s="29"/>
      <c r="V115" s="29"/>
      <c r="W115" s="29"/>
      <c r="X115" s="29"/>
      <c r="Y115" s="29"/>
      <c r="Z115" s="29"/>
      <c r="AA115" s="29"/>
      <c r="AB115" s="29"/>
      <c r="AC115" s="29"/>
      <c r="AD115" s="29"/>
      <c r="AE115" s="29"/>
      <c r="AF115" s="29"/>
      <c r="AG115" s="29"/>
      <c r="AH115" s="29"/>
      <c r="AI115" s="29"/>
      <c r="AJ115" s="29"/>
      <c r="AK115" s="29"/>
      <c r="AL115" s="29"/>
      <c r="AM115" s="29"/>
      <c r="AN115" s="29"/>
      <c r="AO115" s="29"/>
      <c r="AP115" s="29"/>
      <c r="AQ115" s="29"/>
      <c r="AR115" s="29"/>
      <c r="AS115" s="29"/>
      <c r="AT115" s="29"/>
      <c r="AU115" s="29"/>
      <c r="AV115" s="29"/>
      <c r="AW115" s="29"/>
      <c r="AX115" s="29"/>
      <c r="AY115" s="29"/>
      <c r="AZ115" s="29"/>
      <c r="BA115" s="29"/>
      <c r="BB115" s="29"/>
      <c r="BC115" s="29"/>
      <c r="BD115" s="29"/>
      <c r="BE115" s="29"/>
      <c r="BF115" s="29"/>
      <c r="BG115" s="29"/>
      <c r="BH115" s="29"/>
      <c r="BI115" s="29"/>
      <c r="BJ115" s="29"/>
      <c r="BK115" s="29"/>
      <c r="BL115" s="29"/>
      <c r="BM115" s="29"/>
      <c r="BN115" s="29"/>
      <c r="BO115" s="29"/>
      <c r="BP115" s="29"/>
    </row>
    <row r="116" spans="3:68" ht="10.35" hidden="1" customHeight="1" outlineLevel="1" x14ac:dyDescent="0.2">
      <c r="C116" s="80"/>
      <c r="D116" s="80" t="s">
        <v>112</v>
      </c>
      <c r="E116" s="80"/>
      <c r="F116" s="173"/>
      <c r="G116" s="173"/>
      <c r="H116" s="173"/>
      <c r="I116" s="173"/>
      <c r="J116" s="173"/>
      <c r="K116" s="79"/>
      <c r="L116" s="412"/>
      <c r="M116" s="111"/>
      <c r="N116" s="28"/>
      <c r="O116" s="28"/>
      <c r="P116" s="28"/>
      <c r="Q116" s="28"/>
      <c r="R116" s="29"/>
      <c r="S116" s="29"/>
      <c r="T116" s="29"/>
      <c r="U116" s="29"/>
      <c r="V116" s="29"/>
      <c r="W116" s="29"/>
      <c r="X116" s="29"/>
      <c r="Y116" s="29"/>
      <c r="Z116" s="29"/>
      <c r="AA116" s="29"/>
      <c r="AB116" s="29"/>
      <c r="AC116" s="29"/>
      <c r="AD116" s="29"/>
      <c r="AE116" s="29"/>
      <c r="AF116" s="29"/>
      <c r="AG116" s="29"/>
      <c r="AH116" s="29"/>
      <c r="AI116" s="29"/>
      <c r="AJ116" s="29"/>
      <c r="AK116" s="29"/>
      <c r="AL116" s="29"/>
      <c r="AM116" s="29"/>
      <c r="AN116" s="29"/>
      <c r="AO116" s="29"/>
      <c r="AP116" s="29"/>
      <c r="AQ116" s="29"/>
      <c r="AR116" s="29"/>
      <c r="AS116" s="29"/>
      <c r="AT116" s="29"/>
      <c r="AU116" s="29"/>
      <c r="AV116" s="29"/>
      <c r="AW116" s="29"/>
      <c r="AX116" s="29"/>
      <c r="AY116" s="29"/>
      <c r="AZ116" s="29"/>
      <c r="BA116" s="29"/>
      <c r="BB116" s="29"/>
      <c r="BC116" s="29"/>
      <c r="BD116" s="29"/>
      <c r="BE116" s="29"/>
      <c r="BF116" s="29"/>
      <c r="BG116" s="29"/>
      <c r="BH116" s="29"/>
      <c r="BI116" s="29"/>
      <c r="BJ116" s="29"/>
      <c r="BK116" s="29"/>
      <c r="BL116" s="29"/>
      <c r="BM116" s="29"/>
      <c r="BN116" s="29"/>
      <c r="BO116" s="29"/>
      <c r="BP116" s="29"/>
    </row>
    <row r="117" spans="3:68" ht="10.35" hidden="1" customHeight="1" outlineLevel="1" x14ac:dyDescent="0.2">
      <c r="C117" s="80"/>
      <c r="D117" s="80"/>
      <c r="E117" s="80"/>
      <c r="F117" s="80"/>
      <c r="G117" s="80"/>
      <c r="H117" s="80"/>
      <c r="I117" s="80"/>
      <c r="J117" s="80"/>
      <c r="K117" s="80"/>
      <c r="L117" s="112"/>
      <c r="M117" s="113"/>
      <c r="N117" s="80"/>
      <c r="O117" s="80"/>
      <c r="P117" s="80"/>
      <c r="Q117" s="80"/>
      <c r="R117" s="29"/>
      <c r="S117" s="29"/>
      <c r="T117" s="29"/>
      <c r="U117" s="29"/>
      <c r="V117" s="29"/>
      <c r="W117" s="29"/>
      <c r="X117" s="29"/>
      <c r="Y117" s="29"/>
      <c r="Z117" s="29"/>
      <c r="AA117" s="29"/>
      <c r="AB117" s="29"/>
      <c r="AC117" s="29"/>
      <c r="AD117" s="29"/>
      <c r="AE117" s="29"/>
      <c r="AF117" s="29"/>
      <c r="AG117" s="29"/>
      <c r="AH117" s="29"/>
      <c r="AI117" s="29"/>
      <c r="AJ117" s="29"/>
      <c r="AK117" s="29"/>
      <c r="AL117" s="29"/>
      <c r="AM117" s="29"/>
      <c r="AN117" s="29"/>
      <c r="AO117" s="29"/>
      <c r="AP117" s="29"/>
      <c r="AQ117" s="29"/>
      <c r="AR117" s="29"/>
      <c r="AS117" s="29"/>
      <c r="AT117" s="29"/>
      <c r="AU117" s="29"/>
      <c r="AV117" s="29"/>
      <c r="AW117" s="29"/>
      <c r="AX117" s="29"/>
      <c r="AY117" s="29"/>
      <c r="AZ117" s="29"/>
      <c r="BA117" s="29"/>
      <c r="BB117" s="29"/>
      <c r="BC117" s="29"/>
      <c r="BD117" s="29"/>
      <c r="BE117" s="29"/>
      <c r="BF117" s="29"/>
      <c r="BG117" s="29"/>
      <c r="BH117" s="29"/>
      <c r="BI117" s="29"/>
      <c r="BJ117" s="29"/>
      <c r="BK117" s="29"/>
      <c r="BL117" s="29"/>
      <c r="BM117" s="29"/>
      <c r="BN117" s="29"/>
      <c r="BO117" s="29"/>
      <c r="BP117" s="29"/>
    </row>
    <row r="118" spans="3:68" s="18" customFormat="1" ht="10.35" customHeight="1" collapsed="1" x14ac:dyDescent="0.2">
      <c r="C118" s="19" t="s">
        <v>26</v>
      </c>
      <c r="D118" s="426"/>
      <c r="E118" s="426"/>
      <c r="F118" s="426"/>
      <c r="G118" s="426"/>
      <c r="H118" s="426"/>
      <c r="I118" s="426"/>
      <c r="J118" s="426"/>
      <c r="K118" s="426"/>
      <c r="L118" s="428"/>
      <c r="M118" s="429"/>
      <c r="N118" s="426"/>
      <c r="O118" s="426"/>
      <c r="P118" s="426"/>
      <c r="Q118" s="426"/>
      <c r="R118" s="30"/>
      <c r="S118" s="30"/>
      <c r="T118" s="30"/>
      <c r="U118" s="30"/>
      <c r="V118" s="30"/>
      <c r="W118" s="30"/>
      <c r="X118" s="30"/>
      <c r="Y118" s="30"/>
      <c r="Z118" s="30"/>
      <c r="AA118" s="30"/>
      <c r="AB118" s="30"/>
      <c r="AC118" s="30"/>
      <c r="AD118" s="30"/>
      <c r="AE118" s="30"/>
      <c r="AF118" s="30"/>
      <c r="AG118" s="30"/>
      <c r="AH118" s="30"/>
      <c r="AI118" s="30"/>
      <c r="AJ118" s="30"/>
      <c r="AK118" s="30"/>
      <c r="AL118" s="30"/>
      <c r="AM118" s="30"/>
      <c r="AN118" s="30"/>
      <c r="AO118" s="30"/>
      <c r="AP118" s="30"/>
      <c r="AQ118" s="30"/>
      <c r="AR118" s="30"/>
      <c r="AS118" s="30"/>
      <c r="AT118" s="30"/>
      <c r="AU118" s="30"/>
      <c r="AV118" s="30"/>
      <c r="AW118" s="30"/>
      <c r="AX118" s="30"/>
      <c r="AY118" s="30"/>
      <c r="AZ118" s="30"/>
      <c r="BA118" s="30"/>
      <c r="BB118" s="30"/>
      <c r="BC118" s="30"/>
      <c r="BD118" s="30"/>
      <c r="BE118" s="30"/>
      <c r="BF118" s="30"/>
      <c r="BG118" s="30"/>
      <c r="BH118" s="30"/>
      <c r="BI118" s="30"/>
      <c r="BJ118" s="30"/>
      <c r="BK118" s="30"/>
      <c r="BL118" s="30"/>
      <c r="BM118" s="30"/>
      <c r="BN118" s="30"/>
      <c r="BO118" s="30"/>
      <c r="BP118" s="30"/>
    </row>
    <row r="119" spans="3:68" ht="10.35" hidden="1" customHeight="1" outlineLevel="1" x14ac:dyDescent="0.2">
      <c r="C119" s="80"/>
      <c r="D119" s="80"/>
      <c r="E119" s="80"/>
      <c r="F119" s="80"/>
      <c r="G119" s="80"/>
      <c r="H119" s="80"/>
      <c r="I119" s="80"/>
      <c r="J119" s="80"/>
      <c r="K119" s="80"/>
      <c r="L119" s="412"/>
      <c r="M119" s="413"/>
      <c r="N119" s="80"/>
      <c r="O119" s="80"/>
      <c r="P119" s="80"/>
      <c r="Q119" s="80"/>
      <c r="R119" s="29"/>
      <c r="S119" s="29"/>
      <c r="T119" s="29"/>
      <c r="U119" s="29"/>
      <c r="V119" s="29"/>
      <c r="W119" s="29"/>
      <c r="X119" s="29"/>
      <c r="Y119" s="29"/>
      <c r="Z119" s="29"/>
      <c r="AA119" s="29"/>
      <c r="AB119" s="29"/>
      <c r="AC119" s="29"/>
      <c r="AD119" s="29"/>
      <c r="AE119" s="29"/>
      <c r="AF119" s="29"/>
      <c r="AG119" s="29"/>
      <c r="AH119" s="29"/>
      <c r="AI119" s="29"/>
      <c r="AJ119" s="29"/>
      <c r="AK119" s="29"/>
      <c r="AL119" s="29"/>
      <c r="AM119" s="29"/>
      <c r="AN119" s="29"/>
      <c r="AO119" s="29"/>
      <c r="AP119" s="29"/>
      <c r="AQ119" s="29"/>
      <c r="AR119" s="29"/>
      <c r="AS119" s="29"/>
      <c r="AT119" s="29"/>
      <c r="AU119" s="29"/>
      <c r="AV119" s="29"/>
      <c r="AW119" s="29"/>
      <c r="AX119" s="29"/>
      <c r="AY119" s="29"/>
      <c r="AZ119" s="29"/>
      <c r="BA119" s="29"/>
      <c r="BB119" s="29"/>
      <c r="BC119" s="29"/>
      <c r="BD119" s="29"/>
      <c r="BE119" s="29"/>
      <c r="BF119" s="29"/>
      <c r="BG119" s="29"/>
      <c r="BH119" s="29"/>
      <c r="BI119" s="29"/>
      <c r="BJ119" s="29"/>
      <c r="BK119" s="29"/>
      <c r="BL119" s="29"/>
      <c r="BM119" s="29"/>
      <c r="BN119" s="29"/>
      <c r="BO119" s="29"/>
      <c r="BP119" s="29"/>
    </row>
    <row r="120" spans="3:68" ht="10.35" hidden="1" customHeight="1" outlineLevel="1" x14ac:dyDescent="0.2">
      <c r="C120" s="80"/>
      <c r="D120" s="80"/>
      <c r="E120" s="80"/>
      <c r="F120" s="80"/>
      <c r="G120" s="80"/>
      <c r="H120" s="80"/>
      <c r="I120" s="80"/>
      <c r="J120" s="80"/>
      <c r="K120" s="80"/>
      <c r="L120" s="412"/>
      <c r="M120" s="413"/>
      <c r="N120" s="80"/>
      <c r="O120" s="80"/>
      <c r="P120" s="80"/>
      <c r="Q120" s="80"/>
      <c r="R120" s="29"/>
      <c r="S120" s="29"/>
      <c r="T120" s="29"/>
      <c r="U120" s="29"/>
      <c r="V120" s="29"/>
      <c r="W120" s="29"/>
      <c r="X120" s="29"/>
      <c r="Y120" s="29"/>
      <c r="Z120" s="29"/>
      <c r="AA120" s="29"/>
      <c r="AB120" s="29"/>
      <c r="AC120" s="29"/>
      <c r="AD120" s="29"/>
      <c r="AE120" s="29"/>
      <c r="AF120" s="29"/>
      <c r="AG120" s="29"/>
      <c r="AH120" s="29"/>
      <c r="AI120" s="29"/>
      <c r="AJ120" s="29"/>
      <c r="AK120" s="29"/>
      <c r="AL120" s="29"/>
      <c r="AM120" s="29"/>
      <c r="AN120" s="29"/>
      <c r="AO120" s="29"/>
      <c r="AP120" s="29"/>
      <c r="AQ120" s="29"/>
      <c r="AR120" s="29"/>
      <c r="AS120" s="29"/>
      <c r="AT120" s="29"/>
      <c r="AU120" s="29"/>
      <c r="AV120" s="29"/>
      <c r="AW120" s="29"/>
      <c r="AX120" s="29"/>
      <c r="AY120" s="29"/>
      <c r="AZ120" s="29"/>
      <c r="BA120" s="29"/>
      <c r="BB120" s="29"/>
      <c r="BC120" s="29"/>
      <c r="BD120" s="29"/>
      <c r="BE120" s="29"/>
      <c r="BF120" s="29"/>
      <c r="BG120" s="29"/>
      <c r="BH120" s="29"/>
      <c r="BI120" s="29"/>
      <c r="BJ120" s="29"/>
      <c r="BK120" s="29"/>
      <c r="BL120" s="29"/>
      <c r="BM120" s="29"/>
      <c r="BN120" s="29"/>
      <c r="BO120" s="29"/>
      <c r="BP120" s="29"/>
    </row>
    <row r="121" spans="3:68" ht="10.35" hidden="1" customHeight="1" outlineLevel="1" x14ac:dyDescent="0.2">
      <c r="C121" s="80"/>
      <c r="D121" s="80"/>
      <c r="E121" s="80"/>
      <c r="F121" s="80"/>
      <c r="G121" s="80"/>
      <c r="H121" s="80"/>
      <c r="I121" s="80"/>
      <c r="J121" s="80"/>
      <c r="K121" s="80"/>
      <c r="L121" s="412"/>
      <c r="M121" s="413"/>
      <c r="N121" s="80"/>
      <c r="O121" s="80"/>
      <c r="P121" s="80"/>
      <c r="Q121" s="80"/>
      <c r="R121" s="29"/>
      <c r="S121" s="29"/>
      <c r="T121" s="29"/>
      <c r="U121" s="29"/>
      <c r="V121" s="29"/>
      <c r="W121" s="29"/>
      <c r="X121" s="29"/>
      <c r="Y121" s="29"/>
      <c r="Z121" s="29"/>
      <c r="AA121" s="29"/>
      <c r="AB121" s="29"/>
      <c r="AC121" s="29"/>
      <c r="AD121" s="29"/>
      <c r="AE121" s="29"/>
      <c r="AF121" s="29"/>
      <c r="AG121" s="29"/>
      <c r="AH121" s="29"/>
      <c r="AI121" s="29"/>
      <c r="AJ121" s="29"/>
      <c r="AK121" s="29"/>
      <c r="AL121" s="29"/>
      <c r="AM121" s="29"/>
      <c r="AN121" s="29"/>
      <c r="AO121" s="29"/>
      <c r="AP121" s="29"/>
      <c r="AQ121" s="29"/>
      <c r="AR121" s="29"/>
      <c r="AS121" s="29"/>
      <c r="AT121" s="29"/>
      <c r="AU121" s="29"/>
      <c r="AV121" s="29"/>
      <c r="AW121" s="29"/>
      <c r="AX121" s="29"/>
      <c r="AY121" s="29"/>
      <c r="AZ121" s="29"/>
      <c r="BA121" s="29"/>
      <c r="BB121" s="29"/>
      <c r="BC121" s="29"/>
      <c r="BD121" s="29"/>
      <c r="BE121" s="29"/>
      <c r="BF121" s="29"/>
      <c r="BG121" s="29"/>
      <c r="BH121" s="29"/>
      <c r="BI121" s="29"/>
      <c r="BJ121" s="29"/>
      <c r="BK121" s="29"/>
      <c r="BL121" s="29"/>
      <c r="BM121" s="29"/>
      <c r="BN121" s="29"/>
      <c r="BO121" s="29"/>
      <c r="BP121" s="29"/>
    </row>
    <row r="122" spans="3:68" ht="10.35" hidden="1" customHeight="1" outlineLevel="1" x14ac:dyDescent="0.2">
      <c r="C122" s="80"/>
      <c r="D122" s="80"/>
      <c r="E122" s="80"/>
      <c r="F122" s="80"/>
      <c r="G122" s="80"/>
      <c r="H122" s="80"/>
      <c r="I122" s="80"/>
      <c r="J122" s="80"/>
      <c r="K122" s="80"/>
      <c r="L122" s="412"/>
      <c r="M122" s="413"/>
      <c r="N122" s="80"/>
      <c r="O122" s="80"/>
      <c r="P122" s="80"/>
      <c r="Q122" s="80"/>
      <c r="R122" s="29"/>
      <c r="S122" s="29"/>
      <c r="T122" s="29"/>
      <c r="U122" s="29"/>
      <c r="V122" s="29"/>
      <c r="W122" s="29"/>
      <c r="X122" s="29"/>
      <c r="Y122" s="29"/>
      <c r="Z122" s="29"/>
      <c r="AA122" s="29"/>
      <c r="AB122" s="29"/>
      <c r="AC122" s="29"/>
      <c r="AD122" s="29"/>
      <c r="AE122" s="29"/>
      <c r="AF122" s="29"/>
      <c r="AG122" s="29"/>
      <c r="AH122" s="29"/>
      <c r="AI122" s="29"/>
      <c r="AJ122" s="29"/>
      <c r="AK122" s="29"/>
      <c r="AL122" s="29"/>
      <c r="AM122" s="29"/>
      <c r="AN122" s="29"/>
      <c r="AO122" s="29"/>
      <c r="AP122" s="29"/>
      <c r="AQ122" s="29"/>
      <c r="AR122" s="29"/>
      <c r="AS122" s="29"/>
      <c r="AT122" s="29"/>
      <c r="AU122" s="29"/>
      <c r="AV122" s="29"/>
      <c r="AW122" s="29"/>
      <c r="AX122" s="29"/>
      <c r="AY122" s="29"/>
      <c r="AZ122" s="29"/>
      <c r="BA122" s="29"/>
      <c r="BB122" s="29"/>
      <c r="BC122" s="29"/>
      <c r="BD122" s="29"/>
      <c r="BE122" s="29"/>
      <c r="BF122" s="29"/>
      <c r="BG122" s="29"/>
      <c r="BH122" s="29"/>
      <c r="BI122" s="29"/>
      <c r="BJ122" s="29"/>
      <c r="BK122" s="29"/>
      <c r="BL122" s="29"/>
      <c r="BM122" s="29"/>
      <c r="BN122" s="29"/>
      <c r="BO122" s="29"/>
      <c r="BP122" s="29"/>
    </row>
    <row r="123" spans="3:68" ht="10.35" hidden="1" customHeight="1" outlineLevel="1" x14ac:dyDescent="0.2">
      <c r="C123" s="80"/>
      <c r="D123" s="80"/>
      <c r="E123" s="80"/>
      <c r="F123" s="80"/>
      <c r="G123" s="80"/>
      <c r="H123" s="80"/>
      <c r="I123" s="80"/>
      <c r="J123" s="80"/>
      <c r="K123" s="80"/>
      <c r="L123" s="412"/>
      <c r="M123" s="413"/>
      <c r="N123" s="80"/>
      <c r="O123" s="80"/>
      <c r="P123" s="80"/>
      <c r="Q123" s="80"/>
      <c r="R123" s="29"/>
      <c r="S123" s="29"/>
      <c r="T123" s="29"/>
      <c r="U123" s="29"/>
      <c r="V123" s="29"/>
      <c r="W123" s="29"/>
      <c r="X123" s="29"/>
      <c r="Y123" s="29"/>
      <c r="Z123" s="29"/>
      <c r="AA123" s="29"/>
      <c r="AB123" s="29"/>
      <c r="AC123" s="29"/>
      <c r="AD123" s="29"/>
      <c r="AE123" s="29"/>
      <c r="AF123" s="29"/>
      <c r="AG123" s="29"/>
      <c r="AH123" s="29"/>
      <c r="AI123" s="29"/>
      <c r="AJ123" s="29"/>
      <c r="AK123" s="29"/>
      <c r="AL123" s="29"/>
      <c r="AM123" s="29"/>
      <c r="AN123" s="29"/>
      <c r="AO123" s="29"/>
      <c r="AP123" s="29"/>
      <c r="AQ123" s="29"/>
      <c r="AR123" s="29"/>
      <c r="AS123" s="29"/>
      <c r="AT123" s="29"/>
      <c r="AU123" s="29"/>
      <c r="AV123" s="29"/>
      <c r="AW123" s="29"/>
      <c r="AX123" s="29"/>
      <c r="AY123" s="29"/>
      <c r="AZ123" s="29"/>
      <c r="BA123" s="29"/>
      <c r="BB123" s="29"/>
      <c r="BC123" s="29"/>
      <c r="BD123" s="29"/>
      <c r="BE123" s="29"/>
      <c r="BF123" s="29"/>
      <c r="BG123" s="29"/>
      <c r="BH123" s="29"/>
      <c r="BI123" s="29"/>
      <c r="BJ123" s="29"/>
      <c r="BK123" s="29"/>
      <c r="BL123" s="29"/>
      <c r="BM123" s="29"/>
      <c r="BN123" s="29"/>
      <c r="BO123" s="29"/>
      <c r="BP123" s="29"/>
    </row>
    <row r="124" spans="3:68" ht="10.35" hidden="1" customHeight="1" outlineLevel="1" x14ac:dyDescent="0.2">
      <c r="C124" s="80"/>
      <c r="D124" s="80"/>
      <c r="E124" s="80"/>
      <c r="F124" s="80"/>
      <c r="G124" s="80"/>
      <c r="H124" s="80"/>
      <c r="I124" s="80"/>
      <c r="J124" s="80"/>
      <c r="K124" s="80"/>
      <c r="L124" s="412"/>
      <c r="M124" s="413"/>
      <c r="N124" s="80"/>
      <c r="O124" s="80"/>
      <c r="P124" s="80"/>
      <c r="Q124" s="80"/>
      <c r="R124" s="29"/>
      <c r="S124" s="29"/>
      <c r="T124" s="29"/>
      <c r="U124" s="29"/>
      <c r="V124" s="29"/>
      <c r="W124" s="29"/>
      <c r="X124" s="29"/>
      <c r="Y124" s="29"/>
      <c r="Z124" s="29"/>
      <c r="AA124" s="29"/>
      <c r="AB124" s="29"/>
      <c r="AC124" s="29"/>
      <c r="AD124" s="29"/>
      <c r="AE124" s="29"/>
      <c r="AF124" s="29"/>
      <c r="AG124" s="29"/>
      <c r="AH124" s="29"/>
      <c r="AI124" s="29"/>
      <c r="AJ124" s="29"/>
      <c r="AK124" s="29"/>
      <c r="AL124" s="29"/>
      <c r="AM124" s="29"/>
      <c r="AN124" s="29"/>
      <c r="AO124" s="29"/>
      <c r="AP124" s="29"/>
      <c r="AQ124" s="29"/>
      <c r="AR124" s="29"/>
      <c r="AS124" s="29"/>
      <c r="AT124" s="29"/>
      <c r="AU124" s="29"/>
      <c r="AV124" s="29"/>
      <c r="AW124" s="29"/>
      <c r="AX124" s="29"/>
      <c r="AY124" s="29"/>
      <c r="AZ124" s="29"/>
      <c r="BA124" s="29"/>
      <c r="BB124" s="29"/>
      <c r="BC124" s="29"/>
      <c r="BD124" s="29"/>
      <c r="BE124" s="29"/>
      <c r="BF124" s="29"/>
      <c r="BG124" s="29"/>
      <c r="BH124" s="29"/>
      <c r="BI124" s="29"/>
      <c r="BJ124" s="29"/>
      <c r="BK124" s="29"/>
      <c r="BL124" s="29"/>
      <c r="BM124" s="29"/>
      <c r="BN124" s="29"/>
      <c r="BO124" s="29"/>
      <c r="BP124" s="29"/>
    </row>
    <row r="125" spans="3:68" ht="10.35" hidden="1" customHeight="1" outlineLevel="1" x14ac:dyDescent="0.2">
      <c r="C125" s="80"/>
      <c r="D125" s="80"/>
      <c r="E125" s="80"/>
      <c r="F125" s="80"/>
      <c r="G125" s="80"/>
      <c r="H125" s="80"/>
      <c r="I125" s="80"/>
      <c r="J125" s="80"/>
      <c r="K125" s="80"/>
      <c r="L125" s="412"/>
      <c r="M125" s="413"/>
      <c r="N125" s="80"/>
      <c r="O125" s="80"/>
      <c r="P125" s="80"/>
      <c r="Q125" s="80"/>
      <c r="R125" s="29"/>
      <c r="S125" s="29"/>
      <c r="T125" s="29"/>
      <c r="U125" s="29"/>
      <c r="V125" s="29"/>
      <c r="W125" s="29"/>
      <c r="X125" s="29"/>
      <c r="Y125" s="29"/>
      <c r="Z125" s="29"/>
      <c r="AA125" s="29"/>
      <c r="AB125" s="29"/>
      <c r="AC125" s="29"/>
      <c r="AD125" s="29"/>
      <c r="AE125" s="29"/>
      <c r="AF125" s="29"/>
      <c r="AG125" s="29"/>
      <c r="AH125" s="29"/>
      <c r="AI125" s="29"/>
      <c r="AJ125" s="29"/>
      <c r="AK125" s="29"/>
      <c r="AL125" s="29"/>
      <c r="AM125" s="29"/>
      <c r="AN125" s="29"/>
      <c r="AO125" s="29"/>
      <c r="AP125" s="29"/>
      <c r="AQ125" s="29"/>
      <c r="AR125" s="29"/>
      <c r="AS125" s="29"/>
      <c r="AT125" s="29"/>
      <c r="AU125" s="29"/>
      <c r="AV125" s="29"/>
      <c r="AW125" s="29"/>
      <c r="AX125" s="29"/>
      <c r="AY125" s="29"/>
      <c r="AZ125" s="29"/>
      <c r="BA125" s="29"/>
      <c r="BB125" s="29"/>
      <c r="BC125" s="29"/>
      <c r="BD125" s="29"/>
      <c r="BE125" s="29"/>
      <c r="BF125" s="29"/>
      <c r="BG125" s="29"/>
      <c r="BH125" s="29"/>
      <c r="BI125" s="29"/>
      <c r="BJ125" s="29"/>
      <c r="BK125" s="29"/>
      <c r="BL125" s="29"/>
      <c r="BM125" s="29"/>
      <c r="BN125" s="29"/>
      <c r="BO125" s="29"/>
      <c r="BP125" s="29"/>
    </row>
    <row r="126" spans="3:68" ht="10.35" hidden="1" customHeight="1" outlineLevel="1" x14ac:dyDescent="0.2">
      <c r="C126" s="80"/>
      <c r="D126" s="80"/>
      <c r="E126" s="80"/>
      <c r="F126" s="80"/>
      <c r="G126" s="80"/>
      <c r="H126" s="80"/>
      <c r="I126" s="80"/>
      <c r="J126" s="80"/>
      <c r="K126" s="80"/>
      <c r="L126" s="412"/>
      <c r="M126" s="413"/>
      <c r="N126" s="80"/>
      <c r="O126" s="80"/>
      <c r="P126" s="80"/>
      <c r="Q126" s="80"/>
      <c r="R126" s="29"/>
      <c r="S126" s="29"/>
      <c r="T126" s="29"/>
      <c r="U126" s="29"/>
      <c r="V126" s="29"/>
      <c r="W126" s="29"/>
      <c r="X126" s="29"/>
      <c r="Y126" s="29"/>
      <c r="Z126" s="29"/>
      <c r="AA126" s="29"/>
      <c r="AB126" s="29"/>
      <c r="AC126" s="29"/>
      <c r="AD126" s="29"/>
      <c r="AE126" s="29"/>
      <c r="AF126" s="29"/>
      <c r="AG126" s="29"/>
      <c r="AH126" s="29"/>
      <c r="AI126" s="29"/>
      <c r="AJ126" s="29"/>
      <c r="AK126" s="29"/>
      <c r="AL126" s="29"/>
      <c r="AM126" s="29"/>
      <c r="AN126" s="29"/>
      <c r="AO126" s="29"/>
      <c r="AP126" s="29"/>
      <c r="AQ126" s="29"/>
      <c r="AR126" s="29"/>
      <c r="AS126" s="29"/>
      <c r="AT126" s="29"/>
      <c r="AU126" s="29"/>
      <c r="AV126" s="29"/>
      <c r="AW126" s="29"/>
      <c r="AX126" s="29"/>
      <c r="AY126" s="29"/>
      <c r="AZ126" s="29"/>
      <c r="BA126" s="29"/>
      <c r="BB126" s="29"/>
      <c r="BC126" s="29"/>
      <c r="BD126" s="29"/>
      <c r="BE126" s="29"/>
      <c r="BF126" s="29"/>
      <c r="BG126" s="29"/>
      <c r="BH126" s="29"/>
      <c r="BI126" s="29"/>
      <c r="BJ126" s="29"/>
      <c r="BK126" s="29"/>
      <c r="BL126" s="29"/>
      <c r="BM126" s="29"/>
      <c r="BN126" s="29"/>
      <c r="BO126" s="29"/>
      <c r="BP126" s="29"/>
    </row>
    <row r="127" spans="3:68" ht="10.35" hidden="1" customHeight="1" outlineLevel="1" x14ac:dyDescent="0.2">
      <c r="C127" s="10"/>
      <c r="D127" s="80"/>
      <c r="E127" s="80"/>
      <c r="F127" s="10" t="s">
        <v>96</v>
      </c>
      <c r="G127" s="80"/>
      <c r="H127" s="80"/>
      <c r="I127" s="80"/>
      <c r="J127" s="80"/>
      <c r="K127" s="17"/>
      <c r="L127" s="104"/>
      <c r="M127" s="105"/>
      <c r="N127" s="17"/>
      <c r="O127" s="17"/>
      <c r="P127" s="17"/>
      <c r="Q127" s="17"/>
      <c r="R127" s="24" t="str">
        <f>"FY"&amp;RIGHT(Assumptions!$L$19+R68,2)</f>
        <v>FY22</v>
      </c>
      <c r="S127" s="24" t="str">
        <f>"FY"&amp;RIGHT(Assumptions!$L$19+S68,2)</f>
        <v>FY23</v>
      </c>
      <c r="T127" s="24" t="str">
        <f>"FY"&amp;RIGHT(Assumptions!$L$19+T68,2)</f>
        <v>FY24</v>
      </c>
      <c r="U127" s="24" t="str">
        <f>"FY"&amp;RIGHT(Assumptions!$L$19+U68,2)</f>
        <v>FY25</v>
      </c>
      <c r="V127" s="24" t="str">
        <f>"FY"&amp;RIGHT(Assumptions!$L$19+V68,2)</f>
        <v>FY26</v>
      </c>
      <c r="W127" s="24" t="str">
        <f>"FY"&amp;RIGHT(Assumptions!$L$19+W68,2)</f>
        <v>FY27</v>
      </c>
      <c r="X127" s="24" t="str">
        <f>"FY"&amp;RIGHT(Assumptions!$L$19+X68,2)</f>
        <v>FY28</v>
      </c>
      <c r="Y127" s="24" t="str">
        <f>"FY"&amp;RIGHT(Assumptions!$L$19+Y68,2)</f>
        <v>FY29</v>
      </c>
      <c r="Z127" s="24" t="str">
        <f>"FY"&amp;RIGHT(Assumptions!$L$19+Z68,2)</f>
        <v>FY30</v>
      </c>
      <c r="AA127" s="24" t="str">
        <f>"FY"&amp;RIGHT(Assumptions!$L$19+AA68,2)</f>
        <v>FY31</v>
      </c>
      <c r="AB127" s="24" t="str">
        <f>"FY"&amp;RIGHT(Assumptions!$L$19+AB68,2)</f>
        <v>FY32</v>
      </c>
      <c r="AC127" s="24" t="str">
        <f>"FY"&amp;RIGHT(Assumptions!$L$19+AC68,2)</f>
        <v>FY33</v>
      </c>
      <c r="AD127" s="24" t="str">
        <f>"FY"&amp;RIGHT(Assumptions!$L$19+AD68,2)</f>
        <v>FY34</v>
      </c>
      <c r="AE127" s="24" t="str">
        <f>"FY"&amp;RIGHT(Assumptions!$L$19+AE68,2)</f>
        <v>FY35</v>
      </c>
      <c r="AF127" s="24" t="str">
        <f>"FY"&amp;RIGHT(Assumptions!$L$19+AF68,2)</f>
        <v>FY36</v>
      </c>
      <c r="AG127" s="24" t="str">
        <f>"FY"&amp;RIGHT(Assumptions!$L$19+AG68,2)</f>
        <v>FY37</v>
      </c>
      <c r="AH127" s="24" t="str">
        <f>"FY"&amp;RIGHT(Assumptions!$L$19+AH68,2)</f>
        <v>FY38</v>
      </c>
      <c r="AI127" s="24" t="str">
        <f>"FY"&amp;RIGHT(Assumptions!$L$19+AI68,2)</f>
        <v>FY39</v>
      </c>
      <c r="AJ127" s="24" t="str">
        <f>"FY"&amp;RIGHT(Assumptions!$L$19+AJ68,2)</f>
        <v>FY40</v>
      </c>
      <c r="AK127" s="24" t="str">
        <f>"FY"&amp;RIGHT(Assumptions!$L$19+AK68,2)</f>
        <v>FY41</v>
      </c>
      <c r="AL127" s="24" t="str">
        <f>"FY"&amp;RIGHT(Assumptions!$L$19+AL68,2)</f>
        <v>FY42</v>
      </c>
      <c r="AM127" s="24" t="str">
        <f>"FY"&amp;RIGHT(Assumptions!$L$19+AM68,2)</f>
        <v>FY43</v>
      </c>
      <c r="AN127" s="24" t="str">
        <f>"FY"&amp;RIGHT(Assumptions!$L$19+AN68,2)</f>
        <v>FY44</v>
      </c>
      <c r="AO127" s="24" t="str">
        <f>"FY"&amp;RIGHT(Assumptions!$L$19+AO68,2)</f>
        <v>FY45</v>
      </c>
      <c r="AP127" s="24" t="str">
        <f>"FY"&amp;RIGHT(Assumptions!$L$19+AP68,2)</f>
        <v>FY46</v>
      </c>
      <c r="AQ127" s="24" t="str">
        <f>"FY"&amp;RIGHT(Assumptions!$L$19+AQ68,2)</f>
        <v>FY47</v>
      </c>
      <c r="AR127" s="24" t="str">
        <f>"FY"&amp;RIGHT(Assumptions!$L$19+AR68,2)</f>
        <v>FY48</v>
      </c>
      <c r="AS127" s="24" t="str">
        <f>"FY"&amp;RIGHT(Assumptions!$L$19+AS68,2)</f>
        <v>FY49</v>
      </c>
      <c r="AT127" s="24" t="str">
        <f>"FY"&amp;RIGHT(Assumptions!$L$19+AT68,2)</f>
        <v>FY50</v>
      </c>
      <c r="AU127" s="24" t="str">
        <f>"FY"&amp;RIGHT(Assumptions!$L$19+AU68,2)</f>
        <v>FY51</v>
      </c>
      <c r="AV127" s="24" t="str">
        <f>"FY"&amp;RIGHT(Assumptions!$L$19+AV68,2)</f>
        <v>FY52</v>
      </c>
      <c r="AW127" s="24" t="str">
        <f>"FY"&amp;RIGHT(Assumptions!$L$19+AW68,2)</f>
        <v>FY53</v>
      </c>
      <c r="AX127" s="24" t="str">
        <f>"FY"&amp;RIGHT(Assumptions!$L$19+AX68,2)</f>
        <v>FY54</v>
      </c>
      <c r="AY127" s="24" t="str">
        <f>"FY"&amp;RIGHT(Assumptions!$L$19+AY68,2)</f>
        <v>FY55</v>
      </c>
      <c r="AZ127" s="24" t="str">
        <f>"FY"&amp;RIGHT(Assumptions!$L$19+AZ68,2)</f>
        <v>FY56</v>
      </c>
      <c r="BA127" s="24" t="str">
        <f>"FY"&amp;RIGHT(Assumptions!$L$19+BA68,2)</f>
        <v>FY57</v>
      </c>
      <c r="BB127" s="24" t="str">
        <f>"FY"&amp;RIGHT(Assumptions!$L$19+BB68,2)</f>
        <v>FY58</v>
      </c>
      <c r="BC127" s="24" t="str">
        <f>"FY"&amp;RIGHT(Assumptions!$L$19+BC68,2)</f>
        <v>FY59</v>
      </c>
      <c r="BD127" s="24" t="str">
        <f>"FY"&amp;RIGHT(Assumptions!$L$19+BD68,2)</f>
        <v>FY60</v>
      </c>
      <c r="BE127" s="24" t="str">
        <f>"FY"&amp;RIGHT(Assumptions!$L$19+BE68,2)</f>
        <v>FY61</v>
      </c>
      <c r="BF127" s="24" t="str">
        <f>"FY"&amp;RIGHT(Assumptions!$L$19+BF68,2)</f>
        <v>FY62</v>
      </c>
      <c r="BG127" s="24" t="str">
        <f>"FY"&amp;RIGHT(Assumptions!$L$19+BG68,2)</f>
        <v>FY63</v>
      </c>
      <c r="BH127" s="24" t="str">
        <f>"FY"&amp;RIGHT(Assumptions!$L$19+BH68,2)</f>
        <v>FY64</v>
      </c>
      <c r="BI127" s="24" t="str">
        <f>"FY"&amp;RIGHT(Assumptions!$L$19+BI68,2)</f>
        <v>FY65</v>
      </c>
      <c r="BJ127" s="24" t="str">
        <f>"FY"&amp;RIGHT(Assumptions!$L$19+BJ68,2)</f>
        <v>FY66</v>
      </c>
      <c r="BK127" s="24" t="str">
        <f>"FY"&amp;RIGHT(Assumptions!$L$19+BK68,2)</f>
        <v>FY67</v>
      </c>
      <c r="BL127" s="24" t="str">
        <f>"FY"&amp;RIGHT(Assumptions!$L$19+BL68,2)</f>
        <v>FY68</v>
      </c>
      <c r="BM127" s="24" t="str">
        <f>"FY"&amp;RIGHT(Assumptions!$L$19+BM68,2)</f>
        <v>FY69</v>
      </c>
      <c r="BN127" s="24" t="str">
        <f>"FY"&amp;RIGHT(Assumptions!$L$19+BN68,2)</f>
        <v>FY70</v>
      </c>
      <c r="BO127" s="24" t="str">
        <f>"FY"&amp;RIGHT(Assumptions!$L$19+BO68,2)</f>
        <v>FY71</v>
      </c>
      <c r="BP127" s="24" t="str">
        <f>"FY"&amp;RIGHT(Assumptions!$L$19+BP68,2)</f>
        <v>FY72</v>
      </c>
    </row>
    <row r="128" spans="3:68" ht="10.35" hidden="1" customHeight="1" outlineLevel="1" x14ac:dyDescent="0.2">
      <c r="C128" s="80"/>
      <c r="D128" s="80"/>
      <c r="E128" s="80"/>
      <c r="F128" s="80"/>
      <c r="G128" s="80"/>
      <c r="H128" s="80"/>
      <c r="I128" s="80"/>
      <c r="J128" s="80"/>
      <c r="K128" s="80"/>
      <c r="L128" s="412"/>
      <c r="M128" s="413"/>
      <c r="N128" s="80"/>
      <c r="O128" s="80"/>
      <c r="P128" s="80"/>
      <c r="Q128" s="80"/>
      <c r="R128" s="29"/>
      <c r="S128" s="29"/>
      <c r="T128" s="29"/>
      <c r="U128" s="29"/>
      <c r="V128" s="29"/>
      <c r="W128" s="29"/>
      <c r="X128" s="29"/>
      <c r="Y128" s="29"/>
      <c r="Z128" s="29"/>
      <c r="AA128" s="29"/>
      <c r="AB128" s="29"/>
      <c r="AC128" s="29"/>
      <c r="AD128" s="29"/>
      <c r="AE128" s="29"/>
      <c r="AF128" s="29"/>
      <c r="AG128" s="29"/>
      <c r="AH128" s="29"/>
      <c r="AI128" s="29"/>
      <c r="AJ128" s="29"/>
      <c r="AK128" s="29"/>
      <c r="AL128" s="29"/>
      <c r="AM128" s="29"/>
      <c r="AN128" s="29"/>
      <c r="AO128" s="29"/>
      <c r="AP128" s="29"/>
      <c r="AQ128" s="29"/>
      <c r="AR128" s="29"/>
      <c r="AS128" s="29"/>
      <c r="AT128" s="29"/>
      <c r="AU128" s="29"/>
      <c r="AV128" s="29"/>
      <c r="AW128" s="29"/>
      <c r="AX128" s="29"/>
      <c r="AY128" s="29"/>
      <c r="AZ128" s="29"/>
      <c r="BA128" s="29"/>
      <c r="BB128" s="29"/>
      <c r="BC128" s="29"/>
      <c r="BD128" s="29"/>
      <c r="BE128" s="29"/>
      <c r="BF128" s="29"/>
      <c r="BG128" s="29"/>
      <c r="BH128" s="29"/>
      <c r="BI128" s="29"/>
      <c r="BJ128" s="29"/>
      <c r="BK128" s="29"/>
      <c r="BL128" s="29"/>
      <c r="BM128" s="29"/>
      <c r="BN128" s="29"/>
      <c r="BO128" s="29"/>
      <c r="BP128" s="29"/>
    </row>
    <row r="129" spans="3:68" ht="10.35" hidden="1" customHeight="1" outlineLevel="1" x14ac:dyDescent="0.2">
      <c r="C129" s="10"/>
      <c r="D129" s="318" t="s">
        <v>113</v>
      </c>
      <c r="E129" s="80"/>
      <c r="F129" s="511"/>
      <c r="G129" s="511"/>
      <c r="H129" s="511"/>
      <c r="I129" s="511"/>
      <c r="J129" s="511"/>
      <c r="K129" s="80"/>
      <c r="L129" s="436"/>
      <c r="M129" s="437"/>
      <c r="N129" s="401"/>
      <c r="O129" s="401"/>
      <c r="P129" s="401"/>
      <c r="Q129" s="401"/>
      <c r="R129" s="28"/>
      <c r="S129" s="28"/>
      <c r="T129" s="28"/>
      <c r="U129" s="28"/>
      <c r="V129" s="28"/>
      <c r="W129" s="28"/>
      <c r="X129" s="28"/>
      <c r="Y129" s="28"/>
      <c r="Z129" s="28"/>
      <c r="AA129" s="28"/>
      <c r="AB129" s="28"/>
      <c r="AC129" s="28"/>
      <c r="AD129" s="28"/>
      <c r="AE129" s="28"/>
      <c r="AF129" s="28"/>
      <c r="AG129" s="28"/>
      <c r="AH129" s="28"/>
      <c r="AI129" s="28"/>
      <c r="AJ129" s="28"/>
      <c r="AK129" s="28"/>
      <c r="AL129" s="28"/>
      <c r="AM129" s="28"/>
      <c r="AN129" s="28"/>
      <c r="AO129" s="28"/>
      <c r="AP129" s="28"/>
      <c r="AQ129" s="28"/>
      <c r="AR129" s="28"/>
      <c r="AS129" s="28"/>
      <c r="AT129" s="28"/>
      <c r="AU129" s="28"/>
      <c r="AV129" s="28"/>
      <c r="AW129" s="28"/>
      <c r="AX129" s="28"/>
      <c r="AY129" s="28"/>
      <c r="AZ129" s="28"/>
      <c r="BA129" s="28"/>
      <c r="BB129" s="28"/>
      <c r="BC129" s="28"/>
      <c r="BD129" s="28"/>
      <c r="BE129" s="28"/>
      <c r="BF129" s="28"/>
      <c r="BG129" s="28"/>
      <c r="BH129" s="28"/>
      <c r="BI129" s="28"/>
      <c r="BJ129" s="28"/>
      <c r="BK129" s="28"/>
      <c r="BL129" s="28"/>
      <c r="BM129" s="28"/>
      <c r="BN129" s="28"/>
      <c r="BO129" s="28"/>
      <c r="BP129" s="28"/>
    </row>
    <row r="130" spans="3:68" ht="10.35" hidden="1" customHeight="1" outlineLevel="1" x14ac:dyDescent="0.2">
      <c r="C130" s="10"/>
      <c r="D130" s="318" t="s">
        <v>114</v>
      </c>
      <c r="E130" s="80"/>
      <c r="F130" s="511"/>
      <c r="G130" s="511"/>
      <c r="H130" s="511"/>
      <c r="I130" s="511"/>
      <c r="J130" s="511"/>
      <c r="K130" s="80"/>
      <c r="L130" s="436"/>
      <c r="M130" s="437"/>
      <c r="N130" s="401"/>
      <c r="O130" s="401"/>
      <c r="P130" s="401"/>
      <c r="Q130" s="401"/>
      <c r="R130" s="28"/>
      <c r="S130" s="28"/>
      <c r="T130" s="28"/>
      <c r="U130" s="28"/>
      <c r="V130" s="28"/>
      <c r="W130" s="28"/>
      <c r="X130" s="28"/>
      <c r="Y130" s="28"/>
      <c r="Z130" s="28"/>
      <c r="AA130" s="28"/>
      <c r="AB130" s="28"/>
      <c r="AC130" s="28"/>
      <c r="AD130" s="28"/>
      <c r="AE130" s="28"/>
      <c r="AF130" s="28"/>
      <c r="AG130" s="28"/>
      <c r="AH130" s="28"/>
      <c r="AI130" s="28"/>
      <c r="AJ130" s="28"/>
      <c r="AK130" s="28"/>
      <c r="AL130" s="28"/>
      <c r="AM130" s="28"/>
      <c r="AN130" s="28"/>
      <c r="AO130" s="28"/>
      <c r="AP130" s="28"/>
      <c r="AQ130" s="28"/>
      <c r="AR130" s="28"/>
      <c r="AS130" s="28"/>
      <c r="AT130" s="28"/>
      <c r="AU130" s="28"/>
      <c r="AV130" s="28"/>
      <c r="AW130" s="28"/>
      <c r="AX130" s="28"/>
      <c r="AY130" s="28"/>
      <c r="AZ130" s="28"/>
      <c r="BA130" s="28"/>
      <c r="BB130" s="28"/>
      <c r="BC130" s="28"/>
      <c r="BD130" s="28"/>
      <c r="BE130" s="28"/>
      <c r="BF130" s="28"/>
      <c r="BG130" s="28"/>
      <c r="BH130" s="28"/>
      <c r="BI130" s="28"/>
      <c r="BJ130" s="28"/>
      <c r="BK130" s="28"/>
      <c r="BL130" s="28"/>
      <c r="BM130" s="28"/>
      <c r="BN130" s="28"/>
      <c r="BO130" s="28"/>
      <c r="BP130" s="28"/>
    </row>
    <row r="131" spans="3:68" ht="10.35" hidden="1" customHeight="1" outlineLevel="1" x14ac:dyDescent="0.2">
      <c r="C131" s="10"/>
      <c r="D131" s="318" t="s">
        <v>115</v>
      </c>
      <c r="E131" s="80"/>
      <c r="F131" s="511"/>
      <c r="G131" s="511"/>
      <c r="H131" s="511"/>
      <c r="I131" s="511"/>
      <c r="J131" s="511"/>
      <c r="K131" s="80"/>
      <c r="L131" s="436"/>
      <c r="M131" s="437"/>
      <c r="N131" s="401"/>
      <c r="O131" s="401"/>
      <c r="P131" s="401"/>
      <c r="Q131" s="401"/>
      <c r="R131" s="28"/>
      <c r="S131" s="28"/>
      <c r="T131" s="28"/>
      <c r="U131" s="28"/>
      <c r="V131" s="28"/>
      <c r="W131" s="28"/>
      <c r="X131" s="28"/>
      <c r="Y131" s="28"/>
      <c r="Z131" s="28"/>
      <c r="AA131" s="28"/>
      <c r="AB131" s="28"/>
      <c r="AC131" s="28"/>
      <c r="AD131" s="28"/>
      <c r="AE131" s="28"/>
      <c r="AF131" s="28"/>
      <c r="AG131" s="28"/>
      <c r="AH131" s="28"/>
      <c r="AI131" s="28"/>
      <c r="AJ131" s="28"/>
      <c r="AK131" s="28"/>
      <c r="AL131" s="28"/>
      <c r="AM131" s="28"/>
      <c r="AN131" s="28"/>
      <c r="AO131" s="28"/>
      <c r="AP131" s="28"/>
      <c r="AQ131" s="28"/>
      <c r="AR131" s="28"/>
      <c r="AS131" s="28"/>
      <c r="AT131" s="28"/>
      <c r="AU131" s="28"/>
      <c r="AV131" s="28"/>
      <c r="AW131" s="28"/>
      <c r="AX131" s="28"/>
      <c r="AY131" s="28"/>
      <c r="AZ131" s="28"/>
      <c r="BA131" s="28"/>
      <c r="BB131" s="28"/>
      <c r="BC131" s="28"/>
      <c r="BD131" s="28"/>
      <c r="BE131" s="28"/>
      <c r="BF131" s="28"/>
      <c r="BG131" s="28"/>
      <c r="BH131" s="28"/>
      <c r="BI131" s="28"/>
      <c r="BJ131" s="28"/>
      <c r="BK131" s="28"/>
      <c r="BL131" s="28"/>
      <c r="BM131" s="28"/>
      <c r="BN131" s="28"/>
      <c r="BO131" s="28"/>
      <c r="BP131" s="28"/>
    </row>
    <row r="132" spans="3:68" ht="10.35" hidden="1" customHeight="1" outlineLevel="1" x14ac:dyDescent="0.2">
      <c r="C132" s="10"/>
      <c r="D132" s="318" t="s">
        <v>116</v>
      </c>
      <c r="E132" s="80"/>
      <c r="F132" s="511"/>
      <c r="G132" s="511"/>
      <c r="H132" s="511"/>
      <c r="I132" s="511"/>
      <c r="J132" s="511"/>
      <c r="K132" s="80"/>
      <c r="L132" s="436"/>
      <c r="M132" s="437"/>
      <c r="N132" s="401"/>
      <c r="O132" s="401"/>
      <c r="P132" s="401"/>
      <c r="Q132" s="401"/>
      <c r="R132" s="28"/>
      <c r="S132" s="28"/>
      <c r="T132" s="28"/>
      <c r="U132" s="28"/>
      <c r="V132" s="28"/>
      <c r="W132" s="28"/>
      <c r="X132" s="28"/>
      <c r="Y132" s="28"/>
      <c r="Z132" s="28"/>
      <c r="AA132" s="28"/>
      <c r="AB132" s="28"/>
      <c r="AC132" s="28"/>
      <c r="AD132" s="28"/>
      <c r="AE132" s="28"/>
      <c r="AF132" s="28"/>
      <c r="AG132" s="28"/>
      <c r="AH132" s="28"/>
      <c r="AI132" s="28"/>
      <c r="AJ132" s="28"/>
      <c r="AK132" s="28"/>
      <c r="AL132" s="28"/>
      <c r="AM132" s="28"/>
      <c r="AN132" s="28"/>
      <c r="AO132" s="28"/>
      <c r="AP132" s="28"/>
      <c r="AQ132" s="28"/>
      <c r="AR132" s="28"/>
      <c r="AS132" s="28"/>
      <c r="AT132" s="28"/>
      <c r="AU132" s="28"/>
      <c r="AV132" s="28"/>
      <c r="AW132" s="28"/>
      <c r="AX132" s="28"/>
      <c r="AY132" s="28"/>
      <c r="AZ132" s="28"/>
      <c r="BA132" s="28"/>
      <c r="BB132" s="28"/>
      <c r="BC132" s="28"/>
      <c r="BD132" s="28"/>
      <c r="BE132" s="28"/>
      <c r="BF132" s="28"/>
      <c r="BG132" s="28"/>
      <c r="BH132" s="28"/>
      <c r="BI132" s="28"/>
      <c r="BJ132" s="28"/>
      <c r="BK132" s="28"/>
      <c r="BL132" s="28"/>
      <c r="BM132" s="28"/>
      <c r="BN132" s="28"/>
      <c r="BO132" s="28"/>
      <c r="BP132" s="28"/>
    </row>
    <row r="133" spans="3:68" ht="10.35" hidden="1" customHeight="1" outlineLevel="1" x14ac:dyDescent="0.2">
      <c r="C133" s="80"/>
      <c r="D133" s="318" t="s">
        <v>117</v>
      </c>
      <c r="E133" s="80"/>
      <c r="F133" s="512" t="s">
        <v>104</v>
      </c>
      <c r="G133" s="512"/>
      <c r="H133" s="512"/>
      <c r="I133" s="512"/>
      <c r="J133" s="512"/>
      <c r="K133" s="80"/>
      <c r="L133" s="436"/>
      <c r="M133" s="437"/>
      <c r="N133" s="401"/>
      <c r="O133" s="401"/>
      <c r="P133" s="401"/>
      <c r="Q133" s="401"/>
      <c r="R133" s="28">
        <f>QuickCalc!E23</f>
        <v>0</v>
      </c>
      <c r="S133" s="28">
        <f>QuickCalc!F23</f>
        <v>0</v>
      </c>
      <c r="T133" s="28">
        <f>QuickCalc!G23</f>
        <v>0</v>
      </c>
      <c r="U133" s="28" t="str">
        <f>QuickCalc!H23</f>
        <v/>
      </c>
      <c r="V133" s="28" t="str">
        <f>QuickCalc!I23</f>
        <v/>
      </c>
      <c r="W133" s="28" t="str">
        <f>QuickCalc!J23</f>
        <v/>
      </c>
      <c r="X133" s="28" t="str">
        <f>QuickCalc!K23</f>
        <v/>
      </c>
      <c r="Y133" s="28" t="str">
        <f>QuickCalc!L23</f>
        <v/>
      </c>
      <c r="Z133" s="28">
        <f>QuickCalc!M23</f>
        <v>0</v>
      </c>
      <c r="AA133" s="28">
        <f>QuickCalc!N23</f>
        <v>0</v>
      </c>
      <c r="AB133" s="28">
        <f>QuickCalc!O23</f>
        <v>0</v>
      </c>
      <c r="AC133" s="28">
        <f>QuickCalc!P23</f>
        <v>0</v>
      </c>
      <c r="AD133" s="28">
        <f>QuickCalc!Q23</f>
        <v>0</v>
      </c>
      <c r="AE133" s="28">
        <f>QuickCalc!R23</f>
        <v>0</v>
      </c>
      <c r="AF133" s="28">
        <f>QuickCalc!S23</f>
        <v>0</v>
      </c>
      <c r="AG133" s="28">
        <f>QuickCalc!T23</f>
        <v>0</v>
      </c>
      <c r="AH133" s="28">
        <f>QuickCalc!U23</f>
        <v>0</v>
      </c>
      <c r="AI133" s="28">
        <f>QuickCalc!V23</f>
        <v>0</v>
      </c>
      <c r="AJ133" s="28">
        <f>QuickCalc!W23</f>
        <v>0</v>
      </c>
      <c r="AK133" s="28">
        <f>QuickCalc!X23</f>
        <v>0</v>
      </c>
      <c r="AL133" s="28">
        <f>QuickCalc!Y23</f>
        <v>0</v>
      </c>
      <c r="AM133" s="28">
        <f>QuickCalc!Z23</f>
        <v>0</v>
      </c>
      <c r="AN133" s="28">
        <f>QuickCalc!AA23</f>
        <v>0</v>
      </c>
      <c r="AO133" s="28">
        <f>QuickCalc!AB23</f>
        <v>0</v>
      </c>
      <c r="AP133" s="28">
        <f>QuickCalc!AC23</f>
        <v>0</v>
      </c>
      <c r="AQ133" s="28">
        <f>QuickCalc!AD23</f>
        <v>0</v>
      </c>
      <c r="AR133" s="28">
        <f>QuickCalc!AE23</f>
        <v>0</v>
      </c>
      <c r="AS133" s="28">
        <f>QuickCalc!AF23</f>
        <v>0</v>
      </c>
      <c r="AT133" s="28">
        <f>QuickCalc!AG23</f>
        <v>0</v>
      </c>
      <c r="AU133" s="28">
        <f>QuickCalc!AH23</f>
        <v>0</v>
      </c>
      <c r="AV133" s="28">
        <f>QuickCalc!AI23</f>
        <v>0</v>
      </c>
      <c r="AW133" s="28">
        <f>QuickCalc!AJ23</f>
        <v>0</v>
      </c>
      <c r="AX133" s="28">
        <f>QuickCalc!AK23</f>
        <v>0</v>
      </c>
      <c r="AY133" s="28">
        <f>QuickCalc!AL23</f>
        <v>0</v>
      </c>
      <c r="AZ133" s="28">
        <f>QuickCalc!AM23</f>
        <v>0</v>
      </c>
      <c r="BA133" s="28">
        <f>QuickCalc!AN23</f>
        <v>0</v>
      </c>
      <c r="BB133" s="28">
        <f>QuickCalc!AO23</f>
        <v>0</v>
      </c>
      <c r="BC133" s="28">
        <f>QuickCalc!AP23</f>
        <v>0</v>
      </c>
      <c r="BD133" s="28">
        <f>QuickCalc!AQ23</f>
        <v>0</v>
      </c>
      <c r="BE133" s="28">
        <f>QuickCalc!AR23</f>
        <v>0</v>
      </c>
      <c r="BF133" s="28">
        <f>QuickCalc!AS23</f>
        <v>0</v>
      </c>
      <c r="BG133" s="28">
        <f>QuickCalc!AT23</f>
        <v>0</v>
      </c>
      <c r="BH133" s="28">
        <f>QuickCalc!AU23</f>
        <v>0</v>
      </c>
      <c r="BI133" s="28">
        <f>QuickCalc!AV23</f>
        <v>0</v>
      </c>
      <c r="BJ133" s="28">
        <f>QuickCalc!AW23</f>
        <v>0</v>
      </c>
      <c r="BK133" s="28">
        <f>QuickCalc!AX23</f>
        <v>0</v>
      </c>
      <c r="BL133" s="28">
        <f>QuickCalc!AY23</f>
        <v>0</v>
      </c>
      <c r="BM133" s="28">
        <f>QuickCalc!AZ23</f>
        <v>0</v>
      </c>
      <c r="BN133" s="28">
        <f>QuickCalc!BA23</f>
        <v>0</v>
      </c>
      <c r="BO133" s="28">
        <f>QuickCalc!BB23</f>
        <v>0</v>
      </c>
      <c r="BP133" s="28">
        <f>QuickCalc!BC23</f>
        <v>0</v>
      </c>
    </row>
    <row r="134" spans="3:68" ht="10.35" hidden="1" customHeight="1" outlineLevel="1" x14ac:dyDescent="0.2">
      <c r="C134" s="80"/>
      <c r="D134" s="80"/>
      <c r="E134" s="80"/>
      <c r="F134" s="83"/>
      <c r="G134" s="83"/>
      <c r="H134" s="83"/>
      <c r="I134" s="83"/>
      <c r="J134" s="83"/>
      <c r="K134" s="80"/>
      <c r="L134" s="436"/>
      <c r="M134" s="437"/>
      <c r="N134" s="401"/>
      <c r="O134" s="401"/>
      <c r="P134" s="401"/>
      <c r="Q134" s="401"/>
      <c r="R134" s="29"/>
      <c r="S134" s="29"/>
      <c r="T134" s="29"/>
      <c r="U134" s="29"/>
      <c r="V134" s="29"/>
      <c r="W134" s="29"/>
      <c r="X134" s="29"/>
      <c r="Y134" s="29"/>
      <c r="Z134" s="29"/>
      <c r="AA134" s="29"/>
      <c r="AB134" s="29"/>
      <c r="AC134" s="29"/>
      <c r="AD134" s="29"/>
      <c r="AE134" s="29"/>
      <c r="AF134" s="29"/>
      <c r="AG134" s="29"/>
      <c r="AH134" s="29"/>
      <c r="AI134" s="29"/>
      <c r="AJ134" s="29"/>
      <c r="AK134" s="29"/>
      <c r="AL134" s="29"/>
      <c r="AM134" s="29"/>
      <c r="AN134" s="29"/>
      <c r="AO134" s="29"/>
      <c r="AP134" s="29"/>
      <c r="AQ134" s="29"/>
      <c r="AR134" s="29"/>
      <c r="AS134" s="29"/>
      <c r="AT134" s="29"/>
      <c r="AU134" s="29"/>
      <c r="AV134" s="29"/>
      <c r="AW134" s="29"/>
      <c r="AX134" s="29"/>
      <c r="AY134" s="29"/>
      <c r="AZ134" s="29"/>
      <c r="BA134" s="29"/>
      <c r="BB134" s="29"/>
      <c r="BC134" s="29"/>
      <c r="BD134" s="29"/>
      <c r="BE134" s="29"/>
      <c r="BF134" s="29"/>
      <c r="BG134" s="29"/>
      <c r="BH134" s="29"/>
      <c r="BI134" s="29"/>
      <c r="BJ134" s="29"/>
      <c r="BK134" s="29"/>
      <c r="BL134" s="29"/>
      <c r="BM134" s="29"/>
      <c r="BN134" s="29"/>
      <c r="BO134" s="29"/>
      <c r="BP134" s="29"/>
    </row>
    <row r="135" spans="3:68" ht="10.35" hidden="1" customHeight="1" outlineLevel="1" x14ac:dyDescent="0.2">
      <c r="C135" s="80"/>
      <c r="D135" s="80" t="s">
        <v>110</v>
      </c>
      <c r="E135" s="80"/>
      <c r="F135" s="173"/>
      <c r="G135" s="173"/>
      <c r="H135" s="173"/>
      <c r="I135" s="173"/>
      <c r="J135" s="173"/>
      <c r="K135" s="80"/>
      <c r="L135" s="436"/>
      <c r="M135" s="437"/>
      <c r="N135" s="401"/>
      <c r="O135" s="401"/>
      <c r="P135" s="401"/>
      <c r="Q135" s="401"/>
      <c r="R135" s="28"/>
      <c r="S135" s="28"/>
      <c r="T135" s="28"/>
      <c r="U135" s="28"/>
      <c r="V135" s="28"/>
      <c r="W135" s="28"/>
      <c r="X135" s="28"/>
      <c r="Y135" s="28"/>
      <c r="Z135" s="28"/>
      <c r="AA135" s="28"/>
      <c r="AB135" s="28"/>
      <c r="AC135" s="28"/>
      <c r="AD135" s="28"/>
      <c r="AE135" s="28"/>
      <c r="AF135" s="28"/>
      <c r="AG135" s="28"/>
      <c r="AH135" s="28"/>
      <c r="AI135" s="28"/>
      <c r="AJ135" s="28"/>
      <c r="AK135" s="28"/>
      <c r="AL135" s="28"/>
      <c r="AM135" s="28"/>
      <c r="AN135" s="28"/>
      <c r="AO135" s="28"/>
      <c r="AP135" s="28"/>
      <c r="AQ135" s="28"/>
      <c r="AR135" s="28"/>
      <c r="AS135" s="28"/>
      <c r="AT135" s="28"/>
      <c r="AU135" s="28"/>
      <c r="AV135" s="28"/>
      <c r="AW135" s="28"/>
      <c r="AX135" s="28"/>
      <c r="AY135" s="28"/>
      <c r="AZ135" s="28"/>
      <c r="BA135" s="28"/>
      <c r="BB135" s="28"/>
      <c r="BC135" s="28"/>
      <c r="BD135" s="28"/>
      <c r="BE135" s="28"/>
      <c r="BF135" s="28"/>
      <c r="BG135" s="28"/>
      <c r="BH135" s="28"/>
      <c r="BI135" s="28"/>
      <c r="BJ135" s="28"/>
      <c r="BK135" s="28"/>
      <c r="BL135" s="28"/>
      <c r="BM135" s="28"/>
      <c r="BN135" s="28"/>
      <c r="BO135" s="28"/>
      <c r="BP135" s="28"/>
    </row>
    <row r="136" spans="3:68" ht="10.35" hidden="1" customHeight="1" outlineLevel="1" x14ac:dyDescent="0.2">
      <c r="C136" s="80"/>
      <c r="D136" s="80"/>
      <c r="E136" s="80"/>
      <c r="F136" s="80"/>
      <c r="G136" s="80"/>
      <c r="H136" s="80"/>
      <c r="I136" s="80"/>
      <c r="J136" s="80"/>
      <c r="K136" s="80"/>
      <c r="L136" s="412"/>
      <c r="M136" s="413"/>
      <c r="N136" s="80"/>
      <c r="O136" s="80"/>
      <c r="P136" s="80"/>
      <c r="Q136" s="80"/>
      <c r="R136" s="20"/>
      <c r="S136" s="80"/>
      <c r="T136" s="21"/>
      <c r="U136" s="80"/>
      <c r="V136" s="80"/>
      <c r="W136" s="80"/>
      <c r="X136" s="80"/>
      <c r="Y136" s="80"/>
      <c r="Z136" s="80"/>
      <c r="AA136" s="80"/>
      <c r="AB136" s="80"/>
      <c r="AC136" s="80"/>
      <c r="AD136" s="80"/>
      <c r="AE136" s="80"/>
      <c r="AF136" s="20"/>
      <c r="AG136" s="22"/>
      <c r="AH136" s="22"/>
      <c r="AI136" s="80"/>
      <c r="AJ136" s="80"/>
      <c r="AK136" s="80"/>
      <c r="AL136" s="80"/>
      <c r="AM136" s="80"/>
      <c r="AN136" s="80"/>
      <c r="AO136" s="80"/>
      <c r="AP136" s="80"/>
      <c r="AQ136" s="80"/>
      <c r="AR136" s="80"/>
      <c r="AS136" s="80"/>
      <c r="AT136" s="80"/>
      <c r="AU136" s="80"/>
      <c r="AV136" s="80"/>
      <c r="AW136" s="80"/>
      <c r="AX136" s="80"/>
      <c r="AY136" s="80"/>
      <c r="AZ136" s="80"/>
      <c r="BA136" s="80"/>
      <c r="BB136" s="80"/>
      <c r="BC136" s="80"/>
      <c r="BD136" s="80"/>
      <c r="BE136" s="80"/>
      <c r="BF136" s="80"/>
      <c r="BG136" s="80"/>
      <c r="BH136" s="80"/>
      <c r="BI136" s="80"/>
      <c r="BJ136" s="80"/>
      <c r="BK136" s="80"/>
      <c r="BL136" s="80"/>
      <c r="BM136" s="80"/>
      <c r="BN136" s="80"/>
      <c r="BO136" s="80"/>
      <c r="BP136" s="80"/>
    </row>
    <row r="137" spans="3:68" s="18" customFormat="1" ht="10.35" customHeight="1" collapsed="1" x14ac:dyDescent="0.2">
      <c r="C137" s="19" t="s">
        <v>28</v>
      </c>
      <c r="D137" s="426"/>
      <c r="E137" s="426"/>
      <c r="F137" s="426"/>
      <c r="G137" s="426"/>
      <c r="H137" s="426"/>
      <c r="I137" s="426"/>
      <c r="J137" s="426"/>
      <c r="K137" s="426"/>
      <c r="L137" s="428"/>
      <c r="M137" s="429"/>
      <c r="N137" s="426"/>
      <c r="O137" s="426"/>
      <c r="P137" s="426"/>
      <c r="Q137" s="426"/>
      <c r="R137" s="30"/>
      <c r="S137" s="30"/>
      <c r="T137" s="30"/>
      <c r="U137" s="30"/>
      <c r="V137" s="30"/>
      <c r="W137" s="30"/>
      <c r="X137" s="30"/>
      <c r="Y137" s="30"/>
      <c r="Z137" s="30"/>
      <c r="AA137" s="30"/>
      <c r="AB137" s="30"/>
      <c r="AC137" s="30"/>
      <c r="AD137" s="30"/>
      <c r="AE137" s="30"/>
      <c r="AF137" s="30"/>
      <c r="AG137" s="30"/>
      <c r="AH137" s="30"/>
      <c r="AI137" s="30"/>
      <c r="AJ137" s="30"/>
      <c r="AK137" s="30"/>
      <c r="AL137" s="30"/>
      <c r="AM137" s="30"/>
      <c r="AN137" s="30"/>
      <c r="AO137" s="30"/>
      <c r="AP137" s="30"/>
      <c r="AQ137" s="30"/>
      <c r="AR137" s="30"/>
      <c r="AS137" s="30"/>
      <c r="AT137" s="30"/>
      <c r="AU137" s="30"/>
      <c r="AV137" s="30"/>
      <c r="AW137" s="30"/>
      <c r="AX137" s="30"/>
      <c r="AY137" s="30"/>
      <c r="AZ137" s="30"/>
      <c r="BA137" s="30"/>
      <c r="BB137" s="30"/>
      <c r="BC137" s="30"/>
      <c r="BD137" s="30"/>
      <c r="BE137" s="30"/>
      <c r="BF137" s="30"/>
      <c r="BG137" s="30"/>
      <c r="BH137" s="30"/>
      <c r="BI137" s="30"/>
      <c r="BJ137" s="30"/>
      <c r="BK137" s="30"/>
      <c r="BL137" s="30"/>
      <c r="BM137" s="30"/>
      <c r="BN137" s="30"/>
      <c r="BO137" s="30"/>
      <c r="BP137" s="30"/>
    </row>
    <row r="138" spans="3:68" ht="10.35" hidden="1" customHeight="1" outlineLevel="1" x14ac:dyDescent="0.2">
      <c r="C138" s="80"/>
      <c r="D138" s="80"/>
      <c r="E138" s="80"/>
      <c r="F138" s="80"/>
      <c r="G138" s="80"/>
      <c r="H138" s="80"/>
      <c r="I138" s="80"/>
      <c r="J138" s="80"/>
      <c r="K138" s="80"/>
      <c r="L138" s="412"/>
      <c r="M138" s="413"/>
      <c r="N138" s="80"/>
      <c r="O138" s="80"/>
      <c r="P138" s="80"/>
      <c r="Q138" s="80"/>
      <c r="R138" s="29"/>
      <c r="S138" s="29"/>
      <c r="T138" s="29"/>
      <c r="U138" s="29"/>
      <c r="V138" s="29"/>
      <c r="W138" s="29"/>
      <c r="X138" s="29"/>
      <c r="Y138" s="29"/>
      <c r="Z138" s="29"/>
      <c r="AA138" s="29"/>
      <c r="AB138" s="29"/>
      <c r="AC138" s="29"/>
      <c r="AD138" s="29"/>
      <c r="AE138" s="29"/>
      <c r="AF138" s="29"/>
      <c r="AG138" s="29"/>
      <c r="AH138" s="29"/>
      <c r="AI138" s="29"/>
      <c r="AJ138" s="29"/>
      <c r="AK138" s="29"/>
      <c r="AL138" s="29"/>
      <c r="AM138" s="29"/>
      <c r="AN138" s="29"/>
      <c r="AO138" s="29"/>
      <c r="AP138" s="29"/>
      <c r="AQ138" s="29"/>
      <c r="AR138" s="29"/>
      <c r="AS138" s="29"/>
      <c r="AT138" s="29"/>
      <c r="AU138" s="29"/>
      <c r="AV138" s="29"/>
      <c r="AW138" s="29"/>
      <c r="AX138" s="29"/>
      <c r="AY138" s="29"/>
      <c r="AZ138" s="29"/>
      <c r="BA138" s="29"/>
      <c r="BB138" s="29"/>
      <c r="BC138" s="29"/>
      <c r="BD138" s="29"/>
      <c r="BE138" s="29"/>
      <c r="BF138" s="29"/>
      <c r="BG138" s="29"/>
      <c r="BH138" s="29"/>
      <c r="BI138" s="29"/>
      <c r="BJ138" s="29"/>
      <c r="BK138" s="29"/>
      <c r="BL138" s="29"/>
      <c r="BM138" s="29"/>
      <c r="BN138" s="29"/>
      <c r="BO138" s="29"/>
      <c r="BP138" s="29"/>
    </row>
    <row r="139" spans="3:68" ht="10.35" hidden="1" customHeight="1" outlineLevel="1" x14ac:dyDescent="0.2">
      <c r="C139" s="80"/>
      <c r="D139" s="80"/>
      <c r="E139" s="80"/>
      <c r="F139" s="80"/>
      <c r="G139" s="80"/>
      <c r="H139" s="80"/>
      <c r="I139" s="80"/>
      <c r="J139" s="80"/>
      <c r="K139" s="80"/>
      <c r="L139" s="412"/>
      <c r="M139" s="413"/>
      <c r="N139" s="80"/>
      <c r="O139" s="80"/>
      <c r="P139" s="80"/>
      <c r="Q139" s="80"/>
      <c r="R139" s="29"/>
      <c r="S139" s="29"/>
      <c r="T139" s="29"/>
      <c r="U139" s="29"/>
      <c r="V139" s="29"/>
      <c r="W139" s="29"/>
      <c r="X139" s="29"/>
      <c r="Y139" s="29"/>
      <c r="Z139" s="29"/>
      <c r="AA139" s="29"/>
      <c r="AB139" s="29"/>
      <c r="AC139" s="29"/>
      <c r="AD139" s="29"/>
      <c r="AE139" s="29"/>
      <c r="AF139" s="29"/>
      <c r="AG139" s="29"/>
      <c r="AH139" s="29"/>
      <c r="AI139" s="29"/>
      <c r="AJ139" s="29"/>
      <c r="AK139" s="29"/>
      <c r="AL139" s="29"/>
      <c r="AM139" s="29"/>
      <c r="AN139" s="29"/>
      <c r="AO139" s="29"/>
      <c r="AP139" s="29"/>
      <c r="AQ139" s="29"/>
      <c r="AR139" s="29"/>
      <c r="AS139" s="29"/>
      <c r="AT139" s="29"/>
      <c r="AU139" s="29"/>
      <c r="AV139" s="29"/>
      <c r="AW139" s="29"/>
      <c r="AX139" s="29"/>
      <c r="AY139" s="29"/>
      <c r="AZ139" s="29"/>
      <c r="BA139" s="29"/>
      <c r="BB139" s="29"/>
      <c r="BC139" s="29"/>
      <c r="BD139" s="29"/>
      <c r="BE139" s="29"/>
      <c r="BF139" s="29"/>
      <c r="BG139" s="29"/>
      <c r="BH139" s="29"/>
      <c r="BI139" s="29"/>
      <c r="BJ139" s="29"/>
      <c r="BK139" s="29"/>
      <c r="BL139" s="29"/>
      <c r="BM139" s="29"/>
      <c r="BN139" s="29"/>
      <c r="BO139" s="29"/>
      <c r="BP139" s="29"/>
    </row>
    <row r="140" spans="3:68" ht="10.35" hidden="1" customHeight="1" outlineLevel="1" x14ac:dyDescent="0.2">
      <c r="C140" s="80"/>
      <c r="D140" s="80"/>
      <c r="E140" s="80"/>
      <c r="F140" s="80"/>
      <c r="G140" s="80"/>
      <c r="H140" s="80"/>
      <c r="I140" s="80"/>
      <c r="J140" s="80"/>
      <c r="K140" s="80"/>
      <c r="L140" s="412"/>
      <c r="M140" s="413"/>
      <c r="N140" s="80"/>
      <c r="O140" s="80"/>
      <c r="P140" s="80"/>
      <c r="Q140" s="80"/>
      <c r="R140" s="29"/>
      <c r="S140" s="29"/>
      <c r="T140" s="29"/>
      <c r="U140" s="29"/>
      <c r="V140" s="29"/>
      <c r="W140" s="29"/>
      <c r="X140" s="29"/>
      <c r="Y140" s="29"/>
      <c r="Z140" s="29"/>
      <c r="AA140" s="29"/>
      <c r="AB140" s="29"/>
      <c r="AC140" s="29"/>
      <c r="AD140" s="29"/>
      <c r="AE140" s="29"/>
      <c r="AF140" s="29"/>
      <c r="AG140" s="29"/>
      <c r="AH140" s="29"/>
      <c r="AI140" s="29"/>
      <c r="AJ140" s="29"/>
      <c r="AK140" s="29"/>
      <c r="AL140" s="29"/>
      <c r="AM140" s="29"/>
      <c r="AN140" s="29"/>
      <c r="AO140" s="29"/>
      <c r="AP140" s="29"/>
      <c r="AQ140" s="29"/>
      <c r="AR140" s="29"/>
      <c r="AS140" s="29"/>
      <c r="AT140" s="29"/>
      <c r="AU140" s="29"/>
      <c r="AV140" s="29"/>
      <c r="AW140" s="29"/>
      <c r="AX140" s="29"/>
      <c r="AY140" s="29"/>
      <c r="AZ140" s="29"/>
      <c r="BA140" s="29"/>
      <c r="BB140" s="29"/>
      <c r="BC140" s="29"/>
      <c r="BD140" s="29"/>
      <c r="BE140" s="29"/>
      <c r="BF140" s="29"/>
      <c r="BG140" s="29"/>
      <c r="BH140" s="29"/>
      <c r="BI140" s="29"/>
      <c r="BJ140" s="29"/>
      <c r="BK140" s="29"/>
      <c r="BL140" s="29"/>
      <c r="BM140" s="29"/>
      <c r="BN140" s="29"/>
      <c r="BO140" s="29"/>
      <c r="BP140" s="29"/>
    </row>
    <row r="141" spans="3:68" ht="10.35" hidden="1" customHeight="1" outlineLevel="1" x14ac:dyDescent="0.2">
      <c r="C141" s="80"/>
      <c r="D141" s="80"/>
      <c r="E141" s="80"/>
      <c r="F141" s="80"/>
      <c r="G141" s="80"/>
      <c r="H141" s="80"/>
      <c r="I141" s="80"/>
      <c r="J141" s="80"/>
      <c r="K141" s="80"/>
      <c r="L141" s="412"/>
      <c r="M141" s="413"/>
      <c r="N141" s="80"/>
      <c r="O141" s="80"/>
      <c r="P141" s="80"/>
      <c r="Q141" s="80"/>
      <c r="R141" s="29"/>
      <c r="S141" s="29"/>
      <c r="T141" s="29"/>
      <c r="U141" s="29"/>
      <c r="V141" s="29"/>
      <c r="W141" s="29"/>
      <c r="X141" s="29"/>
      <c r="Y141" s="29"/>
      <c r="Z141" s="29"/>
      <c r="AA141" s="29"/>
      <c r="AB141" s="29"/>
      <c r="AC141" s="29"/>
      <c r="AD141" s="29"/>
      <c r="AE141" s="29"/>
      <c r="AF141" s="29"/>
      <c r="AG141" s="29"/>
      <c r="AH141" s="29"/>
      <c r="AI141" s="29"/>
      <c r="AJ141" s="29"/>
      <c r="AK141" s="29"/>
      <c r="AL141" s="29"/>
      <c r="AM141" s="29"/>
      <c r="AN141" s="29"/>
      <c r="AO141" s="29"/>
      <c r="AP141" s="29"/>
      <c r="AQ141" s="29"/>
      <c r="AR141" s="29"/>
      <c r="AS141" s="29"/>
      <c r="AT141" s="29"/>
      <c r="AU141" s="29"/>
      <c r="AV141" s="29"/>
      <c r="AW141" s="29"/>
      <c r="AX141" s="29"/>
      <c r="AY141" s="29"/>
      <c r="AZ141" s="29"/>
      <c r="BA141" s="29"/>
      <c r="BB141" s="29"/>
      <c r="BC141" s="29"/>
      <c r="BD141" s="29"/>
      <c r="BE141" s="29"/>
      <c r="BF141" s="29"/>
      <c r="BG141" s="29"/>
      <c r="BH141" s="29"/>
      <c r="BI141" s="29"/>
      <c r="BJ141" s="29"/>
      <c r="BK141" s="29"/>
      <c r="BL141" s="29"/>
      <c r="BM141" s="29"/>
      <c r="BN141" s="29"/>
      <c r="BO141" s="29"/>
      <c r="BP141" s="29"/>
    </row>
    <row r="142" spans="3:68" ht="10.35" hidden="1" customHeight="1" outlineLevel="1" x14ac:dyDescent="0.2">
      <c r="C142" s="80"/>
      <c r="D142" s="80"/>
      <c r="E142" s="80"/>
      <c r="F142" s="80"/>
      <c r="G142" s="80"/>
      <c r="H142" s="80"/>
      <c r="I142" s="80"/>
      <c r="J142" s="80"/>
      <c r="K142" s="80"/>
      <c r="L142" s="412"/>
      <c r="M142" s="413"/>
      <c r="N142" s="80"/>
      <c r="O142" s="80"/>
      <c r="P142" s="80"/>
      <c r="Q142" s="80"/>
      <c r="R142" s="29"/>
      <c r="S142" s="29"/>
      <c r="T142" s="29"/>
      <c r="U142" s="29"/>
      <c r="V142" s="29"/>
      <c r="W142" s="29"/>
      <c r="X142" s="29"/>
      <c r="Y142" s="29"/>
      <c r="Z142" s="29"/>
      <c r="AA142" s="29"/>
      <c r="AB142" s="29"/>
      <c r="AC142" s="29"/>
      <c r="AD142" s="29"/>
      <c r="AE142" s="29"/>
      <c r="AF142" s="29"/>
      <c r="AG142" s="29"/>
      <c r="AH142" s="29"/>
      <c r="AI142" s="29"/>
      <c r="AJ142" s="29"/>
      <c r="AK142" s="29"/>
      <c r="AL142" s="29"/>
      <c r="AM142" s="29"/>
      <c r="AN142" s="29"/>
      <c r="AO142" s="29"/>
      <c r="AP142" s="29"/>
      <c r="AQ142" s="29"/>
      <c r="AR142" s="29"/>
      <c r="AS142" s="29"/>
      <c r="AT142" s="29"/>
      <c r="AU142" s="29"/>
      <c r="AV142" s="29"/>
      <c r="AW142" s="29"/>
      <c r="AX142" s="29"/>
      <c r="AY142" s="29"/>
      <c r="AZ142" s="29"/>
      <c r="BA142" s="29"/>
      <c r="BB142" s="29"/>
      <c r="BC142" s="29"/>
      <c r="BD142" s="29"/>
      <c r="BE142" s="29"/>
      <c r="BF142" s="29"/>
      <c r="BG142" s="29"/>
      <c r="BH142" s="29"/>
      <c r="BI142" s="29"/>
      <c r="BJ142" s="29"/>
      <c r="BK142" s="29"/>
      <c r="BL142" s="29"/>
      <c r="BM142" s="29"/>
      <c r="BN142" s="29"/>
      <c r="BO142" s="29"/>
      <c r="BP142" s="29"/>
    </row>
    <row r="143" spans="3:68" ht="10.35" hidden="1" customHeight="1" outlineLevel="1" x14ac:dyDescent="0.2">
      <c r="C143" s="80"/>
      <c r="D143" s="80"/>
      <c r="E143" s="80"/>
      <c r="F143" s="10" t="s">
        <v>96</v>
      </c>
      <c r="G143" s="80"/>
      <c r="H143" s="80"/>
      <c r="I143" s="80"/>
      <c r="J143" s="80"/>
      <c r="K143" s="80"/>
      <c r="L143" s="412"/>
      <c r="M143" s="413"/>
      <c r="N143" s="80"/>
      <c r="O143" s="80"/>
      <c r="P143" s="80"/>
      <c r="Q143" s="80"/>
      <c r="R143" s="24" t="str">
        <f>"FY"&amp;RIGHT(Assumptions!$L$19+R68,2)</f>
        <v>FY22</v>
      </c>
      <c r="S143" s="24" t="str">
        <f>"FY"&amp;RIGHT(Assumptions!$L$19+S68,2)</f>
        <v>FY23</v>
      </c>
      <c r="T143" s="24" t="str">
        <f>"FY"&amp;RIGHT(Assumptions!$L$19+T68,2)</f>
        <v>FY24</v>
      </c>
      <c r="U143" s="24" t="str">
        <f>"FY"&amp;RIGHT(Assumptions!$L$19+U68,2)</f>
        <v>FY25</v>
      </c>
      <c r="V143" s="24" t="str">
        <f>"FY"&amp;RIGHT(Assumptions!$L$19+V68,2)</f>
        <v>FY26</v>
      </c>
      <c r="W143" s="24" t="str">
        <f>"FY"&amp;RIGHT(Assumptions!$L$19+W68,2)</f>
        <v>FY27</v>
      </c>
      <c r="X143" s="24" t="str">
        <f>"FY"&amp;RIGHT(Assumptions!$L$19+X68,2)</f>
        <v>FY28</v>
      </c>
      <c r="Y143" s="24" t="str">
        <f>"FY"&amp;RIGHT(Assumptions!$L$19+Y68,2)</f>
        <v>FY29</v>
      </c>
      <c r="Z143" s="24" t="str">
        <f>"FY"&amp;RIGHT(Assumptions!$L$19+Z68,2)</f>
        <v>FY30</v>
      </c>
      <c r="AA143" s="24" t="str">
        <f>"FY"&amp;RIGHT(Assumptions!$L$19+AA68,2)</f>
        <v>FY31</v>
      </c>
      <c r="AB143" s="24" t="str">
        <f>"FY"&amp;RIGHT(Assumptions!$L$19+AB68,2)</f>
        <v>FY32</v>
      </c>
      <c r="AC143" s="24" t="str">
        <f>"FY"&amp;RIGHT(Assumptions!$L$19+AC68,2)</f>
        <v>FY33</v>
      </c>
      <c r="AD143" s="24" t="str">
        <f>"FY"&amp;RIGHT(Assumptions!$L$19+AD68,2)</f>
        <v>FY34</v>
      </c>
      <c r="AE143" s="24" t="str">
        <f>"FY"&amp;RIGHT(Assumptions!$L$19+AE68,2)</f>
        <v>FY35</v>
      </c>
      <c r="AF143" s="24" t="str">
        <f>"FY"&amp;RIGHT(Assumptions!$L$19+AF68,2)</f>
        <v>FY36</v>
      </c>
      <c r="AG143" s="24" t="str">
        <f>"FY"&amp;RIGHT(Assumptions!$L$19+AG68,2)</f>
        <v>FY37</v>
      </c>
      <c r="AH143" s="24" t="str">
        <f>"FY"&amp;RIGHT(Assumptions!$L$19+AH68,2)</f>
        <v>FY38</v>
      </c>
      <c r="AI143" s="24" t="str">
        <f>"FY"&amp;RIGHT(Assumptions!$L$19+AI68,2)</f>
        <v>FY39</v>
      </c>
      <c r="AJ143" s="24" t="str">
        <f>"FY"&amp;RIGHT(Assumptions!$L$19+AJ68,2)</f>
        <v>FY40</v>
      </c>
      <c r="AK143" s="24" t="str">
        <f>"FY"&amp;RIGHT(Assumptions!$L$19+AK68,2)</f>
        <v>FY41</v>
      </c>
      <c r="AL143" s="24" t="str">
        <f>"FY"&amp;RIGHT(Assumptions!$L$19+AL68,2)</f>
        <v>FY42</v>
      </c>
      <c r="AM143" s="24" t="str">
        <f>"FY"&amp;RIGHT(Assumptions!$L$19+AM68,2)</f>
        <v>FY43</v>
      </c>
      <c r="AN143" s="24" t="str">
        <f>"FY"&amp;RIGHT(Assumptions!$L$19+AN68,2)</f>
        <v>FY44</v>
      </c>
      <c r="AO143" s="24" t="str">
        <f>"FY"&amp;RIGHT(Assumptions!$L$19+AO68,2)</f>
        <v>FY45</v>
      </c>
      <c r="AP143" s="24" t="str">
        <f>"FY"&amp;RIGHT(Assumptions!$L$19+AP68,2)</f>
        <v>FY46</v>
      </c>
      <c r="AQ143" s="24" t="str">
        <f>"FY"&amp;RIGHT(Assumptions!$L$19+AQ68,2)</f>
        <v>FY47</v>
      </c>
      <c r="AR143" s="24" t="str">
        <f>"FY"&amp;RIGHT(Assumptions!$L$19+AR68,2)</f>
        <v>FY48</v>
      </c>
      <c r="AS143" s="24" t="str">
        <f>"FY"&amp;RIGHT(Assumptions!$L$19+AS68,2)</f>
        <v>FY49</v>
      </c>
      <c r="AT143" s="24" t="str">
        <f>"FY"&amp;RIGHT(Assumptions!$L$19+AT68,2)</f>
        <v>FY50</v>
      </c>
      <c r="AU143" s="24" t="str">
        <f>"FY"&amp;RIGHT(Assumptions!$L$19+AU68,2)</f>
        <v>FY51</v>
      </c>
      <c r="AV143" s="24" t="str">
        <f>"FY"&amp;RIGHT(Assumptions!$L$19+AV68,2)</f>
        <v>FY52</v>
      </c>
      <c r="AW143" s="24" t="str">
        <f>"FY"&amp;RIGHT(Assumptions!$L$19+AW68,2)</f>
        <v>FY53</v>
      </c>
      <c r="AX143" s="24" t="str">
        <f>"FY"&amp;RIGHT(Assumptions!$L$19+AX68,2)</f>
        <v>FY54</v>
      </c>
      <c r="AY143" s="24" t="str">
        <f>"FY"&amp;RIGHT(Assumptions!$L$19+AY68,2)</f>
        <v>FY55</v>
      </c>
      <c r="AZ143" s="24" t="str">
        <f>"FY"&amp;RIGHT(Assumptions!$L$19+AZ68,2)</f>
        <v>FY56</v>
      </c>
      <c r="BA143" s="24" t="str">
        <f>"FY"&amp;RIGHT(Assumptions!$L$19+BA68,2)</f>
        <v>FY57</v>
      </c>
      <c r="BB143" s="24" t="str">
        <f>"FY"&amp;RIGHT(Assumptions!$L$19+BB68,2)</f>
        <v>FY58</v>
      </c>
      <c r="BC143" s="24" t="str">
        <f>"FY"&amp;RIGHT(Assumptions!$L$19+BC68,2)</f>
        <v>FY59</v>
      </c>
      <c r="BD143" s="24" t="str">
        <f>"FY"&amp;RIGHT(Assumptions!$L$19+BD68,2)</f>
        <v>FY60</v>
      </c>
      <c r="BE143" s="24" t="str">
        <f>"FY"&amp;RIGHT(Assumptions!$L$19+BE68,2)</f>
        <v>FY61</v>
      </c>
      <c r="BF143" s="24" t="str">
        <f>"FY"&amp;RIGHT(Assumptions!$L$19+BF68,2)</f>
        <v>FY62</v>
      </c>
      <c r="BG143" s="24" t="str">
        <f>"FY"&amp;RIGHT(Assumptions!$L$19+BG68,2)</f>
        <v>FY63</v>
      </c>
      <c r="BH143" s="24" t="str">
        <f>"FY"&amp;RIGHT(Assumptions!$L$19+BH68,2)</f>
        <v>FY64</v>
      </c>
      <c r="BI143" s="24" t="str">
        <f>"FY"&amp;RIGHT(Assumptions!$L$19+BI68,2)</f>
        <v>FY65</v>
      </c>
      <c r="BJ143" s="24" t="str">
        <f>"FY"&amp;RIGHT(Assumptions!$L$19+BJ68,2)</f>
        <v>FY66</v>
      </c>
      <c r="BK143" s="24" t="str">
        <f>"FY"&amp;RIGHT(Assumptions!$L$19+BK68,2)</f>
        <v>FY67</v>
      </c>
      <c r="BL143" s="24" t="str">
        <f>"FY"&amp;RIGHT(Assumptions!$L$19+BL68,2)</f>
        <v>FY68</v>
      </c>
      <c r="BM143" s="24" t="str">
        <f>"FY"&amp;RIGHT(Assumptions!$L$19+BM68,2)</f>
        <v>FY69</v>
      </c>
      <c r="BN143" s="24" t="str">
        <f>"FY"&amp;RIGHT(Assumptions!$L$19+BN68,2)</f>
        <v>FY70</v>
      </c>
      <c r="BO143" s="24" t="str">
        <f>"FY"&amp;RIGHT(Assumptions!$L$19+BO68,2)</f>
        <v>FY71</v>
      </c>
      <c r="BP143" s="24" t="str">
        <f>"FY"&amp;RIGHT(Assumptions!$L$19+BP68,2)</f>
        <v>FY72</v>
      </c>
    </row>
    <row r="144" spans="3:68" ht="10.35" hidden="1" customHeight="1" outlineLevel="1" x14ac:dyDescent="0.2">
      <c r="C144" s="80"/>
      <c r="D144" s="80"/>
      <c r="E144" s="80"/>
      <c r="F144" s="83"/>
      <c r="G144" s="83"/>
      <c r="H144" s="83"/>
      <c r="I144" s="83"/>
      <c r="J144" s="83"/>
      <c r="K144" s="79"/>
      <c r="L144" s="109"/>
      <c r="M144" s="110"/>
      <c r="N144" s="29"/>
      <c r="O144" s="29"/>
      <c r="P144" s="29"/>
      <c r="Q144" s="29"/>
      <c r="R144" s="29"/>
      <c r="S144" s="29"/>
      <c r="T144" s="29"/>
      <c r="U144" s="29"/>
      <c r="V144" s="29"/>
      <c r="W144" s="29"/>
      <c r="X144" s="29"/>
      <c r="Y144" s="29"/>
      <c r="Z144" s="29"/>
      <c r="AA144" s="29"/>
      <c r="AB144" s="29"/>
      <c r="AC144" s="29"/>
      <c r="AD144" s="29"/>
      <c r="AE144" s="29"/>
      <c r="AF144" s="29"/>
      <c r="AG144" s="29"/>
      <c r="AH144" s="29"/>
      <c r="AI144" s="29"/>
      <c r="AJ144" s="29"/>
      <c r="AK144" s="29"/>
      <c r="AL144" s="29"/>
      <c r="AM144" s="29"/>
      <c r="AN144" s="29"/>
      <c r="AO144" s="29"/>
      <c r="AP144" s="29"/>
      <c r="AQ144" s="29"/>
      <c r="AR144" s="29"/>
      <c r="AS144" s="29"/>
      <c r="AT144" s="29"/>
      <c r="AU144" s="29"/>
      <c r="AV144" s="29"/>
      <c r="AW144" s="29"/>
      <c r="AX144" s="29"/>
      <c r="AY144" s="29"/>
      <c r="AZ144" s="29"/>
      <c r="BA144" s="29"/>
      <c r="BB144" s="29"/>
      <c r="BC144" s="29"/>
      <c r="BD144" s="29"/>
      <c r="BE144" s="29"/>
      <c r="BF144" s="29"/>
      <c r="BG144" s="29"/>
      <c r="BH144" s="29"/>
      <c r="BI144" s="29"/>
      <c r="BJ144" s="29"/>
      <c r="BK144" s="29"/>
      <c r="BL144" s="29"/>
      <c r="BM144" s="29"/>
      <c r="BN144" s="29"/>
      <c r="BO144" s="29"/>
      <c r="BP144" s="29"/>
    </row>
    <row r="145" spans="3:68" ht="10.35" hidden="1" customHeight="1" outlineLevel="1" x14ac:dyDescent="0.2">
      <c r="C145" s="80"/>
      <c r="D145" s="318" t="s">
        <v>118</v>
      </c>
      <c r="E145" s="80"/>
      <c r="F145" s="511"/>
      <c r="G145" s="511"/>
      <c r="H145" s="511"/>
      <c r="I145" s="511"/>
      <c r="J145" s="511"/>
      <c r="K145" s="79"/>
      <c r="L145" s="412"/>
      <c r="M145" s="110"/>
      <c r="N145" s="29"/>
      <c r="O145" s="29"/>
      <c r="P145" s="29"/>
      <c r="Q145" s="29"/>
      <c r="R145" s="28"/>
      <c r="S145" s="28"/>
      <c r="T145" s="28"/>
      <c r="U145" s="28"/>
      <c r="V145" s="28"/>
      <c r="W145" s="28"/>
      <c r="X145" s="28"/>
      <c r="Y145" s="28"/>
      <c r="Z145" s="28"/>
      <c r="AA145" s="28"/>
      <c r="AB145" s="28"/>
      <c r="AC145" s="28"/>
      <c r="AD145" s="28"/>
      <c r="AE145" s="28"/>
      <c r="AF145" s="28"/>
      <c r="AG145" s="28"/>
      <c r="AH145" s="28"/>
      <c r="AI145" s="28"/>
      <c r="AJ145" s="28"/>
      <c r="AK145" s="28"/>
      <c r="AL145" s="28"/>
      <c r="AM145" s="28"/>
      <c r="AN145" s="28"/>
      <c r="AO145" s="28"/>
      <c r="AP145" s="28"/>
      <c r="AQ145" s="28"/>
      <c r="AR145" s="28"/>
      <c r="AS145" s="28"/>
      <c r="AT145" s="28"/>
      <c r="AU145" s="28"/>
      <c r="AV145" s="28"/>
      <c r="AW145" s="28"/>
      <c r="AX145" s="28"/>
      <c r="AY145" s="28"/>
      <c r="AZ145" s="28"/>
      <c r="BA145" s="28"/>
      <c r="BB145" s="28"/>
      <c r="BC145" s="28"/>
      <c r="BD145" s="28"/>
      <c r="BE145" s="28"/>
      <c r="BF145" s="28"/>
      <c r="BG145" s="28"/>
      <c r="BH145" s="28"/>
      <c r="BI145" s="28"/>
      <c r="BJ145" s="28"/>
      <c r="BK145" s="28"/>
      <c r="BL145" s="28"/>
      <c r="BM145" s="28"/>
      <c r="BN145" s="28"/>
      <c r="BO145" s="28"/>
      <c r="BP145" s="28"/>
    </row>
    <row r="146" spans="3:68" ht="10.35" hidden="1" customHeight="1" outlineLevel="1" x14ac:dyDescent="0.2">
      <c r="C146" s="80"/>
      <c r="D146" s="318" t="s">
        <v>119</v>
      </c>
      <c r="E146" s="80"/>
      <c r="F146" s="173"/>
      <c r="G146" s="173"/>
      <c r="H146" s="173"/>
      <c r="I146" s="173"/>
      <c r="J146" s="173"/>
      <c r="K146" s="79"/>
      <c r="L146" s="412"/>
      <c r="M146" s="110"/>
      <c r="N146" s="29"/>
      <c r="O146" s="29"/>
      <c r="P146" s="29"/>
      <c r="Q146" s="29"/>
      <c r="R146" s="28"/>
      <c r="S146" s="28"/>
      <c r="T146" s="28"/>
      <c r="U146" s="28"/>
      <c r="V146" s="28"/>
      <c r="W146" s="28"/>
      <c r="X146" s="28"/>
      <c r="Y146" s="28"/>
      <c r="Z146" s="28"/>
      <c r="AA146" s="28"/>
      <c r="AB146" s="28"/>
      <c r="AC146" s="28"/>
      <c r="AD146" s="28"/>
      <c r="AE146" s="28"/>
      <c r="AF146" s="28"/>
      <c r="AG146" s="28"/>
      <c r="AH146" s="28"/>
      <c r="AI146" s="28"/>
      <c r="AJ146" s="28"/>
      <c r="AK146" s="28"/>
      <c r="AL146" s="28"/>
      <c r="AM146" s="28"/>
      <c r="AN146" s="28"/>
      <c r="AO146" s="28"/>
      <c r="AP146" s="28"/>
      <c r="AQ146" s="28"/>
      <c r="AR146" s="28"/>
      <c r="AS146" s="28"/>
      <c r="AT146" s="28"/>
      <c r="AU146" s="28"/>
      <c r="AV146" s="28"/>
      <c r="AW146" s="28"/>
      <c r="AX146" s="28"/>
      <c r="AY146" s="28"/>
      <c r="AZ146" s="28"/>
      <c r="BA146" s="28"/>
      <c r="BB146" s="28"/>
      <c r="BC146" s="28"/>
      <c r="BD146" s="28"/>
      <c r="BE146" s="28"/>
      <c r="BF146" s="28"/>
      <c r="BG146" s="28"/>
      <c r="BH146" s="28"/>
      <c r="BI146" s="28"/>
      <c r="BJ146" s="28"/>
      <c r="BK146" s="28"/>
      <c r="BL146" s="28"/>
      <c r="BM146" s="28"/>
      <c r="BN146" s="28"/>
      <c r="BO146" s="28"/>
      <c r="BP146" s="28"/>
    </row>
    <row r="147" spans="3:68" ht="10.35" hidden="1" customHeight="1" outlineLevel="1" x14ac:dyDescent="0.2">
      <c r="C147" s="80"/>
      <c r="D147" s="318" t="s">
        <v>120</v>
      </c>
      <c r="E147" s="80"/>
      <c r="F147" s="512" t="s">
        <v>104</v>
      </c>
      <c r="G147" s="512"/>
      <c r="H147" s="512"/>
      <c r="I147" s="512"/>
      <c r="J147" s="512"/>
      <c r="K147" s="79"/>
      <c r="L147" s="412"/>
      <c r="M147" s="110"/>
      <c r="N147" s="29"/>
      <c r="O147" s="29"/>
      <c r="P147" s="29"/>
      <c r="Q147" s="29"/>
      <c r="R147" s="28">
        <f>QuickCalc!E24</f>
        <v>0</v>
      </c>
      <c r="S147" s="28">
        <f>QuickCalc!F24</f>
        <v>0</v>
      </c>
      <c r="T147" s="28">
        <f>QuickCalc!G24</f>
        <v>0</v>
      </c>
      <c r="U147" s="28">
        <f>QuickCalc!H24</f>
        <v>82215.499612420273</v>
      </c>
      <c r="V147" s="28">
        <f>QuickCalc!I24</f>
        <v>83418.633341835346</v>
      </c>
      <c r="W147" s="28">
        <f>QuickCalc!J24</f>
        <v>83981.778737012559</v>
      </c>
      <c r="X147" s="28">
        <f>QuickCalc!K24</f>
        <v>84039.932594823957</v>
      </c>
      <c r="Y147" s="28">
        <f>QuickCalc!L24</f>
        <v>85307.414958384019</v>
      </c>
      <c r="Z147" s="28">
        <f>QuickCalc!M24</f>
        <v>85307.414958384019</v>
      </c>
      <c r="AA147" s="28">
        <f>QuickCalc!N24</f>
        <v>85307.414958384019</v>
      </c>
      <c r="AB147" s="28">
        <f>QuickCalc!O24</f>
        <v>85307.414958384019</v>
      </c>
      <c r="AC147" s="28">
        <f>QuickCalc!P24</f>
        <v>0</v>
      </c>
      <c r="AD147" s="28">
        <f>QuickCalc!Q24</f>
        <v>0</v>
      </c>
      <c r="AE147" s="28">
        <f>QuickCalc!R24</f>
        <v>0</v>
      </c>
      <c r="AF147" s="28">
        <f>QuickCalc!S24</f>
        <v>0</v>
      </c>
      <c r="AG147" s="28">
        <f>QuickCalc!T24</f>
        <v>0</v>
      </c>
      <c r="AH147" s="28">
        <f>QuickCalc!U24</f>
        <v>0</v>
      </c>
      <c r="AI147" s="28">
        <f>QuickCalc!V24</f>
        <v>0</v>
      </c>
      <c r="AJ147" s="28">
        <f>QuickCalc!W24</f>
        <v>0</v>
      </c>
      <c r="AK147" s="28">
        <f>QuickCalc!X24</f>
        <v>0</v>
      </c>
      <c r="AL147" s="28">
        <f>QuickCalc!Y24</f>
        <v>0</v>
      </c>
      <c r="AM147" s="28">
        <f>QuickCalc!Z24</f>
        <v>0</v>
      </c>
      <c r="AN147" s="28">
        <f>QuickCalc!AA24</f>
        <v>0</v>
      </c>
      <c r="AO147" s="28">
        <f>QuickCalc!AB24</f>
        <v>0</v>
      </c>
      <c r="AP147" s="28">
        <f>QuickCalc!AC24</f>
        <v>0</v>
      </c>
      <c r="AQ147" s="28">
        <f>QuickCalc!AD24</f>
        <v>0</v>
      </c>
      <c r="AR147" s="28">
        <f>QuickCalc!AE24</f>
        <v>0</v>
      </c>
      <c r="AS147" s="28">
        <f>QuickCalc!AF24</f>
        <v>0</v>
      </c>
      <c r="AT147" s="28">
        <f>QuickCalc!AG24</f>
        <v>0</v>
      </c>
      <c r="AU147" s="28">
        <f>QuickCalc!AH24</f>
        <v>0</v>
      </c>
      <c r="AV147" s="28">
        <f>QuickCalc!AI24</f>
        <v>0</v>
      </c>
      <c r="AW147" s="28">
        <f>QuickCalc!AJ24</f>
        <v>0</v>
      </c>
      <c r="AX147" s="28">
        <f>QuickCalc!AK24</f>
        <v>0</v>
      </c>
      <c r="AY147" s="28">
        <f>QuickCalc!AL24</f>
        <v>0</v>
      </c>
      <c r="AZ147" s="28">
        <f>QuickCalc!AM24</f>
        <v>0</v>
      </c>
      <c r="BA147" s="28">
        <f>QuickCalc!AN24</f>
        <v>0</v>
      </c>
      <c r="BB147" s="28">
        <f>QuickCalc!AO24</f>
        <v>0</v>
      </c>
      <c r="BC147" s="28">
        <f>QuickCalc!AP24</f>
        <v>0</v>
      </c>
      <c r="BD147" s="28">
        <f>QuickCalc!AQ24</f>
        <v>0</v>
      </c>
      <c r="BE147" s="28">
        <f>QuickCalc!AR24</f>
        <v>0</v>
      </c>
      <c r="BF147" s="28">
        <f>QuickCalc!AS24</f>
        <v>0</v>
      </c>
      <c r="BG147" s="28">
        <f>QuickCalc!AT24</f>
        <v>0</v>
      </c>
      <c r="BH147" s="28">
        <f>QuickCalc!AU24</f>
        <v>0</v>
      </c>
      <c r="BI147" s="28">
        <f>QuickCalc!AV24</f>
        <v>0</v>
      </c>
      <c r="BJ147" s="28">
        <f>QuickCalc!AW24</f>
        <v>0</v>
      </c>
      <c r="BK147" s="28">
        <f>QuickCalc!AX24</f>
        <v>0</v>
      </c>
      <c r="BL147" s="28">
        <f>QuickCalc!AY24</f>
        <v>0</v>
      </c>
      <c r="BM147" s="28">
        <f>QuickCalc!AZ24</f>
        <v>0</v>
      </c>
      <c r="BN147" s="28">
        <f>QuickCalc!BA24</f>
        <v>0</v>
      </c>
      <c r="BO147" s="28">
        <f>QuickCalc!BB24</f>
        <v>0</v>
      </c>
      <c r="BP147" s="28">
        <f>QuickCalc!BC24</f>
        <v>0</v>
      </c>
    </row>
    <row r="148" spans="3:68" ht="10.35" hidden="1" customHeight="1" outlineLevel="1" x14ac:dyDescent="0.2">
      <c r="C148" s="80"/>
      <c r="D148" s="80"/>
      <c r="E148" s="80"/>
      <c r="F148" s="80"/>
      <c r="G148" s="80"/>
      <c r="H148" s="80"/>
      <c r="I148" s="80"/>
      <c r="J148" s="80"/>
      <c r="K148" s="80"/>
      <c r="L148" s="112"/>
      <c r="M148" s="113"/>
      <c r="N148" s="80"/>
      <c r="O148" s="80"/>
      <c r="P148" s="80"/>
      <c r="Q148" s="80"/>
      <c r="R148" s="29"/>
      <c r="S148" s="29"/>
      <c r="T148" s="29"/>
      <c r="U148" s="29"/>
      <c r="V148" s="29"/>
      <c r="W148" s="29"/>
      <c r="X148" s="29"/>
      <c r="Y148" s="29"/>
      <c r="Z148" s="29"/>
      <c r="AA148" s="29"/>
      <c r="AB148" s="29"/>
      <c r="AC148" s="29"/>
      <c r="AD148" s="29"/>
      <c r="AE148" s="29"/>
      <c r="AF148" s="29"/>
      <c r="AG148" s="29"/>
      <c r="AH148" s="29"/>
      <c r="AI148" s="29"/>
      <c r="AJ148" s="29"/>
      <c r="AK148" s="29"/>
      <c r="AL148" s="29"/>
      <c r="AM148" s="29"/>
      <c r="AN148" s="29"/>
      <c r="AO148" s="29"/>
      <c r="AP148" s="29"/>
      <c r="AQ148" s="29"/>
      <c r="AR148" s="29"/>
      <c r="AS148" s="29"/>
      <c r="AT148" s="29"/>
      <c r="AU148" s="29"/>
      <c r="AV148" s="29"/>
      <c r="AW148" s="29"/>
      <c r="AX148" s="29"/>
      <c r="AY148" s="29"/>
      <c r="AZ148" s="29"/>
      <c r="BA148" s="29"/>
      <c r="BB148" s="29"/>
      <c r="BC148" s="29"/>
      <c r="BD148" s="29"/>
      <c r="BE148" s="29"/>
      <c r="BF148" s="29"/>
      <c r="BG148" s="29"/>
      <c r="BH148" s="29"/>
      <c r="BI148" s="29"/>
      <c r="BJ148" s="29"/>
      <c r="BK148" s="29"/>
      <c r="BL148" s="29"/>
      <c r="BM148" s="29"/>
      <c r="BN148" s="29"/>
      <c r="BO148" s="29"/>
      <c r="BP148" s="29"/>
    </row>
    <row r="149" spans="3:68" s="18" customFormat="1" ht="10.35" customHeight="1" collapsed="1" x14ac:dyDescent="0.2">
      <c r="C149" s="19" t="s">
        <v>121</v>
      </c>
      <c r="D149" s="426"/>
      <c r="E149" s="426"/>
      <c r="F149" s="426"/>
      <c r="G149" s="426"/>
      <c r="H149" s="426"/>
      <c r="I149" s="426"/>
      <c r="J149" s="426"/>
      <c r="K149" s="426"/>
      <c r="L149" s="428"/>
      <c r="M149" s="429"/>
      <c r="N149" s="426"/>
      <c r="O149" s="426"/>
      <c r="P149" s="426"/>
      <c r="Q149" s="426"/>
      <c r="R149" s="30"/>
      <c r="S149" s="30"/>
      <c r="T149" s="30"/>
      <c r="U149" s="30"/>
      <c r="V149" s="30"/>
      <c r="W149" s="30"/>
      <c r="X149" s="30"/>
      <c r="Y149" s="30"/>
      <c r="Z149" s="30"/>
      <c r="AA149" s="30"/>
      <c r="AB149" s="30"/>
      <c r="AC149" s="30"/>
      <c r="AD149" s="30"/>
      <c r="AE149" s="30"/>
      <c r="AF149" s="30"/>
      <c r="AG149" s="30"/>
      <c r="AH149" s="30"/>
      <c r="AI149" s="30"/>
      <c r="AJ149" s="30"/>
      <c r="AK149" s="30"/>
      <c r="AL149" s="30"/>
      <c r="AM149" s="30"/>
      <c r="AN149" s="30"/>
      <c r="AO149" s="30"/>
      <c r="AP149" s="30"/>
      <c r="AQ149" s="30"/>
      <c r="AR149" s="30"/>
      <c r="AS149" s="30"/>
      <c r="AT149" s="30"/>
      <c r="AU149" s="30"/>
      <c r="AV149" s="30"/>
      <c r="AW149" s="30"/>
      <c r="AX149" s="30"/>
      <c r="AY149" s="30"/>
      <c r="AZ149" s="30"/>
      <c r="BA149" s="30"/>
      <c r="BB149" s="30"/>
      <c r="BC149" s="30"/>
      <c r="BD149" s="30"/>
      <c r="BE149" s="30"/>
      <c r="BF149" s="30"/>
      <c r="BG149" s="30"/>
      <c r="BH149" s="30"/>
      <c r="BI149" s="30"/>
      <c r="BJ149" s="30"/>
      <c r="BK149" s="30"/>
      <c r="BL149" s="30"/>
      <c r="BM149" s="30"/>
      <c r="BN149" s="30"/>
      <c r="BO149" s="30"/>
      <c r="BP149" s="30"/>
    </row>
    <row r="150" spans="3:68" ht="10.35" hidden="1" customHeight="1" outlineLevel="1" x14ac:dyDescent="0.2">
      <c r="C150" s="80"/>
      <c r="D150" s="80"/>
      <c r="E150" s="80"/>
      <c r="F150" s="80"/>
      <c r="G150" s="80"/>
      <c r="H150" s="80"/>
      <c r="I150" s="80"/>
      <c r="J150" s="80"/>
      <c r="K150" s="80"/>
      <c r="L150" s="412"/>
      <c r="M150" s="413"/>
      <c r="N150" s="80"/>
      <c r="O150" s="80"/>
      <c r="P150" s="80"/>
      <c r="Q150" s="80"/>
      <c r="R150" s="29"/>
      <c r="S150" s="29"/>
      <c r="T150" s="29"/>
      <c r="U150" s="29"/>
      <c r="V150" s="29"/>
      <c r="W150" s="29"/>
      <c r="X150" s="29"/>
      <c r="Y150" s="29"/>
      <c r="Z150" s="29"/>
      <c r="AA150" s="29"/>
      <c r="AB150" s="29"/>
      <c r="AC150" s="29"/>
      <c r="AD150" s="29"/>
      <c r="AE150" s="29"/>
      <c r="AF150" s="29"/>
      <c r="AG150" s="29"/>
      <c r="AH150" s="29"/>
      <c r="AI150" s="29"/>
      <c r="AJ150" s="29"/>
      <c r="AK150" s="29"/>
      <c r="AL150" s="29"/>
      <c r="AM150" s="29"/>
      <c r="AN150" s="29"/>
      <c r="AO150" s="29"/>
      <c r="AP150" s="29"/>
      <c r="AQ150" s="29"/>
      <c r="AR150" s="29"/>
      <c r="AS150" s="29"/>
      <c r="AT150" s="29"/>
      <c r="AU150" s="29"/>
      <c r="AV150" s="29"/>
      <c r="AW150" s="29"/>
      <c r="AX150" s="29"/>
      <c r="AY150" s="29"/>
      <c r="AZ150" s="29"/>
      <c r="BA150" s="29"/>
      <c r="BB150" s="29"/>
      <c r="BC150" s="29"/>
      <c r="BD150" s="29"/>
      <c r="BE150" s="29"/>
      <c r="BF150" s="29"/>
      <c r="BG150" s="29"/>
      <c r="BH150" s="29"/>
      <c r="BI150" s="29"/>
      <c r="BJ150" s="29"/>
      <c r="BK150" s="29"/>
      <c r="BL150" s="29"/>
      <c r="BM150" s="29"/>
      <c r="BN150" s="29"/>
      <c r="BO150" s="29"/>
      <c r="BP150" s="29"/>
    </row>
    <row r="151" spans="3:68" ht="10.35" hidden="1" customHeight="1" outlineLevel="1" x14ac:dyDescent="0.2">
      <c r="C151" s="80"/>
      <c r="D151" s="80"/>
      <c r="E151" s="80"/>
      <c r="F151" s="80"/>
      <c r="G151" s="80"/>
      <c r="H151" s="80"/>
      <c r="I151" s="80"/>
      <c r="J151" s="80"/>
      <c r="K151" s="80"/>
      <c r="L151" s="412"/>
      <c r="M151" s="413"/>
      <c r="N151" s="80"/>
      <c r="O151" s="80"/>
      <c r="P151" s="80"/>
      <c r="Q151" s="80"/>
      <c r="R151" s="29"/>
      <c r="S151" s="29"/>
      <c r="T151" s="29"/>
      <c r="U151" s="29"/>
      <c r="V151" s="29"/>
      <c r="W151" s="29"/>
      <c r="X151" s="29"/>
      <c r="Y151" s="29"/>
      <c r="Z151" s="29"/>
      <c r="AA151" s="29"/>
      <c r="AB151" s="29"/>
      <c r="AC151" s="29"/>
      <c r="AD151" s="29"/>
      <c r="AE151" s="29"/>
      <c r="AF151" s="29"/>
      <c r="AG151" s="29"/>
      <c r="AH151" s="29"/>
      <c r="AI151" s="29"/>
      <c r="AJ151" s="29"/>
      <c r="AK151" s="29"/>
      <c r="AL151" s="29"/>
      <c r="AM151" s="29"/>
      <c r="AN151" s="29"/>
      <c r="AO151" s="29"/>
      <c r="AP151" s="29"/>
      <c r="AQ151" s="29"/>
      <c r="AR151" s="29"/>
      <c r="AS151" s="29"/>
      <c r="AT151" s="29"/>
      <c r="AU151" s="29"/>
      <c r="AV151" s="29"/>
      <c r="AW151" s="29"/>
      <c r="AX151" s="29"/>
      <c r="AY151" s="29"/>
      <c r="AZ151" s="29"/>
      <c r="BA151" s="29"/>
      <c r="BB151" s="29"/>
      <c r="BC151" s="29"/>
      <c r="BD151" s="29"/>
      <c r="BE151" s="29"/>
      <c r="BF151" s="29"/>
      <c r="BG151" s="29"/>
      <c r="BH151" s="29"/>
      <c r="BI151" s="29"/>
      <c r="BJ151" s="29"/>
      <c r="BK151" s="29"/>
      <c r="BL151" s="29"/>
      <c r="BM151" s="29"/>
      <c r="BN151" s="29"/>
      <c r="BO151" s="29"/>
      <c r="BP151" s="29"/>
    </row>
    <row r="152" spans="3:68" ht="10.35" hidden="1" customHeight="1" outlineLevel="1" x14ac:dyDescent="0.2">
      <c r="C152" s="80"/>
      <c r="D152" s="80"/>
      <c r="E152" s="80"/>
      <c r="F152" s="80"/>
      <c r="G152" s="80"/>
      <c r="H152" s="80"/>
      <c r="I152" s="80"/>
      <c r="J152" s="80"/>
      <c r="K152" s="80"/>
      <c r="L152" s="412"/>
      <c r="M152" s="413"/>
      <c r="N152" s="80"/>
      <c r="O152" s="80"/>
      <c r="P152" s="80"/>
      <c r="Q152" s="80"/>
      <c r="R152" s="29"/>
      <c r="S152" s="29"/>
      <c r="T152" s="29"/>
      <c r="U152" s="29"/>
      <c r="V152" s="29"/>
      <c r="W152" s="29"/>
      <c r="X152" s="29"/>
      <c r="Y152" s="29"/>
      <c r="Z152" s="29"/>
      <c r="AA152" s="29"/>
      <c r="AB152" s="29"/>
      <c r="AC152" s="29"/>
      <c r="AD152" s="29"/>
      <c r="AE152" s="29"/>
      <c r="AF152" s="29"/>
      <c r="AG152" s="29"/>
      <c r="AH152" s="29"/>
      <c r="AI152" s="29"/>
      <c r="AJ152" s="29"/>
      <c r="AK152" s="29"/>
      <c r="AL152" s="29"/>
      <c r="AM152" s="29"/>
      <c r="AN152" s="29"/>
      <c r="AO152" s="29"/>
      <c r="AP152" s="29"/>
      <c r="AQ152" s="29"/>
      <c r="AR152" s="29"/>
      <c r="AS152" s="29"/>
      <c r="AT152" s="29"/>
      <c r="AU152" s="29"/>
      <c r="AV152" s="29"/>
      <c r="AW152" s="29"/>
      <c r="AX152" s="29"/>
      <c r="AY152" s="29"/>
      <c r="AZ152" s="29"/>
      <c r="BA152" s="29"/>
      <c r="BB152" s="29"/>
      <c r="BC152" s="29"/>
      <c r="BD152" s="29"/>
      <c r="BE152" s="29"/>
      <c r="BF152" s="29"/>
      <c r="BG152" s="29"/>
      <c r="BH152" s="29"/>
      <c r="BI152" s="29"/>
      <c r="BJ152" s="29"/>
      <c r="BK152" s="29"/>
      <c r="BL152" s="29"/>
      <c r="BM152" s="29"/>
      <c r="BN152" s="29"/>
      <c r="BO152" s="29"/>
      <c r="BP152" s="29"/>
    </row>
    <row r="153" spans="3:68" ht="10.35" hidden="1" customHeight="1" outlineLevel="1" x14ac:dyDescent="0.2">
      <c r="C153" s="80"/>
      <c r="D153" s="80"/>
      <c r="E153" s="80"/>
      <c r="F153" s="80"/>
      <c r="G153" s="80"/>
      <c r="H153" s="80"/>
      <c r="I153" s="80"/>
      <c r="J153" s="80"/>
      <c r="K153" s="80"/>
      <c r="L153" s="412"/>
      <c r="M153" s="413"/>
      <c r="N153" s="80"/>
      <c r="O153" s="80"/>
      <c r="P153" s="80"/>
      <c r="Q153" s="80"/>
      <c r="R153" s="29"/>
      <c r="S153" s="29"/>
      <c r="T153" s="29"/>
      <c r="U153" s="29"/>
      <c r="V153" s="29"/>
      <c r="W153" s="29"/>
      <c r="X153" s="29"/>
      <c r="Y153" s="29"/>
      <c r="Z153" s="29"/>
      <c r="AA153" s="29"/>
      <c r="AB153" s="29"/>
      <c r="AC153" s="29"/>
      <c r="AD153" s="29"/>
      <c r="AE153" s="29"/>
      <c r="AF153" s="29"/>
      <c r="AG153" s="29"/>
      <c r="AH153" s="29"/>
      <c r="AI153" s="29"/>
      <c r="AJ153" s="29"/>
      <c r="AK153" s="29"/>
      <c r="AL153" s="29"/>
      <c r="AM153" s="29"/>
      <c r="AN153" s="29"/>
      <c r="AO153" s="29"/>
      <c r="AP153" s="29"/>
      <c r="AQ153" s="29"/>
      <c r="AR153" s="29"/>
      <c r="AS153" s="29"/>
      <c r="AT153" s="29"/>
      <c r="AU153" s="29"/>
      <c r="AV153" s="29"/>
      <c r="AW153" s="29"/>
      <c r="AX153" s="29"/>
      <c r="AY153" s="29"/>
      <c r="AZ153" s="29"/>
      <c r="BA153" s="29"/>
      <c r="BB153" s="29"/>
      <c r="BC153" s="29"/>
      <c r="BD153" s="29"/>
      <c r="BE153" s="29"/>
      <c r="BF153" s="29"/>
      <c r="BG153" s="29"/>
      <c r="BH153" s="29"/>
      <c r="BI153" s="29"/>
      <c r="BJ153" s="29"/>
      <c r="BK153" s="29"/>
      <c r="BL153" s="29"/>
      <c r="BM153" s="29"/>
      <c r="BN153" s="29"/>
      <c r="BO153" s="29"/>
      <c r="BP153" s="29"/>
    </row>
    <row r="154" spans="3:68" ht="10.35" hidden="1" customHeight="1" outlineLevel="1" x14ac:dyDescent="0.2">
      <c r="C154" s="80"/>
      <c r="D154" s="80"/>
      <c r="E154" s="80"/>
      <c r="F154" s="80"/>
      <c r="G154" s="80"/>
      <c r="H154" s="80"/>
      <c r="I154" s="80"/>
      <c r="J154" s="80"/>
      <c r="K154" s="80"/>
      <c r="L154" s="412"/>
      <c r="M154" s="413"/>
      <c r="N154" s="80"/>
      <c r="O154" s="80"/>
      <c r="P154" s="80"/>
      <c r="Q154" s="80"/>
      <c r="R154" s="29"/>
      <c r="S154" s="29"/>
      <c r="T154" s="29"/>
      <c r="U154" s="29"/>
      <c r="V154" s="29"/>
      <c r="W154" s="29"/>
      <c r="X154" s="29"/>
      <c r="Y154" s="29"/>
      <c r="Z154" s="29"/>
      <c r="AA154" s="29"/>
      <c r="AB154" s="29"/>
      <c r="AC154" s="29"/>
      <c r="AD154" s="29"/>
      <c r="AE154" s="29"/>
      <c r="AF154" s="29"/>
      <c r="AG154" s="29"/>
      <c r="AH154" s="29"/>
      <c r="AI154" s="29"/>
      <c r="AJ154" s="29"/>
      <c r="AK154" s="29"/>
      <c r="AL154" s="29"/>
      <c r="AM154" s="29"/>
      <c r="AN154" s="29"/>
      <c r="AO154" s="29"/>
      <c r="AP154" s="29"/>
      <c r="AQ154" s="29"/>
      <c r="AR154" s="29"/>
      <c r="AS154" s="29"/>
      <c r="AT154" s="29"/>
      <c r="AU154" s="29"/>
      <c r="AV154" s="29"/>
      <c r="AW154" s="29"/>
      <c r="AX154" s="29"/>
      <c r="AY154" s="29"/>
      <c r="AZ154" s="29"/>
      <c r="BA154" s="29"/>
      <c r="BB154" s="29"/>
      <c r="BC154" s="29"/>
      <c r="BD154" s="29"/>
      <c r="BE154" s="29"/>
      <c r="BF154" s="29"/>
      <c r="BG154" s="29"/>
      <c r="BH154" s="29"/>
      <c r="BI154" s="29"/>
      <c r="BJ154" s="29"/>
      <c r="BK154" s="29"/>
      <c r="BL154" s="29"/>
      <c r="BM154" s="29"/>
      <c r="BN154" s="29"/>
      <c r="BO154" s="29"/>
      <c r="BP154" s="29"/>
    </row>
    <row r="155" spans="3:68" ht="10.35" hidden="1" customHeight="1" outlineLevel="1" x14ac:dyDescent="0.2">
      <c r="C155" s="80"/>
      <c r="D155" s="80"/>
      <c r="E155" s="80"/>
      <c r="F155" s="80"/>
      <c r="G155" s="80"/>
      <c r="H155" s="80"/>
      <c r="I155" s="80"/>
      <c r="J155" s="80"/>
      <c r="K155" s="80"/>
      <c r="L155" s="412"/>
      <c r="M155" s="413"/>
      <c r="N155" s="80"/>
      <c r="O155" s="80"/>
      <c r="P155" s="80"/>
      <c r="Q155" s="80"/>
      <c r="R155" s="29"/>
      <c r="S155" s="29"/>
      <c r="T155" s="29"/>
      <c r="U155" s="29"/>
      <c r="V155" s="29"/>
      <c r="W155" s="29"/>
      <c r="X155" s="29"/>
      <c r="Y155" s="29"/>
      <c r="Z155" s="29"/>
      <c r="AA155" s="29"/>
      <c r="AB155" s="29"/>
      <c r="AC155" s="29"/>
      <c r="AD155" s="29"/>
      <c r="AE155" s="29"/>
      <c r="AF155" s="29"/>
      <c r="AG155" s="29"/>
      <c r="AH155" s="29"/>
      <c r="AI155" s="29"/>
      <c r="AJ155" s="29"/>
      <c r="AK155" s="29"/>
      <c r="AL155" s="29"/>
      <c r="AM155" s="29"/>
      <c r="AN155" s="29"/>
      <c r="AO155" s="29"/>
      <c r="AP155" s="29"/>
      <c r="AQ155" s="29"/>
      <c r="AR155" s="29"/>
      <c r="AS155" s="29"/>
      <c r="AT155" s="29"/>
      <c r="AU155" s="29"/>
      <c r="AV155" s="29"/>
      <c r="AW155" s="29"/>
      <c r="AX155" s="29"/>
      <c r="AY155" s="29"/>
      <c r="AZ155" s="29"/>
      <c r="BA155" s="29"/>
      <c r="BB155" s="29"/>
      <c r="BC155" s="29"/>
      <c r="BD155" s="29"/>
      <c r="BE155" s="29"/>
      <c r="BF155" s="29"/>
      <c r="BG155" s="29"/>
      <c r="BH155" s="29"/>
      <c r="BI155" s="29"/>
      <c r="BJ155" s="29"/>
      <c r="BK155" s="29"/>
      <c r="BL155" s="29"/>
      <c r="BM155" s="29"/>
      <c r="BN155" s="29"/>
      <c r="BO155" s="29"/>
      <c r="BP155" s="29"/>
    </row>
    <row r="156" spans="3:68" ht="10.35" hidden="1" customHeight="1" outlineLevel="1" x14ac:dyDescent="0.2">
      <c r="C156" s="80"/>
      <c r="D156" s="80"/>
      <c r="E156" s="80"/>
      <c r="F156" s="80"/>
      <c r="G156" s="80"/>
      <c r="H156" s="80"/>
      <c r="I156" s="80"/>
      <c r="J156" s="80"/>
      <c r="K156" s="80"/>
      <c r="L156" s="412"/>
      <c r="M156" s="413"/>
      <c r="N156" s="80"/>
      <c r="O156" s="80"/>
      <c r="P156" s="80"/>
      <c r="Q156" s="80"/>
      <c r="R156" s="29"/>
      <c r="S156" s="29"/>
      <c r="T156" s="29"/>
      <c r="U156" s="29"/>
      <c r="V156" s="29"/>
      <c r="W156" s="29"/>
      <c r="X156" s="29"/>
      <c r="Y156" s="29"/>
      <c r="Z156" s="29"/>
      <c r="AA156" s="29"/>
      <c r="AB156" s="29"/>
      <c r="AC156" s="29"/>
      <c r="AD156" s="29"/>
      <c r="AE156" s="29"/>
      <c r="AF156" s="29"/>
      <c r="AG156" s="29"/>
      <c r="AH156" s="29"/>
      <c r="AI156" s="29"/>
      <c r="AJ156" s="29"/>
      <c r="AK156" s="29"/>
      <c r="AL156" s="29"/>
      <c r="AM156" s="29"/>
      <c r="AN156" s="29"/>
      <c r="AO156" s="29"/>
      <c r="AP156" s="29"/>
      <c r="AQ156" s="29"/>
      <c r="AR156" s="29"/>
      <c r="AS156" s="29"/>
      <c r="AT156" s="29"/>
      <c r="AU156" s="29"/>
      <c r="AV156" s="29"/>
      <c r="AW156" s="29"/>
      <c r="AX156" s="29"/>
      <c r="AY156" s="29"/>
      <c r="AZ156" s="29"/>
      <c r="BA156" s="29"/>
      <c r="BB156" s="29"/>
      <c r="BC156" s="29"/>
      <c r="BD156" s="29"/>
      <c r="BE156" s="29"/>
      <c r="BF156" s="29"/>
      <c r="BG156" s="29"/>
      <c r="BH156" s="29"/>
      <c r="BI156" s="29"/>
      <c r="BJ156" s="29"/>
      <c r="BK156" s="29"/>
      <c r="BL156" s="29"/>
      <c r="BM156" s="29"/>
      <c r="BN156" s="29"/>
      <c r="BO156" s="29"/>
      <c r="BP156" s="29"/>
    </row>
    <row r="157" spans="3:68" ht="10.35" hidden="1" customHeight="1" outlineLevel="1" x14ac:dyDescent="0.2">
      <c r="C157" s="80"/>
      <c r="D157" s="80"/>
      <c r="E157" s="80"/>
      <c r="F157" s="80"/>
      <c r="G157" s="80"/>
      <c r="H157" s="80"/>
      <c r="I157" s="80"/>
      <c r="J157" s="80"/>
      <c r="K157" s="80"/>
      <c r="L157" s="412"/>
      <c r="M157" s="413"/>
      <c r="N157" s="80"/>
      <c r="O157" s="80"/>
      <c r="P157" s="80"/>
      <c r="Q157" s="80"/>
      <c r="R157" s="29"/>
      <c r="S157" s="29"/>
      <c r="T157" s="29"/>
      <c r="U157" s="29"/>
      <c r="V157" s="29"/>
      <c r="W157" s="29"/>
      <c r="X157" s="29"/>
      <c r="Y157" s="29"/>
      <c r="Z157" s="29"/>
      <c r="AA157" s="29"/>
      <c r="AB157" s="29"/>
      <c r="AC157" s="29"/>
      <c r="AD157" s="29"/>
      <c r="AE157" s="29"/>
      <c r="AF157" s="29"/>
      <c r="AG157" s="29"/>
      <c r="AH157" s="29"/>
      <c r="AI157" s="29"/>
      <c r="AJ157" s="29"/>
      <c r="AK157" s="29"/>
      <c r="AL157" s="29"/>
      <c r="AM157" s="29"/>
      <c r="AN157" s="29"/>
      <c r="AO157" s="29"/>
      <c r="AP157" s="29"/>
      <c r="AQ157" s="29"/>
      <c r="AR157" s="29"/>
      <c r="AS157" s="29"/>
      <c r="AT157" s="29"/>
      <c r="AU157" s="29"/>
      <c r="AV157" s="29"/>
      <c r="AW157" s="29"/>
      <c r="AX157" s="29"/>
      <c r="AY157" s="29"/>
      <c r="AZ157" s="29"/>
      <c r="BA157" s="29"/>
      <c r="BB157" s="29"/>
      <c r="BC157" s="29"/>
      <c r="BD157" s="29"/>
      <c r="BE157" s="29"/>
      <c r="BF157" s="29"/>
      <c r="BG157" s="29"/>
      <c r="BH157" s="29"/>
      <c r="BI157" s="29"/>
      <c r="BJ157" s="29"/>
      <c r="BK157" s="29"/>
      <c r="BL157" s="29"/>
      <c r="BM157" s="29"/>
      <c r="BN157" s="29"/>
      <c r="BO157" s="29"/>
      <c r="BP157" s="29"/>
    </row>
    <row r="158" spans="3:68" ht="10.35" hidden="1" customHeight="1" outlineLevel="1" x14ac:dyDescent="0.2">
      <c r="C158" s="80"/>
      <c r="D158" s="80"/>
      <c r="E158" s="80"/>
      <c r="F158" s="80"/>
      <c r="G158" s="80"/>
      <c r="H158" s="80"/>
      <c r="I158" s="80"/>
      <c r="J158" s="80"/>
      <c r="K158" s="80"/>
      <c r="L158" s="412"/>
      <c r="M158" s="413"/>
      <c r="N158" s="80"/>
      <c r="O158" s="80"/>
      <c r="P158" s="80"/>
      <c r="Q158" s="80"/>
      <c r="R158" s="29"/>
      <c r="S158" s="29"/>
      <c r="T158" s="29"/>
      <c r="U158" s="29"/>
      <c r="V158" s="29"/>
      <c r="W158" s="29"/>
      <c r="X158" s="29"/>
      <c r="Y158" s="29"/>
      <c r="Z158" s="29"/>
      <c r="AA158" s="29"/>
      <c r="AB158" s="29"/>
      <c r="AC158" s="29"/>
      <c r="AD158" s="29"/>
      <c r="AE158" s="29"/>
      <c r="AF158" s="29"/>
      <c r="AG158" s="29"/>
      <c r="AH158" s="29"/>
      <c r="AI158" s="29"/>
      <c r="AJ158" s="29"/>
      <c r="AK158" s="29"/>
      <c r="AL158" s="29"/>
      <c r="AM158" s="29"/>
      <c r="AN158" s="29"/>
      <c r="AO158" s="29"/>
      <c r="AP158" s="29"/>
      <c r="AQ158" s="29"/>
      <c r="AR158" s="29"/>
      <c r="AS158" s="29"/>
      <c r="AT158" s="29"/>
      <c r="AU158" s="29"/>
      <c r="AV158" s="29"/>
      <c r="AW158" s="29"/>
      <c r="AX158" s="29"/>
      <c r="AY158" s="29"/>
      <c r="AZ158" s="29"/>
      <c r="BA158" s="29"/>
      <c r="BB158" s="29"/>
      <c r="BC158" s="29"/>
      <c r="BD158" s="29"/>
      <c r="BE158" s="29"/>
      <c r="BF158" s="29"/>
      <c r="BG158" s="29"/>
      <c r="BH158" s="29"/>
      <c r="BI158" s="29"/>
      <c r="BJ158" s="29"/>
      <c r="BK158" s="29"/>
      <c r="BL158" s="29"/>
      <c r="BM158" s="29"/>
      <c r="BN158" s="29"/>
      <c r="BO158" s="29"/>
      <c r="BP158" s="29"/>
    </row>
    <row r="159" spans="3:68" ht="10.35" hidden="1" customHeight="1" outlineLevel="1" x14ac:dyDescent="0.2">
      <c r="C159" s="80"/>
      <c r="D159" s="80"/>
      <c r="E159" s="80"/>
      <c r="F159" s="80"/>
      <c r="G159" s="80"/>
      <c r="H159" s="80"/>
      <c r="I159" s="80"/>
      <c r="J159" s="80"/>
      <c r="K159" s="80"/>
      <c r="L159" s="412"/>
      <c r="M159" s="413"/>
      <c r="N159" s="80"/>
      <c r="O159" s="80"/>
      <c r="P159" s="80"/>
      <c r="Q159" s="80"/>
      <c r="R159" s="29"/>
      <c r="S159" s="29"/>
      <c r="T159" s="29"/>
      <c r="U159" s="29"/>
      <c r="V159" s="29"/>
      <c r="W159" s="29"/>
      <c r="X159" s="29"/>
      <c r="Y159" s="29"/>
      <c r="Z159" s="29"/>
      <c r="AA159" s="29"/>
      <c r="AB159" s="29"/>
      <c r="AC159" s="29"/>
      <c r="AD159" s="29"/>
      <c r="AE159" s="29"/>
      <c r="AF159" s="29"/>
      <c r="AG159" s="29"/>
      <c r="AH159" s="29"/>
      <c r="AI159" s="29"/>
      <c r="AJ159" s="29"/>
      <c r="AK159" s="29"/>
      <c r="AL159" s="29"/>
      <c r="AM159" s="29"/>
      <c r="AN159" s="29"/>
      <c r="AO159" s="29"/>
      <c r="AP159" s="29"/>
      <c r="AQ159" s="29"/>
      <c r="AR159" s="29"/>
      <c r="AS159" s="29"/>
      <c r="AT159" s="29"/>
      <c r="AU159" s="29"/>
      <c r="AV159" s="29"/>
      <c r="AW159" s="29"/>
      <c r="AX159" s="29"/>
      <c r="AY159" s="29"/>
      <c r="AZ159" s="29"/>
      <c r="BA159" s="29"/>
      <c r="BB159" s="29"/>
      <c r="BC159" s="29"/>
      <c r="BD159" s="29"/>
      <c r="BE159" s="29"/>
      <c r="BF159" s="29"/>
      <c r="BG159" s="29"/>
      <c r="BH159" s="29"/>
      <c r="BI159" s="29"/>
      <c r="BJ159" s="29"/>
      <c r="BK159" s="29"/>
      <c r="BL159" s="29"/>
      <c r="BM159" s="29"/>
      <c r="BN159" s="29"/>
      <c r="BO159" s="29"/>
      <c r="BP159" s="29"/>
    </row>
    <row r="160" spans="3:68" ht="10.35" hidden="1" customHeight="1" outlineLevel="1" x14ac:dyDescent="0.2">
      <c r="C160" s="80"/>
      <c r="D160" s="80"/>
      <c r="E160" s="80"/>
      <c r="F160" s="80"/>
      <c r="G160" s="80"/>
      <c r="H160" s="80"/>
      <c r="I160" s="80"/>
      <c r="J160" s="80"/>
      <c r="K160" s="80"/>
      <c r="L160" s="412"/>
      <c r="M160" s="413"/>
      <c r="N160" s="80"/>
      <c r="O160" s="80"/>
      <c r="P160" s="80"/>
      <c r="Q160" s="80"/>
      <c r="R160" s="29"/>
      <c r="S160" s="29"/>
      <c r="T160" s="29"/>
      <c r="U160" s="29"/>
      <c r="V160" s="29"/>
      <c r="W160" s="29"/>
      <c r="X160" s="29"/>
      <c r="Y160" s="29"/>
      <c r="Z160" s="29"/>
      <c r="AA160" s="29"/>
      <c r="AB160" s="29"/>
      <c r="AC160" s="29"/>
      <c r="AD160" s="29"/>
      <c r="AE160" s="29"/>
      <c r="AF160" s="29"/>
      <c r="AG160" s="29"/>
      <c r="AH160" s="29"/>
      <c r="AI160" s="29"/>
      <c r="AJ160" s="29"/>
      <c r="AK160" s="29"/>
      <c r="AL160" s="29"/>
      <c r="AM160" s="29"/>
      <c r="AN160" s="29"/>
      <c r="AO160" s="29"/>
      <c r="AP160" s="29"/>
      <c r="AQ160" s="29"/>
      <c r="AR160" s="29"/>
      <c r="AS160" s="29"/>
      <c r="AT160" s="29"/>
      <c r="AU160" s="29"/>
      <c r="AV160" s="29"/>
      <c r="AW160" s="29"/>
      <c r="AX160" s="29"/>
      <c r="AY160" s="29"/>
      <c r="AZ160" s="29"/>
      <c r="BA160" s="29"/>
      <c r="BB160" s="29"/>
      <c r="BC160" s="29"/>
      <c r="BD160" s="29"/>
      <c r="BE160" s="29"/>
      <c r="BF160" s="29"/>
      <c r="BG160" s="29"/>
      <c r="BH160" s="29"/>
      <c r="BI160" s="29"/>
      <c r="BJ160" s="29"/>
      <c r="BK160" s="29"/>
      <c r="BL160" s="29"/>
      <c r="BM160" s="29"/>
      <c r="BN160" s="29"/>
      <c r="BO160" s="29"/>
      <c r="BP160" s="29"/>
    </row>
    <row r="161" spans="3:68" ht="10.35" hidden="1" customHeight="1" outlineLevel="1" x14ac:dyDescent="0.2">
      <c r="C161" s="10"/>
      <c r="D161" s="80"/>
      <c r="E161" s="80"/>
      <c r="F161" s="10" t="s">
        <v>96</v>
      </c>
      <c r="G161" s="80"/>
      <c r="H161" s="80"/>
      <c r="I161" s="80"/>
      <c r="J161" s="80"/>
      <c r="K161" s="17"/>
      <c r="L161" s="104"/>
      <c r="M161" s="105"/>
      <c r="N161" s="17"/>
      <c r="O161" s="17"/>
      <c r="P161" s="17"/>
      <c r="Q161" s="17"/>
      <c r="R161" s="24" t="str">
        <f>"FY"&amp;RIGHT(Assumptions!$L$19+R68,2)</f>
        <v>FY22</v>
      </c>
      <c r="S161" s="24" t="str">
        <f>"FY"&amp;RIGHT(Assumptions!$L$19+S68,2)</f>
        <v>FY23</v>
      </c>
      <c r="T161" s="24" t="str">
        <f>"FY"&amp;RIGHT(Assumptions!$L$19+T68,2)</f>
        <v>FY24</v>
      </c>
      <c r="U161" s="24" t="str">
        <f>"FY"&amp;RIGHT(Assumptions!$L$19+U68,2)</f>
        <v>FY25</v>
      </c>
      <c r="V161" s="24" t="str">
        <f>"FY"&amp;RIGHT(Assumptions!$L$19+V68,2)</f>
        <v>FY26</v>
      </c>
      <c r="W161" s="24" t="str">
        <f>"FY"&amp;RIGHT(Assumptions!$L$19+W68,2)</f>
        <v>FY27</v>
      </c>
      <c r="X161" s="24" t="str">
        <f>"FY"&amp;RIGHT(Assumptions!$L$19+X68,2)</f>
        <v>FY28</v>
      </c>
      <c r="Y161" s="24" t="str">
        <f>"FY"&amp;RIGHT(Assumptions!$L$19+Y68,2)</f>
        <v>FY29</v>
      </c>
      <c r="Z161" s="24" t="str">
        <f>"FY"&amp;RIGHT(Assumptions!$L$19+Z68,2)</f>
        <v>FY30</v>
      </c>
      <c r="AA161" s="24" t="str">
        <f>"FY"&amp;RIGHT(Assumptions!$L$19+AA68,2)</f>
        <v>FY31</v>
      </c>
      <c r="AB161" s="24" t="str">
        <f>"FY"&amp;RIGHT(Assumptions!$L$19+AB68,2)</f>
        <v>FY32</v>
      </c>
      <c r="AC161" s="24" t="str">
        <f>"FY"&amp;RIGHT(Assumptions!$L$19+AC68,2)</f>
        <v>FY33</v>
      </c>
      <c r="AD161" s="24" t="str">
        <f>"FY"&amp;RIGHT(Assumptions!$L$19+AD68,2)</f>
        <v>FY34</v>
      </c>
      <c r="AE161" s="24" t="str">
        <f>"FY"&amp;RIGHT(Assumptions!$L$19+AE68,2)</f>
        <v>FY35</v>
      </c>
      <c r="AF161" s="24" t="str">
        <f>"FY"&amp;RIGHT(Assumptions!$L$19+AF68,2)</f>
        <v>FY36</v>
      </c>
      <c r="AG161" s="24" t="str">
        <f>"FY"&amp;RIGHT(Assumptions!$L$19+AG68,2)</f>
        <v>FY37</v>
      </c>
      <c r="AH161" s="24" t="str">
        <f>"FY"&amp;RIGHT(Assumptions!$L$19+AH68,2)</f>
        <v>FY38</v>
      </c>
      <c r="AI161" s="24" t="str">
        <f>"FY"&amp;RIGHT(Assumptions!$L$19+AI68,2)</f>
        <v>FY39</v>
      </c>
      <c r="AJ161" s="24" t="str">
        <f>"FY"&amp;RIGHT(Assumptions!$L$19+AJ68,2)</f>
        <v>FY40</v>
      </c>
      <c r="AK161" s="24" t="str">
        <f>"FY"&amp;RIGHT(Assumptions!$L$19+AK68,2)</f>
        <v>FY41</v>
      </c>
      <c r="AL161" s="24" t="str">
        <f>"FY"&amp;RIGHT(Assumptions!$L$19+AL68,2)</f>
        <v>FY42</v>
      </c>
      <c r="AM161" s="24" t="str">
        <f>"FY"&amp;RIGHT(Assumptions!$L$19+AM68,2)</f>
        <v>FY43</v>
      </c>
      <c r="AN161" s="24" t="str">
        <f>"FY"&amp;RIGHT(Assumptions!$L$19+AN68,2)</f>
        <v>FY44</v>
      </c>
      <c r="AO161" s="24" t="str">
        <f>"FY"&amp;RIGHT(Assumptions!$L$19+AO68,2)</f>
        <v>FY45</v>
      </c>
      <c r="AP161" s="24" t="str">
        <f>"FY"&amp;RIGHT(Assumptions!$L$19+AP68,2)</f>
        <v>FY46</v>
      </c>
      <c r="AQ161" s="24" t="str">
        <f>"FY"&amp;RIGHT(Assumptions!$L$19+AQ68,2)</f>
        <v>FY47</v>
      </c>
      <c r="AR161" s="24" t="str">
        <f>"FY"&amp;RIGHT(Assumptions!$L$19+AR68,2)</f>
        <v>FY48</v>
      </c>
      <c r="AS161" s="24" t="str">
        <f>"FY"&amp;RIGHT(Assumptions!$L$19+AS68,2)</f>
        <v>FY49</v>
      </c>
      <c r="AT161" s="24" t="str">
        <f>"FY"&amp;RIGHT(Assumptions!$L$19+AT68,2)</f>
        <v>FY50</v>
      </c>
      <c r="AU161" s="24" t="str">
        <f>"FY"&amp;RIGHT(Assumptions!$L$19+AU68,2)</f>
        <v>FY51</v>
      </c>
      <c r="AV161" s="24" t="str">
        <f>"FY"&amp;RIGHT(Assumptions!$L$19+AV68,2)</f>
        <v>FY52</v>
      </c>
      <c r="AW161" s="24" t="str">
        <f>"FY"&amp;RIGHT(Assumptions!$L$19+AW68,2)</f>
        <v>FY53</v>
      </c>
      <c r="AX161" s="24" t="str">
        <f>"FY"&amp;RIGHT(Assumptions!$L$19+AX68,2)</f>
        <v>FY54</v>
      </c>
      <c r="AY161" s="24" t="str">
        <f>"FY"&amp;RIGHT(Assumptions!$L$19+AY68,2)</f>
        <v>FY55</v>
      </c>
      <c r="AZ161" s="24" t="str">
        <f>"FY"&amp;RIGHT(Assumptions!$L$19+AZ68,2)</f>
        <v>FY56</v>
      </c>
      <c r="BA161" s="24" t="str">
        <f>"FY"&amp;RIGHT(Assumptions!$L$19+BA68,2)</f>
        <v>FY57</v>
      </c>
      <c r="BB161" s="24" t="str">
        <f>"FY"&amp;RIGHT(Assumptions!$L$19+BB68,2)</f>
        <v>FY58</v>
      </c>
      <c r="BC161" s="24" t="str">
        <f>"FY"&amp;RIGHT(Assumptions!$L$19+BC68,2)</f>
        <v>FY59</v>
      </c>
      <c r="BD161" s="24" t="str">
        <f>"FY"&amp;RIGHT(Assumptions!$L$19+BD68,2)</f>
        <v>FY60</v>
      </c>
      <c r="BE161" s="24" t="str">
        <f>"FY"&amp;RIGHT(Assumptions!$L$19+BE68,2)</f>
        <v>FY61</v>
      </c>
      <c r="BF161" s="24" t="str">
        <f>"FY"&amp;RIGHT(Assumptions!$L$19+BF68,2)</f>
        <v>FY62</v>
      </c>
      <c r="BG161" s="24" t="str">
        <f>"FY"&amp;RIGHT(Assumptions!$L$19+BG68,2)</f>
        <v>FY63</v>
      </c>
      <c r="BH161" s="24" t="str">
        <f>"FY"&amp;RIGHT(Assumptions!$L$19+BH68,2)</f>
        <v>FY64</v>
      </c>
      <c r="BI161" s="24" t="str">
        <f>"FY"&amp;RIGHT(Assumptions!$L$19+BI68,2)</f>
        <v>FY65</v>
      </c>
      <c r="BJ161" s="24" t="str">
        <f>"FY"&amp;RIGHT(Assumptions!$L$19+BJ68,2)</f>
        <v>FY66</v>
      </c>
      <c r="BK161" s="24" t="str">
        <f>"FY"&amp;RIGHT(Assumptions!$L$19+BK68,2)</f>
        <v>FY67</v>
      </c>
      <c r="BL161" s="24" t="str">
        <f>"FY"&amp;RIGHT(Assumptions!$L$19+BL68,2)</f>
        <v>FY68</v>
      </c>
      <c r="BM161" s="24" t="str">
        <f>"FY"&amp;RIGHT(Assumptions!$L$19+BM68,2)</f>
        <v>FY69</v>
      </c>
      <c r="BN161" s="24" t="str">
        <f>"FY"&amp;RIGHT(Assumptions!$L$19+BN68,2)</f>
        <v>FY70</v>
      </c>
      <c r="BO161" s="24" t="str">
        <f>"FY"&amp;RIGHT(Assumptions!$L$19+BO68,2)</f>
        <v>FY71</v>
      </c>
      <c r="BP161" s="24" t="str">
        <f>"FY"&amp;RIGHT(Assumptions!$L$19+BP68,2)</f>
        <v>FY72</v>
      </c>
    </row>
    <row r="162" spans="3:68" ht="10.35" hidden="1" customHeight="1" outlineLevel="1" x14ac:dyDescent="0.2">
      <c r="C162" s="80"/>
      <c r="D162" s="80"/>
      <c r="E162" s="80"/>
      <c r="F162" s="80"/>
      <c r="G162" s="80"/>
      <c r="H162" s="80"/>
      <c r="I162" s="80"/>
      <c r="J162" s="80"/>
      <c r="K162" s="80"/>
      <c r="L162" s="412"/>
      <c r="M162" s="413"/>
      <c r="N162" s="80"/>
      <c r="O162" s="80"/>
      <c r="P162" s="80"/>
      <c r="Q162" s="80"/>
      <c r="R162" s="29"/>
      <c r="S162" s="29"/>
      <c r="T162" s="29"/>
      <c r="U162" s="29"/>
      <c r="V162" s="29"/>
      <c r="W162" s="29"/>
      <c r="X162" s="29"/>
      <c r="Y162" s="29"/>
      <c r="Z162" s="29"/>
      <c r="AA162" s="29"/>
      <c r="AB162" s="29"/>
      <c r="AC162" s="29"/>
      <c r="AD162" s="29"/>
      <c r="AE162" s="29"/>
      <c r="AF162" s="29"/>
      <c r="AG162" s="29"/>
      <c r="AH162" s="29"/>
      <c r="AI162" s="29"/>
      <c r="AJ162" s="29"/>
      <c r="AK162" s="29"/>
      <c r="AL162" s="29"/>
      <c r="AM162" s="29"/>
      <c r="AN162" s="29"/>
      <c r="AO162" s="29"/>
      <c r="AP162" s="29"/>
      <c r="AQ162" s="29"/>
      <c r="AR162" s="29"/>
      <c r="AS162" s="29"/>
      <c r="AT162" s="29"/>
      <c r="AU162" s="29"/>
      <c r="AV162" s="29"/>
      <c r="AW162" s="29"/>
      <c r="AX162" s="29"/>
      <c r="AY162" s="29"/>
      <c r="AZ162" s="29"/>
      <c r="BA162" s="29"/>
      <c r="BB162" s="29"/>
      <c r="BC162" s="29"/>
      <c r="BD162" s="29"/>
      <c r="BE162" s="29"/>
      <c r="BF162" s="29"/>
      <c r="BG162" s="29"/>
      <c r="BH162" s="29"/>
      <c r="BI162" s="29"/>
      <c r="BJ162" s="29"/>
      <c r="BK162" s="29"/>
      <c r="BL162" s="29"/>
      <c r="BM162" s="29"/>
      <c r="BN162" s="29"/>
      <c r="BO162" s="29"/>
      <c r="BP162" s="29"/>
    </row>
    <row r="163" spans="3:68" ht="10.35" hidden="1" customHeight="1" outlineLevel="1" x14ac:dyDescent="0.2">
      <c r="C163" s="10"/>
      <c r="D163" s="80" t="s">
        <v>122</v>
      </c>
      <c r="E163" s="80"/>
      <c r="F163" s="512" t="s">
        <v>104</v>
      </c>
      <c r="G163" s="512"/>
      <c r="H163" s="512"/>
      <c r="I163" s="512"/>
      <c r="J163" s="512"/>
      <c r="K163" s="80" t="s">
        <v>123</v>
      </c>
      <c r="L163" s="436"/>
      <c r="M163" s="437"/>
      <c r="N163" s="401"/>
      <c r="O163" s="401"/>
      <c r="P163" s="401"/>
      <c r="Q163" s="401"/>
      <c r="R163" s="28">
        <f>QuickCalc!E25</f>
        <v>0</v>
      </c>
      <c r="S163" s="28">
        <f>QuickCalc!F25</f>
        <v>0</v>
      </c>
      <c r="T163" s="28">
        <f>QuickCalc!G25</f>
        <v>0</v>
      </c>
      <c r="U163" s="28">
        <f>QuickCalc!H25</f>
        <v>0</v>
      </c>
      <c r="V163" s="28">
        <f>QuickCalc!I25</f>
        <v>0</v>
      </c>
      <c r="W163" s="28">
        <f>QuickCalc!J25</f>
        <v>0</v>
      </c>
      <c r="X163" s="28">
        <f>QuickCalc!K25</f>
        <v>0</v>
      </c>
      <c r="Y163" s="28">
        <f>QuickCalc!L25</f>
        <v>0</v>
      </c>
      <c r="Z163" s="28">
        <f>QuickCalc!M25</f>
        <v>0</v>
      </c>
      <c r="AA163" s="28">
        <f>QuickCalc!N25</f>
        <v>0</v>
      </c>
      <c r="AB163" s="28">
        <f>QuickCalc!O25</f>
        <v>0</v>
      </c>
      <c r="AC163" s="28">
        <f>QuickCalc!P25</f>
        <v>0</v>
      </c>
      <c r="AD163" s="28">
        <f>QuickCalc!Q25</f>
        <v>0</v>
      </c>
      <c r="AE163" s="28">
        <f>QuickCalc!R25</f>
        <v>0</v>
      </c>
      <c r="AF163" s="28">
        <f>QuickCalc!S25</f>
        <v>0</v>
      </c>
      <c r="AG163" s="28">
        <f>QuickCalc!T25</f>
        <v>0</v>
      </c>
      <c r="AH163" s="28">
        <f>QuickCalc!U25</f>
        <v>0</v>
      </c>
      <c r="AI163" s="28">
        <f>QuickCalc!V25</f>
        <v>0</v>
      </c>
      <c r="AJ163" s="28">
        <f>QuickCalc!W25</f>
        <v>0</v>
      </c>
      <c r="AK163" s="28">
        <f>QuickCalc!X25</f>
        <v>0</v>
      </c>
      <c r="AL163" s="28">
        <f>QuickCalc!Y25</f>
        <v>0</v>
      </c>
      <c r="AM163" s="28">
        <f>QuickCalc!Z25</f>
        <v>0</v>
      </c>
      <c r="AN163" s="28">
        <f>QuickCalc!AA25</f>
        <v>0</v>
      </c>
      <c r="AO163" s="28">
        <f>QuickCalc!AB25</f>
        <v>0</v>
      </c>
      <c r="AP163" s="28">
        <f>QuickCalc!AC25</f>
        <v>0</v>
      </c>
      <c r="AQ163" s="28">
        <f>QuickCalc!AD25</f>
        <v>0</v>
      </c>
      <c r="AR163" s="28">
        <f>QuickCalc!AE25</f>
        <v>0</v>
      </c>
      <c r="AS163" s="28">
        <f>QuickCalc!AF25</f>
        <v>0</v>
      </c>
      <c r="AT163" s="28">
        <f>QuickCalc!AG25</f>
        <v>0</v>
      </c>
      <c r="AU163" s="28">
        <f>QuickCalc!AH25</f>
        <v>0</v>
      </c>
      <c r="AV163" s="28">
        <f>QuickCalc!AI25</f>
        <v>0</v>
      </c>
      <c r="AW163" s="28">
        <f>QuickCalc!AJ25</f>
        <v>0</v>
      </c>
      <c r="AX163" s="28">
        <f>QuickCalc!AK25</f>
        <v>0</v>
      </c>
      <c r="AY163" s="28">
        <f>QuickCalc!AL25</f>
        <v>0</v>
      </c>
      <c r="AZ163" s="28">
        <f>QuickCalc!AM25</f>
        <v>0</v>
      </c>
      <c r="BA163" s="28">
        <f>QuickCalc!AN25</f>
        <v>0</v>
      </c>
      <c r="BB163" s="28">
        <f>QuickCalc!AO25</f>
        <v>0</v>
      </c>
      <c r="BC163" s="28">
        <f>QuickCalc!AP25</f>
        <v>0</v>
      </c>
      <c r="BD163" s="28">
        <f>QuickCalc!AQ25</f>
        <v>0</v>
      </c>
      <c r="BE163" s="28">
        <f>QuickCalc!AR25</f>
        <v>0</v>
      </c>
      <c r="BF163" s="28">
        <f>QuickCalc!AS25</f>
        <v>0</v>
      </c>
      <c r="BG163" s="28">
        <f>QuickCalc!AT25</f>
        <v>0</v>
      </c>
      <c r="BH163" s="28">
        <f>QuickCalc!AU25</f>
        <v>0</v>
      </c>
      <c r="BI163" s="28">
        <f>QuickCalc!AV25</f>
        <v>0</v>
      </c>
      <c r="BJ163" s="28">
        <f>QuickCalc!AW25</f>
        <v>0</v>
      </c>
      <c r="BK163" s="28">
        <f>QuickCalc!AX25</f>
        <v>0</v>
      </c>
      <c r="BL163" s="28">
        <f>QuickCalc!AY25</f>
        <v>0</v>
      </c>
      <c r="BM163" s="28">
        <f>QuickCalc!AZ25</f>
        <v>0</v>
      </c>
      <c r="BN163" s="28">
        <f>QuickCalc!BA25</f>
        <v>0</v>
      </c>
      <c r="BO163" s="28">
        <f>QuickCalc!BB25</f>
        <v>0</v>
      </c>
      <c r="BP163" s="28">
        <f>QuickCalc!BC25</f>
        <v>0</v>
      </c>
    </row>
    <row r="164" spans="3:68" ht="10.35" hidden="1" customHeight="1" outlineLevel="1" x14ac:dyDescent="0.2">
      <c r="C164" s="10"/>
      <c r="D164" t="s">
        <v>124</v>
      </c>
      <c r="E164" s="80"/>
      <c r="F164" s="511"/>
      <c r="G164" s="511"/>
      <c r="H164" s="511"/>
      <c r="I164" s="511"/>
      <c r="J164" s="511"/>
      <c r="K164" s="90" t="s">
        <v>125</v>
      </c>
      <c r="L164" s="108">
        <v>0.5</v>
      </c>
      <c r="M164" s="437"/>
      <c r="N164" s="401"/>
      <c r="O164" s="401"/>
      <c r="P164" s="401"/>
      <c r="Q164" s="401"/>
      <c r="R164" s="29"/>
      <c r="S164" s="29"/>
      <c r="T164" s="29"/>
      <c r="U164" s="29"/>
      <c r="V164" s="29"/>
      <c r="W164" s="29"/>
      <c r="X164" s="29"/>
      <c r="Y164" s="29"/>
      <c r="Z164" s="29"/>
      <c r="AA164" s="29"/>
      <c r="AB164" s="29"/>
      <c r="AC164" s="29"/>
      <c r="AD164" s="29"/>
      <c r="AE164" s="29"/>
      <c r="AF164" s="29"/>
      <c r="AG164" s="29"/>
      <c r="AH164" s="29"/>
      <c r="AI164" s="29"/>
      <c r="AJ164" s="29"/>
      <c r="AK164" s="29"/>
      <c r="AL164" s="29"/>
      <c r="AM164" s="29"/>
      <c r="AN164" s="29"/>
      <c r="AO164" s="29"/>
      <c r="AP164" s="29"/>
      <c r="AQ164" s="29"/>
      <c r="AR164" s="29"/>
      <c r="AS164" s="29"/>
      <c r="AT164" s="29"/>
      <c r="AU164" s="29"/>
      <c r="AV164" s="29"/>
      <c r="AW164" s="29"/>
      <c r="AX164" s="29"/>
      <c r="AY164" s="29"/>
      <c r="AZ164" s="29"/>
      <c r="BA164" s="29"/>
      <c r="BB164" s="29"/>
      <c r="BC164" s="29"/>
      <c r="BD164" s="29"/>
      <c r="BE164" s="29"/>
      <c r="BF164" s="29"/>
      <c r="BG164" s="29"/>
      <c r="BH164" s="29"/>
      <c r="BI164" s="29"/>
      <c r="BJ164" s="29"/>
      <c r="BK164" s="29"/>
      <c r="BL164" s="29"/>
      <c r="BM164" s="29"/>
      <c r="BN164" s="29"/>
      <c r="BO164" s="29"/>
      <c r="BP164" s="29"/>
    </row>
    <row r="165" spans="3:68" ht="10.35" hidden="1" customHeight="1" outlineLevel="1" x14ac:dyDescent="0.2">
      <c r="C165" s="10"/>
      <c r="D165" s="80"/>
      <c r="E165" s="80"/>
      <c r="F165" s="83"/>
      <c r="G165" s="83"/>
      <c r="H165" s="83"/>
      <c r="I165" s="83"/>
      <c r="J165" s="83"/>
      <c r="K165" s="80"/>
      <c r="L165" s="436"/>
      <c r="M165" s="437"/>
      <c r="N165" s="401"/>
      <c r="O165" s="401"/>
      <c r="P165" s="401"/>
      <c r="Q165" s="401"/>
      <c r="R165" s="29"/>
      <c r="S165" s="29"/>
      <c r="T165" s="29"/>
      <c r="U165" s="29"/>
      <c r="V165" s="29"/>
      <c r="W165" s="29"/>
      <c r="X165" s="29"/>
      <c r="Y165" s="29"/>
      <c r="Z165" s="29"/>
      <c r="AA165" s="29"/>
      <c r="AB165" s="29"/>
      <c r="AC165" s="29"/>
      <c r="AD165" s="29"/>
      <c r="AE165" s="29"/>
      <c r="AF165" s="29"/>
      <c r="AG165" s="29"/>
      <c r="AH165" s="29"/>
      <c r="AI165" s="29"/>
      <c r="AJ165" s="29"/>
      <c r="AK165" s="29"/>
      <c r="AL165" s="29"/>
      <c r="AM165" s="29"/>
      <c r="AN165" s="29"/>
      <c r="AO165" s="29"/>
      <c r="AP165" s="29"/>
      <c r="AQ165" s="29"/>
      <c r="AR165" s="29"/>
      <c r="AS165" s="29"/>
      <c r="AT165" s="29"/>
      <c r="AU165" s="29"/>
      <c r="AV165" s="29"/>
      <c r="AW165" s="29"/>
      <c r="AX165" s="29"/>
      <c r="AY165" s="29"/>
      <c r="AZ165" s="29"/>
      <c r="BA165" s="29"/>
      <c r="BB165" s="29"/>
      <c r="BC165" s="29"/>
      <c r="BD165" s="29"/>
      <c r="BE165" s="29"/>
      <c r="BF165" s="29"/>
      <c r="BG165" s="29"/>
      <c r="BH165" s="29"/>
      <c r="BI165" s="29"/>
      <c r="BJ165" s="29"/>
      <c r="BK165" s="29"/>
      <c r="BL165" s="29"/>
      <c r="BM165" s="29"/>
      <c r="BN165" s="29"/>
      <c r="BO165" s="29"/>
      <c r="BP165" s="29"/>
    </row>
    <row r="166" spans="3:68" s="18" customFormat="1" ht="10.35" customHeight="1" collapsed="1" x14ac:dyDescent="0.2">
      <c r="C166" s="19" t="s">
        <v>30</v>
      </c>
      <c r="D166" s="426"/>
      <c r="E166" s="426"/>
      <c r="F166" s="426"/>
      <c r="G166" s="426"/>
      <c r="H166" s="426"/>
      <c r="I166" s="426"/>
      <c r="J166" s="426"/>
      <c r="K166" s="426"/>
      <c r="L166" s="428"/>
      <c r="M166" s="429"/>
      <c r="N166" s="426"/>
      <c r="O166" s="426"/>
      <c r="P166" s="426"/>
      <c r="Q166" s="426"/>
      <c r="R166" s="30"/>
      <c r="S166" s="30"/>
      <c r="T166" s="30"/>
      <c r="U166" s="30"/>
      <c r="V166" s="30"/>
      <c r="W166" s="30"/>
      <c r="X166" s="30"/>
      <c r="Y166" s="30"/>
      <c r="Z166" s="30"/>
      <c r="AA166" s="30"/>
      <c r="AB166" s="30"/>
      <c r="AC166" s="30"/>
      <c r="AD166" s="30"/>
      <c r="AE166" s="30"/>
      <c r="AF166" s="30"/>
      <c r="AG166" s="30"/>
      <c r="AH166" s="30"/>
      <c r="AI166" s="30"/>
      <c r="AJ166" s="30"/>
      <c r="AK166" s="30"/>
      <c r="AL166" s="30"/>
      <c r="AM166" s="30"/>
      <c r="AN166" s="30"/>
      <c r="AO166" s="30"/>
      <c r="AP166" s="30"/>
      <c r="AQ166" s="30"/>
      <c r="AR166" s="30"/>
      <c r="AS166" s="30"/>
      <c r="AT166" s="30"/>
      <c r="AU166" s="30"/>
      <c r="AV166" s="30"/>
      <c r="AW166" s="30"/>
      <c r="AX166" s="30"/>
      <c r="AY166" s="30"/>
      <c r="AZ166" s="30"/>
      <c r="BA166" s="30"/>
      <c r="BB166" s="30"/>
      <c r="BC166" s="30"/>
      <c r="BD166" s="30"/>
      <c r="BE166" s="30"/>
      <c r="BF166" s="30"/>
      <c r="BG166" s="30"/>
      <c r="BH166" s="30"/>
      <c r="BI166" s="30"/>
      <c r="BJ166" s="30"/>
      <c r="BK166" s="30"/>
      <c r="BL166" s="30"/>
      <c r="BM166" s="30"/>
      <c r="BN166" s="30"/>
      <c r="BO166" s="30"/>
      <c r="BP166" s="30"/>
    </row>
    <row r="167" spans="3:68" ht="10.35" hidden="1" customHeight="1" outlineLevel="1" x14ac:dyDescent="0.2">
      <c r="C167" s="80"/>
      <c r="D167" s="80"/>
      <c r="E167" s="80"/>
      <c r="F167" s="80"/>
      <c r="G167" s="80"/>
      <c r="H167" s="80"/>
      <c r="I167" s="80"/>
      <c r="J167" s="80"/>
      <c r="K167" s="80"/>
      <c r="L167" s="412"/>
      <c r="M167" s="413"/>
      <c r="N167" s="80"/>
      <c r="O167" s="80"/>
      <c r="P167" s="80"/>
      <c r="Q167" s="80"/>
      <c r="R167" s="29"/>
      <c r="S167" s="29"/>
      <c r="T167" s="29"/>
      <c r="U167" s="29"/>
      <c r="V167" s="29"/>
      <c r="W167" s="29"/>
      <c r="X167" s="29"/>
      <c r="Y167" s="29"/>
      <c r="Z167" s="29"/>
      <c r="AA167" s="29"/>
      <c r="AB167" s="29"/>
      <c r="AC167" s="29"/>
      <c r="AD167" s="29"/>
      <c r="AE167" s="29"/>
      <c r="AF167" s="29"/>
      <c r="AG167" s="29"/>
      <c r="AH167" s="29"/>
      <c r="AI167" s="29"/>
      <c r="AJ167" s="29"/>
      <c r="AK167" s="29"/>
      <c r="AL167" s="29"/>
      <c r="AM167" s="29"/>
      <c r="AN167" s="29"/>
      <c r="AO167" s="29"/>
      <c r="AP167" s="29"/>
      <c r="AQ167" s="29"/>
      <c r="AR167" s="29"/>
      <c r="AS167" s="29"/>
      <c r="AT167" s="29"/>
      <c r="AU167" s="29"/>
      <c r="AV167" s="29"/>
      <c r="AW167" s="29"/>
      <c r="AX167" s="29"/>
      <c r="AY167" s="29"/>
      <c r="AZ167" s="29"/>
      <c r="BA167" s="29"/>
      <c r="BB167" s="29"/>
      <c r="BC167" s="29"/>
      <c r="BD167" s="29"/>
      <c r="BE167" s="29"/>
      <c r="BF167" s="29"/>
      <c r="BG167" s="29"/>
      <c r="BH167" s="29"/>
      <c r="BI167" s="29"/>
      <c r="BJ167" s="29"/>
      <c r="BK167" s="29"/>
      <c r="BL167" s="29"/>
      <c r="BM167" s="29"/>
      <c r="BN167" s="29"/>
      <c r="BO167" s="29"/>
      <c r="BP167" s="29"/>
    </row>
    <row r="168" spans="3:68" ht="10.35" hidden="1" customHeight="1" outlineLevel="1" x14ac:dyDescent="0.2">
      <c r="C168" s="80"/>
      <c r="D168" s="80"/>
      <c r="E168" s="80"/>
      <c r="F168" s="80"/>
      <c r="G168" s="80"/>
      <c r="H168" s="80"/>
      <c r="I168" s="80"/>
      <c r="J168" s="80"/>
      <c r="K168" s="80"/>
      <c r="L168" s="412"/>
      <c r="M168" s="413"/>
      <c r="N168" s="80"/>
      <c r="O168" s="80"/>
      <c r="P168" s="80"/>
      <c r="Q168" s="80"/>
      <c r="R168" s="29"/>
      <c r="S168" s="29"/>
      <c r="T168" s="29"/>
      <c r="U168" s="29"/>
      <c r="V168" s="29"/>
      <c r="W168" s="29"/>
      <c r="X168" s="29"/>
      <c r="Y168" s="29"/>
      <c r="Z168" s="29"/>
      <c r="AA168" s="29"/>
      <c r="AB168" s="29"/>
      <c r="AC168" s="29"/>
      <c r="AD168" s="29"/>
      <c r="AE168" s="29"/>
      <c r="AF168" s="29"/>
      <c r="AG168" s="29"/>
      <c r="AH168" s="29"/>
      <c r="AI168" s="29"/>
      <c r="AJ168" s="29"/>
      <c r="AK168" s="29"/>
      <c r="AL168" s="29"/>
      <c r="AM168" s="29"/>
      <c r="AN168" s="29"/>
      <c r="AO168" s="29"/>
      <c r="AP168" s="29"/>
      <c r="AQ168" s="29"/>
      <c r="AR168" s="29"/>
      <c r="AS168" s="29"/>
      <c r="AT168" s="29"/>
      <c r="AU168" s="29"/>
      <c r="AV168" s="29"/>
      <c r="AW168" s="29"/>
      <c r="AX168" s="29"/>
      <c r="AY168" s="29"/>
      <c r="AZ168" s="29"/>
      <c r="BA168" s="29"/>
      <c r="BB168" s="29"/>
      <c r="BC168" s="29"/>
      <c r="BD168" s="29"/>
      <c r="BE168" s="29"/>
      <c r="BF168" s="29"/>
      <c r="BG168" s="29"/>
      <c r="BH168" s="29"/>
      <c r="BI168" s="29"/>
      <c r="BJ168" s="29"/>
      <c r="BK168" s="29"/>
      <c r="BL168" s="29"/>
      <c r="BM168" s="29"/>
      <c r="BN168" s="29"/>
      <c r="BO168" s="29"/>
      <c r="BP168" s="29"/>
    </row>
    <row r="169" spans="3:68" ht="10.35" hidden="1" customHeight="1" outlineLevel="1" x14ac:dyDescent="0.2">
      <c r="C169" s="80"/>
      <c r="D169" s="80"/>
      <c r="E169" s="80"/>
      <c r="F169" s="80"/>
      <c r="G169" s="80"/>
      <c r="H169" s="80"/>
      <c r="I169" s="80"/>
      <c r="J169" s="80"/>
      <c r="K169" s="80"/>
      <c r="L169" s="412"/>
      <c r="M169" s="413"/>
      <c r="N169" s="80"/>
      <c r="O169" s="80"/>
      <c r="P169" s="80"/>
      <c r="Q169" s="80"/>
      <c r="R169" s="29"/>
      <c r="S169" s="29"/>
      <c r="T169" s="29"/>
      <c r="U169" s="29"/>
      <c r="V169" s="29"/>
      <c r="W169" s="29"/>
      <c r="X169" s="29"/>
      <c r="Y169" s="29"/>
      <c r="Z169" s="29"/>
      <c r="AA169" s="29"/>
      <c r="AB169" s="29"/>
      <c r="AC169" s="29"/>
      <c r="AD169" s="29"/>
      <c r="AE169" s="29"/>
      <c r="AF169" s="29"/>
      <c r="AG169" s="29"/>
      <c r="AH169" s="29"/>
      <c r="AI169" s="29"/>
      <c r="AJ169" s="29"/>
      <c r="AK169" s="29"/>
      <c r="AL169" s="29"/>
      <c r="AM169" s="29"/>
      <c r="AN169" s="29"/>
      <c r="AO169" s="29"/>
      <c r="AP169" s="29"/>
      <c r="AQ169" s="29"/>
      <c r="AR169" s="29"/>
      <c r="AS169" s="29"/>
      <c r="AT169" s="29"/>
      <c r="AU169" s="29"/>
      <c r="AV169" s="29"/>
      <c r="AW169" s="29"/>
      <c r="AX169" s="29"/>
      <c r="AY169" s="29"/>
      <c r="AZ169" s="29"/>
      <c r="BA169" s="29"/>
      <c r="BB169" s="29"/>
      <c r="BC169" s="29"/>
      <c r="BD169" s="29"/>
      <c r="BE169" s="29"/>
      <c r="BF169" s="29"/>
      <c r="BG169" s="29"/>
      <c r="BH169" s="29"/>
      <c r="BI169" s="29"/>
      <c r="BJ169" s="29"/>
      <c r="BK169" s="29"/>
      <c r="BL169" s="29"/>
      <c r="BM169" s="29"/>
      <c r="BN169" s="29"/>
      <c r="BO169" s="29"/>
      <c r="BP169" s="29"/>
    </row>
    <row r="170" spans="3:68" ht="10.35" hidden="1" customHeight="1" outlineLevel="1" x14ac:dyDescent="0.2">
      <c r="C170" s="80"/>
      <c r="D170" s="80"/>
      <c r="E170" s="80"/>
      <c r="F170" s="80"/>
      <c r="G170" s="80"/>
      <c r="H170" s="80"/>
      <c r="I170" s="80"/>
      <c r="J170" s="80"/>
      <c r="K170" s="80"/>
      <c r="L170" s="412"/>
      <c r="M170" s="413"/>
      <c r="N170" s="80"/>
      <c r="O170" s="80"/>
      <c r="P170" s="80"/>
      <c r="Q170" s="80"/>
      <c r="R170" s="29"/>
      <c r="S170" s="29"/>
      <c r="T170" s="29"/>
      <c r="U170" s="29"/>
      <c r="V170" s="29"/>
      <c r="W170" s="29"/>
      <c r="X170" s="29"/>
      <c r="Y170" s="29"/>
      <c r="Z170" s="29"/>
      <c r="AA170" s="29"/>
      <c r="AB170" s="29"/>
      <c r="AC170" s="29"/>
      <c r="AD170" s="29"/>
      <c r="AE170" s="29"/>
      <c r="AF170" s="29"/>
      <c r="AG170" s="29"/>
      <c r="AH170" s="29"/>
      <c r="AI170" s="29"/>
      <c r="AJ170" s="29"/>
      <c r="AK170" s="29"/>
      <c r="AL170" s="29"/>
      <c r="AM170" s="29"/>
      <c r="AN170" s="29"/>
      <c r="AO170" s="29"/>
      <c r="AP170" s="29"/>
      <c r="AQ170" s="29"/>
      <c r="AR170" s="29"/>
      <c r="AS170" s="29"/>
      <c r="AT170" s="29"/>
      <c r="AU170" s="29"/>
      <c r="AV170" s="29"/>
      <c r="AW170" s="29"/>
      <c r="AX170" s="29"/>
      <c r="AY170" s="29"/>
      <c r="AZ170" s="29"/>
      <c r="BA170" s="29"/>
      <c r="BB170" s="29"/>
      <c r="BC170" s="29"/>
      <c r="BD170" s="29"/>
      <c r="BE170" s="29"/>
      <c r="BF170" s="29"/>
      <c r="BG170" s="29"/>
      <c r="BH170" s="29"/>
      <c r="BI170" s="29"/>
      <c r="BJ170" s="29"/>
      <c r="BK170" s="29"/>
      <c r="BL170" s="29"/>
      <c r="BM170" s="29"/>
      <c r="BN170" s="29"/>
      <c r="BO170" s="29"/>
      <c r="BP170" s="29"/>
    </row>
    <row r="171" spans="3:68" ht="10.35" hidden="1" customHeight="1" outlineLevel="1" x14ac:dyDescent="0.2">
      <c r="C171" s="80"/>
      <c r="D171" s="80"/>
      <c r="E171" s="80"/>
      <c r="F171" s="80"/>
      <c r="G171" s="80"/>
      <c r="H171" s="80"/>
      <c r="I171" s="80"/>
      <c r="J171" s="80"/>
      <c r="K171" s="80"/>
      <c r="L171" s="412"/>
      <c r="M171" s="413"/>
      <c r="N171" s="80"/>
      <c r="O171" s="80"/>
      <c r="P171" s="80"/>
      <c r="Q171" s="80"/>
      <c r="R171" s="29"/>
      <c r="S171" s="29"/>
      <c r="T171" s="29"/>
      <c r="U171" s="29"/>
      <c r="V171" s="29"/>
      <c r="W171" s="29"/>
      <c r="X171" s="29"/>
      <c r="Y171" s="29"/>
      <c r="Z171" s="29"/>
      <c r="AA171" s="29"/>
      <c r="AB171" s="29"/>
      <c r="AC171" s="29"/>
      <c r="AD171" s="29"/>
      <c r="AE171" s="29"/>
      <c r="AF171" s="29"/>
      <c r="AG171" s="29"/>
      <c r="AH171" s="29"/>
      <c r="AI171" s="29"/>
      <c r="AJ171" s="29"/>
      <c r="AK171" s="29"/>
      <c r="AL171" s="29"/>
      <c r="AM171" s="29"/>
      <c r="AN171" s="29"/>
      <c r="AO171" s="29"/>
      <c r="AP171" s="29"/>
      <c r="AQ171" s="29"/>
      <c r="AR171" s="29"/>
      <c r="AS171" s="29"/>
      <c r="AT171" s="29"/>
      <c r="AU171" s="29"/>
      <c r="AV171" s="29"/>
      <c r="AW171" s="29"/>
      <c r="AX171" s="29"/>
      <c r="AY171" s="29"/>
      <c r="AZ171" s="29"/>
      <c r="BA171" s="29"/>
      <c r="BB171" s="29"/>
      <c r="BC171" s="29"/>
      <c r="BD171" s="29"/>
      <c r="BE171" s="29"/>
      <c r="BF171" s="29"/>
      <c r="BG171" s="29"/>
      <c r="BH171" s="29"/>
      <c r="BI171" s="29"/>
      <c r="BJ171" s="29"/>
      <c r="BK171" s="29"/>
      <c r="BL171" s="29"/>
      <c r="BM171" s="29"/>
      <c r="BN171" s="29"/>
      <c r="BO171" s="29"/>
      <c r="BP171" s="29"/>
    </row>
    <row r="172" spans="3:68" ht="10.35" hidden="1" customHeight="1" outlineLevel="1" x14ac:dyDescent="0.2">
      <c r="C172" s="80"/>
      <c r="D172" s="80"/>
      <c r="E172" s="80"/>
      <c r="F172" s="80"/>
      <c r="G172" s="80"/>
      <c r="H172" s="80"/>
      <c r="I172" s="80"/>
      <c r="J172" s="80"/>
      <c r="K172" s="80"/>
      <c r="L172" s="412"/>
      <c r="M172" s="413"/>
      <c r="N172" s="80"/>
      <c r="O172" s="80"/>
      <c r="P172" s="80"/>
      <c r="Q172" s="80"/>
      <c r="R172" s="29"/>
      <c r="S172" s="29"/>
      <c r="T172" s="29"/>
      <c r="U172" s="29"/>
      <c r="V172" s="29"/>
      <c r="W172" s="29"/>
      <c r="X172" s="29"/>
      <c r="Y172" s="29"/>
      <c r="Z172" s="29"/>
      <c r="AA172" s="29"/>
      <c r="AB172" s="29"/>
      <c r="AC172" s="29"/>
      <c r="AD172" s="29"/>
      <c r="AE172" s="29"/>
      <c r="AF172" s="29"/>
      <c r="AG172" s="29"/>
      <c r="AH172" s="29"/>
      <c r="AI172" s="29"/>
      <c r="AJ172" s="29"/>
      <c r="AK172" s="29"/>
      <c r="AL172" s="29"/>
      <c r="AM172" s="29"/>
      <c r="AN172" s="29"/>
      <c r="AO172" s="29"/>
      <c r="AP172" s="29"/>
      <c r="AQ172" s="29"/>
      <c r="AR172" s="29"/>
      <c r="AS172" s="29"/>
      <c r="AT172" s="29"/>
      <c r="AU172" s="29"/>
      <c r="AV172" s="29"/>
      <c r="AW172" s="29"/>
      <c r="AX172" s="29"/>
      <c r="AY172" s="29"/>
      <c r="AZ172" s="29"/>
      <c r="BA172" s="29"/>
      <c r="BB172" s="29"/>
      <c r="BC172" s="29"/>
      <c r="BD172" s="29"/>
      <c r="BE172" s="29"/>
      <c r="BF172" s="29"/>
      <c r="BG172" s="29"/>
      <c r="BH172" s="29"/>
      <c r="BI172" s="29"/>
      <c r="BJ172" s="29"/>
      <c r="BK172" s="29"/>
      <c r="BL172" s="29"/>
      <c r="BM172" s="29"/>
      <c r="BN172" s="29"/>
      <c r="BO172" s="29"/>
      <c r="BP172" s="29"/>
    </row>
    <row r="173" spans="3:68" ht="10.35" hidden="1" customHeight="1" outlineLevel="1" x14ac:dyDescent="0.2">
      <c r="C173" s="10"/>
      <c r="D173" s="80"/>
      <c r="E173" s="80"/>
      <c r="F173" s="10" t="s">
        <v>96</v>
      </c>
      <c r="G173" s="80"/>
      <c r="H173" s="80"/>
      <c r="I173" s="80"/>
      <c r="J173" s="80"/>
      <c r="K173" s="17"/>
      <c r="L173" s="104"/>
      <c r="M173" s="105"/>
      <c r="N173" s="17"/>
      <c r="O173" s="17"/>
      <c r="P173" s="17"/>
      <c r="Q173" s="17"/>
      <c r="R173" s="24" t="str">
        <f>"FY"&amp;RIGHT(Assumptions!$L$19+R68,2)</f>
        <v>FY22</v>
      </c>
      <c r="S173" s="24" t="str">
        <f>"FY"&amp;RIGHT(Assumptions!$L$19+S68,2)</f>
        <v>FY23</v>
      </c>
      <c r="T173" s="24" t="str">
        <f>"FY"&amp;RIGHT(Assumptions!$L$19+T68,2)</f>
        <v>FY24</v>
      </c>
      <c r="U173" s="24" t="str">
        <f>"FY"&amp;RIGHT(Assumptions!$L$19+U68,2)</f>
        <v>FY25</v>
      </c>
      <c r="V173" s="24" t="str">
        <f>"FY"&amp;RIGHT(Assumptions!$L$19+V68,2)</f>
        <v>FY26</v>
      </c>
      <c r="W173" s="24" t="str">
        <f>"FY"&amp;RIGHT(Assumptions!$L$19+W68,2)</f>
        <v>FY27</v>
      </c>
      <c r="X173" s="24" t="str">
        <f>"FY"&amp;RIGHT(Assumptions!$L$19+X68,2)</f>
        <v>FY28</v>
      </c>
      <c r="Y173" s="24" t="str">
        <f>"FY"&amp;RIGHT(Assumptions!$L$19+Y68,2)</f>
        <v>FY29</v>
      </c>
      <c r="Z173" s="24" t="str">
        <f>"FY"&amp;RIGHT(Assumptions!$L$19+Z68,2)</f>
        <v>FY30</v>
      </c>
      <c r="AA173" s="24" t="str">
        <f>"FY"&amp;RIGHT(Assumptions!$L$19+AA68,2)</f>
        <v>FY31</v>
      </c>
      <c r="AB173" s="24" t="str">
        <f>"FY"&amp;RIGHT(Assumptions!$L$19+AB68,2)</f>
        <v>FY32</v>
      </c>
      <c r="AC173" s="24" t="str">
        <f>"FY"&amp;RIGHT(Assumptions!$L$19+AC68,2)</f>
        <v>FY33</v>
      </c>
      <c r="AD173" s="24" t="str">
        <f>"FY"&amp;RIGHT(Assumptions!$L$19+AD68,2)</f>
        <v>FY34</v>
      </c>
      <c r="AE173" s="24" t="str">
        <f>"FY"&amp;RIGHT(Assumptions!$L$19+AE68,2)</f>
        <v>FY35</v>
      </c>
      <c r="AF173" s="24" t="str">
        <f>"FY"&amp;RIGHT(Assumptions!$L$19+AF68,2)</f>
        <v>FY36</v>
      </c>
      <c r="AG173" s="24" t="str">
        <f>"FY"&amp;RIGHT(Assumptions!$L$19+AG68,2)</f>
        <v>FY37</v>
      </c>
      <c r="AH173" s="24" t="str">
        <f>"FY"&amp;RIGHT(Assumptions!$L$19+AH68,2)</f>
        <v>FY38</v>
      </c>
      <c r="AI173" s="24" t="str">
        <f>"FY"&amp;RIGHT(Assumptions!$L$19+AI68,2)</f>
        <v>FY39</v>
      </c>
      <c r="AJ173" s="24" t="str">
        <f>"FY"&amp;RIGHT(Assumptions!$L$19+AJ68,2)</f>
        <v>FY40</v>
      </c>
      <c r="AK173" s="24" t="str">
        <f>"FY"&amp;RIGHT(Assumptions!$L$19+AK68,2)</f>
        <v>FY41</v>
      </c>
      <c r="AL173" s="24" t="str">
        <f>"FY"&amp;RIGHT(Assumptions!$L$19+AL68,2)</f>
        <v>FY42</v>
      </c>
      <c r="AM173" s="24" t="str">
        <f>"FY"&amp;RIGHT(Assumptions!$L$19+AM68,2)</f>
        <v>FY43</v>
      </c>
      <c r="AN173" s="24" t="str">
        <f>"FY"&amp;RIGHT(Assumptions!$L$19+AN68,2)</f>
        <v>FY44</v>
      </c>
      <c r="AO173" s="24" t="str">
        <f>"FY"&amp;RIGHT(Assumptions!$L$19+AO68,2)</f>
        <v>FY45</v>
      </c>
      <c r="AP173" s="24" t="str">
        <f>"FY"&amp;RIGHT(Assumptions!$L$19+AP68,2)</f>
        <v>FY46</v>
      </c>
      <c r="AQ173" s="24" t="str">
        <f>"FY"&amp;RIGHT(Assumptions!$L$19+AQ68,2)</f>
        <v>FY47</v>
      </c>
      <c r="AR173" s="24" t="str">
        <f>"FY"&amp;RIGHT(Assumptions!$L$19+AR68,2)</f>
        <v>FY48</v>
      </c>
      <c r="AS173" s="24" t="str">
        <f>"FY"&amp;RIGHT(Assumptions!$L$19+AS68,2)</f>
        <v>FY49</v>
      </c>
      <c r="AT173" s="24" t="str">
        <f>"FY"&amp;RIGHT(Assumptions!$L$19+AT68,2)</f>
        <v>FY50</v>
      </c>
      <c r="AU173" s="24" t="str">
        <f>"FY"&amp;RIGHT(Assumptions!$L$19+AU68,2)</f>
        <v>FY51</v>
      </c>
      <c r="AV173" s="24" t="str">
        <f>"FY"&amp;RIGHT(Assumptions!$L$19+AV68,2)</f>
        <v>FY52</v>
      </c>
      <c r="AW173" s="24" t="str">
        <f>"FY"&amp;RIGHT(Assumptions!$L$19+AW68,2)</f>
        <v>FY53</v>
      </c>
      <c r="AX173" s="24" t="str">
        <f>"FY"&amp;RIGHT(Assumptions!$L$19+AX68,2)</f>
        <v>FY54</v>
      </c>
      <c r="AY173" s="24" t="str">
        <f>"FY"&amp;RIGHT(Assumptions!$L$19+AY68,2)</f>
        <v>FY55</v>
      </c>
      <c r="AZ173" s="24" t="str">
        <f>"FY"&amp;RIGHT(Assumptions!$L$19+AZ68,2)</f>
        <v>FY56</v>
      </c>
      <c r="BA173" s="24" t="str">
        <f>"FY"&amp;RIGHT(Assumptions!$L$19+BA68,2)</f>
        <v>FY57</v>
      </c>
      <c r="BB173" s="24" t="str">
        <f>"FY"&amp;RIGHT(Assumptions!$L$19+BB68,2)</f>
        <v>FY58</v>
      </c>
      <c r="BC173" s="24" t="str">
        <f>"FY"&amp;RIGHT(Assumptions!$L$19+BC68,2)</f>
        <v>FY59</v>
      </c>
      <c r="BD173" s="24" t="str">
        <f>"FY"&amp;RIGHT(Assumptions!$L$19+BD68,2)</f>
        <v>FY60</v>
      </c>
      <c r="BE173" s="24" t="str">
        <f>"FY"&amp;RIGHT(Assumptions!$L$19+BE68,2)</f>
        <v>FY61</v>
      </c>
      <c r="BF173" s="24" t="str">
        <f>"FY"&amp;RIGHT(Assumptions!$L$19+BF68,2)</f>
        <v>FY62</v>
      </c>
      <c r="BG173" s="24" t="str">
        <f>"FY"&amp;RIGHT(Assumptions!$L$19+BG68,2)</f>
        <v>FY63</v>
      </c>
      <c r="BH173" s="24" t="str">
        <f>"FY"&amp;RIGHT(Assumptions!$L$19+BH68,2)</f>
        <v>FY64</v>
      </c>
      <c r="BI173" s="24" t="str">
        <f>"FY"&amp;RIGHT(Assumptions!$L$19+BI68,2)</f>
        <v>FY65</v>
      </c>
      <c r="BJ173" s="24" t="str">
        <f>"FY"&amp;RIGHT(Assumptions!$L$19+BJ68,2)</f>
        <v>FY66</v>
      </c>
      <c r="BK173" s="24" t="str">
        <f>"FY"&amp;RIGHT(Assumptions!$L$19+BK68,2)</f>
        <v>FY67</v>
      </c>
      <c r="BL173" s="24" t="str">
        <f>"FY"&amp;RIGHT(Assumptions!$L$19+BL68,2)</f>
        <v>FY68</v>
      </c>
      <c r="BM173" s="24" t="str">
        <f>"FY"&amp;RIGHT(Assumptions!$L$19+BM68,2)</f>
        <v>FY69</v>
      </c>
      <c r="BN173" s="24" t="str">
        <f>"FY"&amp;RIGHT(Assumptions!$L$19+BN68,2)</f>
        <v>FY70</v>
      </c>
      <c r="BO173" s="24" t="str">
        <f>"FY"&amp;RIGHT(Assumptions!$L$19+BO68,2)</f>
        <v>FY71</v>
      </c>
      <c r="BP173" s="24" t="str">
        <f>"FY"&amp;RIGHT(Assumptions!$L$19+BP68,2)</f>
        <v>FY72</v>
      </c>
    </row>
    <row r="174" spans="3:68" ht="10.35" hidden="1" customHeight="1" outlineLevel="1" x14ac:dyDescent="0.2">
      <c r="C174" s="80"/>
      <c r="D174" s="80"/>
      <c r="E174" s="80"/>
      <c r="F174" s="80"/>
      <c r="G174" s="80"/>
      <c r="H174" s="80"/>
      <c r="I174" s="80"/>
      <c r="J174" s="80"/>
      <c r="K174" s="80"/>
      <c r="L174" s="412"/>
      <c r="M174" s="413"/>
      <c r="N174" s="80"/>
      <c r="O174" s="80"/>
      <c r="P174" s="80"/>
      <c r="Q174" s="80"/>
      <c r="R174" s="29"/>
      <c r="S174" s="29"/>
      <c r="T174" s="29"/>
      <c r="U174" s="29"/>
      <c r="V174" s="29"/>
      <c r="W174" s="29"/>
      <c r="X174" s="29"/>
      <c r="Y174" s="29"/>
      <c r="Z174" s="29"/>
      <c r="AA174" s="29"/>
      <c r="AB174" s="29"/>
      <c r="AC174" s="29"/>
      <c r="AD174" s="29"/>
      <c r="AE174" s="29"/>
      <c r="AF174" s="29"/>
      <c r="AG174" s="29"/>
      <c r="AH174" s="29"/>
      <c r="AI174" s="29"/>
      <c r="AJ174" s="29"/>
      <c r="AK174" s="29"/>
      <c r="AL174" s="29"/>
      <c r="AM174" s="29"/>
      <c r="AN174" s="29"/>
      <c r="AO174" s="29"/>
      <c r="AP174" s="29"/>
      <c r="AQ174" s="29"/>
      <c r="AR174" s="29"/>
      <c r="AS174" s="29"/>
      <c r="AT174" s="29"/>
      <c r="AU174" s="29"/>
      <c r="AV174" s="29"/>
      <c r="AW174" s="29"/>
      <c r="AX174" s="29"/>
      <c r="AY174" s="29"/>
      <c r="AZ174" s="29"/>
      <c r="BA174" s="29"/>
      <c r="BB174" s="29"/>
      <c r="BC174" s="29"/>
      <c r="BD174" s="29"/>
      <c r="BE174" s="29"/>
      <c r="BF174" s="29"/>
      <c r="BG174" s="29"/>
      <c r="BH174" s="29"/>
      <c r="BI174" s="29"/>
      <c r="BJ174" s="29"/>
      <c r="BK174" s="29"/>
      <c r="BL174" s="29"/>
      <c r="BM174" s="29"/>
      <c r="BN174" s="29"/>
      <c r="BO174" s="29"/>
      <c r="BP174" s="29"/>
    </row>
    <row r="175" spans="3:68" ht="10.35" hidden="1" customHeight="1" outlineLevel="1" x14ac:dyDescent="0.2">
      <c r="C175" s="80"/>
      <c r="D175" s="80" t="s">
        <v>126</v>
      </c>
      <c r="E175" s="80"/>
      <c r="F175" s="512" t="s">
        <v>104</v>
      </c>
      <c r="G175" s="512"/>
      <c r="H175" s="512"/>
      <c r="I175" s="512"/>
      <c r="J175" s="512"/>
      <c r="K175" s="80"/>
      <c r="L175" s="412"/>
      <c r="M175" s="413"/>
      <c r="N175" s="80"/>
      <c r="O175" s="80"/>
      <c r="P175" s="80"/>
      <c r="Q175" s="80"/>
      <c r="R175" s="28">
        <f>QuickCalc!E26</f>
        <v>0</v>
      </c>
      <c r="S175" s="28">
        <f>QuickCalc!F26</f>
        <v>0</v>
      </c>
      <c r="T175" s="28">
        <f>QuickCalc!G26</f>
        <v>0</v>
      </c>
      <c r="U175" s="28">
        <f>QuickCalc!H26</f>
        <v>0</v>
      </c>
      <c r="V175" s="28">
        <f>QuickCalc!I26</f>
        <v>0</v>
      </c>
      <c r="W175" s="28">
        <f>QuickCalc!J26</f>
        <v>0</v>
      </c>
      <c r="X175" s="28">
        <f>QuickCalc!K26</f>
        <v>0</v>
      </c>
      <c r="Y175" s="28">
        <f>QuickCalc!L26</f>
        <v>0</v>
      </c>
      <c r="Z175" s="28">
        <f>QuickCalc!M26</f>
        <v>0</v>
      </c>
      <c r="AA175" s="28">
        <f>QuickCalc!N26</f>
        <v>0</v>
      </c>
      <c r="AB175" s="28">
        <f>QuickCalc!O26</f>
        <v>0</v>
      </c>
      <c r="AC175" s="28">
        <f>QuickCalc!P26</f>
        <v>0</v>
      </c>
      <c r="AD175" s="28">
        <f>QuickCalc!Q26</f>
        <v>0</v>
      </c>
      <c r="AE175" s="28">
        <f>QuickCalc!R26</f>
        <v>0</v>
      </c>
      <c r="AF175" s="28">
        <f>QuickCalc!S26</f>
        <v>0</v>
      </c>
      <c r="AG175" s="28">
        <f>QuickCalc!T26</f>
        <v>0</v>
      </c>
      <c r="AH175" s="28">
        <f>QuickCalc!U26</f>
        <v>0</v>
      </c>
      <c r="AI175" s="28">
        <f>QuickCalc!V26</f>
        <v>0</v>
      </c>
      <c r="AJ175" s="28">
        <f>QuickCalc!W26</f>
        <v>0</v>
      </c>
      <c r="AK175" s="28">
        <f>QuickCalc!X26</f>
        <v>0</v>
      </c>
      <c r="AL175" s="28">
        <f>QuickCalc!Y26</f>
        <v>0</v>
      </c>
      <c r="AM175" s="28">
        <f>QuickCalc!Z26</f>
        <v>0</v>
      </c>
      <c r="AN175" s="28">
        <f>QuickCalc!AA26</f>
        <v>0</v>
      </c>
      <c r="AO175" s="28">
        <f>QuickCalc!AB26</f>
        <v>0</v>
      </c>
      <c r="AP175" s="28">
        <f>QuickCalc!AC26</f>
        <v>0</v>
      </c>
      <c r="AQ175" s="28">
        <f>QuickCalc!AD26</f>
        <v>0</v>
      </c>
      <c r="AR175" s="28">
        <f>QuickCalc!AE26</f>
        <v>0</v>
      </c>
      <c r="AS175" s="28">
        <f>QuickCalc!AF26</f>
        <v>0</v>
      </c>
      <c r="AT175" s="28">
        <f>QuickCalc!AG26</f>
        <v>0</v>
      </c>
      <c r="AU175" s="28">
        <f>QuickCalc!AH26</f>
        <v>0</v>
      </c>
      <c r="AV175" s="28">
        <f>QuickCalc!AI26</f>
        <v>0</v>
      </c>
      <c r="AW175" s="28">
        <f>QuickCalc!AJ26</f>
        <v>0</v>
      </c>
      <c r="AX175" s="28">
        <f>QuickCalc!AK26</f>
        <v>0</v>
      </c>
      <c r="AY175" s="28">
        <f>QuickCalc!AL26</f>
        <v>0</v>
      </c>
      <c r="AZ175" s="28">
        <f>QuickCalc!AM26</f>
        <v>0</v>
      </c>
      <c r="BA175" s="28">
        <f>QuickCalc!AN26</f>
        <v>0</v>
      </c>
      <c r="BB175" s="28">
        <f>QuickCalc!AO26</f>
        <v>0</v>
      </c>
      <c r="BC175" s="28">
        <f>QuickCalc!AP26</f>
        <v>0</v>
      </c>
      <c r="BD175" s="28">
        <f>QuickCalc!AQ26</f>
        <v>0</v>
      </c>
      <c r="BE175" s="28">
        <f>QuickCalc!AR26</f>
        <v>0</v>
      </c>
      <c r="BF175" s="28">
        <f>QuickCalc!AS26</f>
        <v>0</v>
      </c>
      <c r="BG175" s="28">
        <f>QuickCalc!AT26</f>
        <v>0</v>
      </c>
      <c r="BH175" s="28">
        <f>QuickCalc!AU26</f>
        <v>0</v>
      </c>
      <c r="BI175" s="28">
        <f>QuickCalc!AV26</f>
        <v>0</v>
      </c>
      <c r="BJ175" s="28">
        <f>QuickCalc!AW26</f>
        <v>0</v>
      </c>
      <c r="BK175" s="28">
        <f>QuickCalc!AX26</f>
        <v>0</v>
      </c>
      <c r="BL175" s="28">
        <f>QuickCalc!AY26</f>
        <v>0</v>
      </c>
      <c r="BM175" s="28">
        <f>QuickCalc!AZ26</f>
        <v>0</v>
      </c>
      <c r="BN175" s="28">
        <f>QuickCalc!BA26</f>
        <v>0</v>
      </c>
      <c r="BO175" s="28">
        <f>QuickCalc!BB26</f>
        <v>0</v>
      </c>
      <c r="BP175" s="28">
        <f>QuickCalc!BC26</f>
        <v>0</v>
      </c>
    </row>
    <row r="176" spans="3:68" customFormat="1" ht="10.35" hidden="1" customHeight="1" outlineLevel="1" x14ac:dyDescent="0.2">
      <c r="L176" s="112"/>
      <c r="M176" s="113"/>
    </row>
    <row r="177" spans="3:68" s="18" customFormat="1" ht="10.35" customHeight="1" x14ac:dyDescent="0.2">
      <c r="C177" s="19" t="s">
        <v>31</v>
      </c>
      <c r="D177" s="426"/>
      <c r="E177" s="426"/>
      <c r="F177" s="426"/>
      <c r="G177" s="426"/>
      <c r="H177" s="426"/>
      <c r="I177" s="426"/>
      <c r="J177" s="426"/>
      <c r="K177" s="426"/>
      <c r="L177" s="428"/>
      <c r="M177" s="429"/>
      <c r="N177" s="426"/>
      <c r="O177" s="426"/>
      <c r="P177" s="426"/>
      <c r="Q177" s="426"/>
      <c r="R177" s="30"/>
      <c r="S177" s="30"/>
      <c r="T177" s="30"/>
      <c r="U177" s="30"/>
      <c r="V177" s="30"/>
      <c r="W177" s="30"/>
      <c r="X177" s="30"/>
      <c r="Y177" s="30"/>
      <c r="Z177" s="30"/>
      <c r="AA177" s="30"/>
      <c r="AB177" s="30"/>
      <c r="AC177" s="30"/>
      <c r="AD177" s="30"/>
      <c r="AE177" s="30"/>
      <c r="AF177" s="30"/>
      <c r="AG177" s="30"/>
      <c r="AH177" s="30"/>
      <c r="AI177" s="30"/>
      <c r="AJ177" s="30"/>
      <c r="AK177" s="30"/>
      <c r="AL177" s="30"/>
      <c r="AM177" s="30"/>
      <c r="AN177" s="30"/>
      <c r="AO177" s="30"/>
      <c r="AP177" s="30"/>
      <c r="AQ177" s="30"/>
      <c r="AR177" s="30"/>
      <c r="AS177" s="30"/>
      <c r="AT177" s="30"/>
      <c r="AU177" s="30"/>
      <c r="AV177" s="30"/>
      <c r="AW177" s="30"/>
      <c r="AX177" s="30"/>
      <c r="AY177" s="30"/>
      <c r="AZ177" s="30"/>
      <c r="BA177" s="30"/>
      <c r="BB177" s="30"/>
      <c r="BC177" s="30"/>
      <c r="BD177" s="30"/>
      <c r="BE177" s="30"/>
      <c r="BF177" s="30"/>
      <c r="BG177" s="30"/>
      <c r="BH177" s="30"/>
      <c r="BI177" s="30"/>
      <c r="BJ177" s="30"/>
      <c r="BK177" s="30"/>
      <c r="BL177" s="30"/>
      <c r="BM177" s="30"/>
      <c r="BN177" s="30"/>
      <c r="BO177" s="30"/>
      <c r="BP177" s="30"/>
    </row>
    <row r="178" spans="3:68" ht="10.35" customHeight="1" outlineLevel="1" x14ac:dyDescent="0.2">
      <c r="C178" s="80"/>
      <c r="D178" s="80"/>
      <c r="E178" s="80"/>
      <c r="F178" s="80"/>
      <c r="G178" s="80"/>
      <c r="H178" s="80"/>
      <c r="I178" s="80"/>
      <c r="J178" s="80"/>
      <c r="K178" s="80"/>
      <c r="L178" s="412"/>
      <c r="M178" s="413"/>
      <c r="N178" s="80"/>
      <c r="O178" s="80"/>
      <c r="P178" s="80"/>
      <c r="Q178" s="80"/>
      <c r="R178" s="29"/>
      <c r="S178" s="29"/>
      <c r="T178" s="29"/>
      <c r="U178" s="29"/>
      <c r="V178" s="29"/>
      <c r="W178" s="29"/>
      <c r="X178" s="29"/>
      <c r="Y178" s="29"/>
      <c r="Z178" s="29"/>
      <c r="AA178" s="29"/>
      <c r="AB178" s="29"/>
      <c r="AC178" s="29"/>
      <c r="AD178" s="29"/>
      <c r="AE178" s="29"/>
      <c r="AF178" s="29"/>
      <c r="AG178" s="29"/>
      <c r="AH178" s="29"/>
      <c r="AI178" s="29"/>
      <c r="AJ178" s="29"/>
      <c r="AK178" s="29"/>
      <c r="AL178" s="29"/>
      <c r="AM178" s="29"/>
      <c r="AN178" s="29"/>
      <c r="AO178" s="29"/>
      <c r="AP178" s="29"/>
      <c r="AQ178" s="29"/>
      <c r="AR178" s="29"/>
      <c r="AS178" s="29"/>
      <c r="AT178" s="29"/>
      <c r="AU178" s="29"/>
      <c r="AV178" s="29"/>
      <c r="AW178" s="29"/>
      <c r="AX178" s="29"/>
      <c r="AY178" s="29"/>
      <c r="AZ178" s="29"/>
      <c r="BA178" s="29"/>
      <c r="BB178" s="29"/>
      <c r="BC178" s="29"/>
      <c r="BD178" s="29"/>
      <c r="BE178" s="29"/>
      <c r="BF178" s="29"/>
      <c r="BG178" s="29"/>
      <c r="BH178" s="29"/>
      <c r="BI178" s="29"/>
      <c r="BJ178" s="29"/>
      <c r="BK178" s="29"/>
      <c r="BL178" s="29"/>
      <c r="BM178" s="29"/>
      <c r="BN178" s="29"/>
      <c r="BO178" s="29"/>
      <c r="BP178" s="29"/>
    </row>
    <row r="179" spans="3:68" ht="10.35" customHeight="1" outlineLevel="1" x14ac:dyDescent="0.2">
      <c r="C179" s="80"/>
      <c r="D179" s="80"/>
      <c r="E179" s="80"/>
      <c r="F179" s="80"/>
      <c r="G179" s="80"/>
      <c r="H179" s="80"/>
      <c r="I179" s="80"/>
      <c r="J179" s="80"/>
      <c r="K179" s="80"/>
      <c r="L179" s="412"/>
      <c r="M179" s="413"/>
      <c r="N179" s="80"/>
      <c r="O179" s="80"/>
      <c r="P179" s="80"/>
      <c r="Q179" s="80"/>
      <c r="R179" s="29"/>
      <c r="S179" s="29"/>
      <c r="T179" s="29"/>
      <c r="U179" s="29"/>
      <c r="V179" s="29"/>
      <c r="W179" s="29"/>
      <c r="X179" s="29"/>
      <c r="Y179" s="29"/>
      <c r="Z179" s="29"/>
      <c r="AA179" s="29"/>
      <c r="AB179" s="29"/>
      <c r="AC179" s="29"/>
      <c r="AD179" s="29"/>
      <c r="AE179" s="29"/>
      <c r="AF179" s="29"/>
      <c r="AG179" s="29"/>
      <c r="AH179" s="29"/>
      <c r="AI179" s="29"/>
      <c r="AJ179" s="29"/>
      <c r="AK179" s="29"/>
      <c r="AL179" s="29"/>
      <c r="AM179" s="29"/>
      <c r="AN179" s="29"/>
      <c r="AO179" s="29"/>
      <c r="AP179" s="29"/>
      <c r="AQ179" s="29"/>
      <c r="AR179" s="29"/>
      <c r="AS179" s="29"/>
      <c r="AT179" s="29"/>
      <c r="AU179" s="29"/>
      <c r="AV179" s="29"/>
      <c r="AW179" s="29"/>
      <c r="AX179" s="29"/>
      <c r="AY179" s="29"/>
      <c r="AZ179" s="29"/>
      <c r="BA179" s="29"/>
      <c r="BB179" s="29"/>
      <c r="BC179" s="29"/>
      <c r="BD179" s="29"/>
      <c r="BE179" s="29"/>
      <c r="BF179" s="29"/>
      <c r="BG179" s="29"/>
      <c r="BH179" s="29"/>
      <c r="BI179" s="29"/>
      <c r="BJ179" s="29"/>
      <c r="BK179" s="29"/>
      <c r="BL179" s="29"/>
      <c r="BM179" s="29"/>
      <c r="BN179" s="29"/>
      <c r="BO179" s="29"/>
      <c r="BP179" s="29"/>
    </row>
    <row r="180" spans="3:68" ht="10.35" customHeight="1" outlineLevel="1" x14ac:dyDescent="0.2">
      <c r="C180" s="80"/>
      <c r="D180" s="80"/>
      <c r="E180" s="80"/>
      <c r="F180" s="80"/>
      <c r="G180" s="80"/>
      <c r="H180" s="80"/>
      <c r="I180" s="80"/>
      <c r="J180" s="80"/>
      <c r="K180" s="80"/>
      <c r="L180" s="412"/>
      <c r="M180" s="413"/>
      <c r="N180" s="80"/>
      <c r="O180" s="80"/>
      <c r="P180" s="80"/>
      <c r="Q180" s="80"/>
      <c r="R180" s="29"/>
      <c r="S180" s="29"/>
      <c r="T180" s="29"/>
      <c r="U180" s="29"/>
      <c r="V180" s="29"/>
      <c r="W180" s="29"/>
      <c r="X180" s="29"/>
      <c r="Y180" s="29"/>
      <c r="Z180" s="29"/>
      <c r="AA180" s="29"/>
      <c r="AB180" s="29"/>
      <c r="AC180" s="29"/>
      <c r="AD180" s="29"/>
      <c r="AE180" s="29"/>
      <c r="AF180" s="29"/>
      <c r="AG180" s="29"/>
      <c r="AH180" s="29"/>
      <c r="AI180" s="29"/>
      <c r="AJ180" s="29"/>
      <c r="AK180" s="29"/>
      <c r="AL180" s="29"/>
      <c r="AM180" s="29"/>
      <c r="AN180" s="29"/>
      <c r="AO180" s="29"/>
      <c r="AP180" s="29"/>
      <c r="AQ180" s="29"/>
      <c r="AR180" s="29"/>
      <c r="AS180" s="29"/>
      <c r="AT180" s="29"/>
      <c r="AU180" s="29"/>
      <c r="AV180" s="29"/>
      <c r="AW180" s="29"/>
      <c r="AX180" s="29"/>
      <c r="AY180" s="29"/>
      <c r="AZ180" s="29"/>
      <c r="BA180" s="29"/>
      <c r="BB180" s="29"/>
      <c r="BC180" s="29"/>
      <c r="BD180" s="29"/>
      <c r="BE180" s="29"/>
      <c r="BF180" s="29"/>
      <c r="BG180" s="29"/>
      <c r="BH180" s="29"/>
      <c r="BI180" s="29"/>
      <c r="BJ180" s="29"/>
      <c r="BK180" s="29"/>
      <c r="BL180" s="29"/>
      <c r="BM180" s="29"/>
      <c r="BN180" s="29"/>
      <c r="BO180" s="29"/>
      <c r="BP180" s="29"/>
    </row>
    <row r="181" spans="3:68" ht="10.35" customHeight="1" outlineLevel="1" x14ac:dyDescent="0.2">
      <c r="C181" s="80"/>
      <c r="D181" s="80"/>
      <c r="E181" s="80"/>
      <c r="F181" s="80"/>
      <c r="G181" s="80"/>
      <c r="H181" s="80"/>
      <c r="I181" s="80"/>
      <c r="J181" s="80"/>
      <c r="K181" s="80"/>
      <c r="L181" s="412"/>
      <c r="M181" s="413"/>
      <c r="N181" s="80"/>
      <c r="O181" s="80"/>
      <c r="P181" s="80"/>
      <c r="Q181" s="80"/>
      <c r="R181" s="29"/>
      <c r="S181" s="29"/>
      <c r="T181" s="29"/>
      <c r="U181" s="29"/>
      <c r="V181" s="29"/>
      <c r="W181" s="29"/>
      <c r="X181" s="29"/>
      <c r="Y181" s="29"/>
      <c r="Z181" s="29"/>
      <c r="AA181" s="29"/>
      <c r="AB181" s="29"/>
      <c r="AC181" s="29"/>
      <c r="AD181" s="29"/>
      <c r="AE181" s="29"/>
      <c r="AF181" s="29"/>
      <c r="AG181" s="29"/>
      <c r="AH181" s="29"/>
      <c r="AI181" s="29"/>
      <c r="AJ181" s="29"/>
      <c r="AK181" s="29"/>
      <c r="AL181" s="29"/>
      <c r="AM181" s="29"/>
      <c r="AN181" s="29"/>
      <c r="AO181" s="29"/>
      <c r="AP181" s="29"/>
      <c r="AQ181" s="29"/>
      <c r="AR181" s="29"/>
      <c r="AS181" s="29"/>
      <c r="AT181" s="29"/>
      <c r="AU181" s="29"/>
      <c r="AV181" s="29"/>
      <c r="AW181" s="29"/>
      <c r="AX181" s="29"/>
      <c r="AY181" s="29"/>
      <c r="AZ181" s="29"/>
      <c r="BA181" s="29"/>
      <c r="BB181" s="29"/>
      <c r="BC181" s="29"/>
      <c r="BD181" s="29"/>
      <c r="BE181" s="29"/>
      <c r="BF181" s="29"/>
      <c r="BG181" s="29"/>
      <c r="BH181" s="29"/>
      <c r="BI181" s="29"/>
      <c r="BJ181" s="29"/>
      <c r="BK181" s="29"/>
      <c r="BL181" s="29"/>
      <c r="BM181" s="29"/>
      <c r="BN181" s="29"/>
      <c r="BO181" s="29"/>
      <c r="BP181" s="29"/>
    </row>
    <row r="182" spans="3:68" ht="10.35" customHeight="1" outlineLevel="1" x14ac:dyDescent="0.2">
      <c r="C182" s="80"/>
      <c r="D182" s="80"/>
      <c r="E182" s="80"/>
      <c r="F182" s="80"/>
      <c r="G182" s="80"/>
      <c r="H182" s="80"/>
      <c r="I182" s="80"/>
      <c r="J182" s="80"/>
      <c r="K182" s="80"/>
      <c r="L182" s="412"/>
      <c r="M182" s="413"/>
      <c r="N182" s="80"/>
      <c r="O182" s="80"/>
      <c r="P182" s="80"/>
      <c r="Q182" s="80"/>
      <c r="R182" s="29"/>
      <c r="S182" s="29"/>
      <c r="T182" s="29"/>
      <c r="U182" s="29"/>
      <c r="V182" s="29"/>
      <c r="W182" s="29"/>
      <c r="X182" s="29"/>
      <c r="Y182" s="29"/>
      <c r="Z182" s="29"/>
      <c r="AA182" s="29"/>
      <c r="AB182" s="29"/>
      <c r="AC182" s="29"/>
      <c r="AD182" s="29"/>
      <c r="AE182" s="29"/>
      <c r="AF182" s="29"/>
      <c r="AG182" s="29"/>
      <c r="AH182" s="29"/>
      <c r="AI182" s="29"/>
      <c r="AJ182" s="29"/>
      <c r="AK182" s="29"/>
      <c r="AL182" s="29"/>
      <c r="AM182" s="29"/>
      <c r="AN182" s="29"/>
      <c r="AO182" s="29"/>
      <c r="AP182" s="29"/>
      <c r="AQ182" s="29"/>
      <c r="AR182" s="29"/>
      <c r="AS182" s="29"/>
      <c r="AT182" s="29"/>
      <c r="AU182" s="29"/>
      <c r="AV182" s="29"/>
      <c r="AW182" s="29"/>
      <c r="AX182" s="29"/>
      <c r="AY182" s="29"/>
      <c r="AZ182" s="29"/>
      <c r="BA182" s="29"/>
      <c r="BB182" s="29"/>
      <c r="BC182" s="29"/>
      <c r="BD182" s="29"/>
      <c r="BE182" s="29"/>
      <c r="BF182" s="29"/>
      <c r="BG182" s="29"/>
      <c r="BH182" s="29"/>
      <c r="BI182" s="29"/>
      <c r="BJ182" s="29"/>
      <c r="BK182" s="29"/>
      <c r="BL182" s="29"/>
      <c r="BM182" s="29"/>
      <c r="BN182" s="29"/>
      <c r="BO182" s="29"/>
      <c r="BP182" s="29"/>
    </row>
    <row r="183" spans="3:68" ht="10.35" customHeight="1" outlineLevel="1" x14ac:dyDescent="0.2">
      <c r="C183" s="80"/>
      <c r="D183" s="80"/>
      <c r="E183" s="80"/>
      <c r="F183" s="80"/>
      <c r="G183" s="80"/>
      <c r="H183" s="80"/>
      <c r="I183" s="80"/>
      <c r="J183" s="80"/>
      <c r="K183" s="80"/>
      <c r="L183" s="412"/>
      <c r="M183" s="413"/>
      <c r="N183" s="80"/>
      <c r="O183" s="80"/>
      <c r="P183" s="80"/>
      <c r="Q183" s="80"/>
      <c r="R183" s="29"/>
      <c r="S183" s="29"/>
      <c r="T183" s="29"/>
      <c r="U183" s="29"/>
      <c r="V183" s="29"/>
      <c r="W183" s="29"/>
      <c r="X183" s="29"/>
      <c r="Y183" s="29"/>
      <c r="Z183" s="29"/>
      <c r="AA183" s="29"/>
      <c r="AB183" s="29"/>
      <c r="AC183" s="29"/>
      <c r="AD183" s="29"/>
      <c r="AE183" s="29"/>
      <c r="AF183" s="29"/>
      <c r="AG183" s="29"/>
      <c r="AH183" s="29"/>
      <c r="AI183" s="29"/>
      <c r="AJ183" s="29"/>
      <c r="AK183" s="29"/>
      <c r="AL183" s="29"/>
      <c r="AM183" s="29"/>
      <c r="AN183" s="29"/>
      <c r="AO183" s="29"/>
      <c r="AP183" s="29"/>
      <c r="AQ183" s="29"/>
      <c r="AR183" s="29"/>
      <c r="AS183" s="29"/>
      <c r="AT183" s="29"/>
      <c r="AU183" s="29"/>
      <c r="AV183" s="29"/>
      <c r="AW183" s="29"/>
      <c r="AX183" s="29"/>
      <c r="AY183" s="29"/>
      <c r="AZ183" s="29"/>
      <c r="BA183" s="29"/>
      <c r="BB183" s="29"/>
      <c r="BC183" s="29"/>
      <c r="BD183" s="29"/>
      <c r="BE183" s="29"/>
      <c r="BF183" s="29"/>
      <c r="BG183" s="29"/>
      <c r="BH183" s="29"/>
      <c r="BI183" s="29"/>
      <c r="BJ183" s="29"/>
      <c r="BK183" s="29"/>
      <c r="BL183" s="29"/>
      <c r="BM183" s="29"/>
      <c r="BN183" s="29"/>
      <c r="BO183" s="29"/>
      <c r="BP183" s="29"/>
    </row>
    <row r="184" spans="3:68" ht="10.35" customHeight="1" outlineLevel="1" x14ac:dyDescent="0.2">
      <c r="C184" s="10"/>
      <c r="D184" s="80"/>
      <c r="E184" s="80"/>
      <c r="F184" s="10" t="s">
        <v>96</v>
      </c>
      <c r="G184" s="80"/>
      <c r="H184" s="80"/>
      <c r="I184" s="80"/>
      <c r="J184" s="80"/>
      <c r="K184" s="17"/>
      <c r="L184" s="104"/>
      <c r="M184" s="105"/>
      <c r="N184" s="17"/>
      <c r="O184" s="17"/>
      <c r="P184" s="17"/>
      <c r="Q184" s="17"/>
      <c r="R184" s="24" t="str">
        <f>"FY"&amp;RIGHT(Assumptions!$L$19+R68,2)</f>
        <v>FY22</v>
      </c>
      <c r="S184" s="24" t="str">
        <f>"FY"&amp;RIGHT(Assumptions!$L$19+S68,2)</f>
        <v>FY23</v>
      </c>
      <c r="T184" s="24" t="str">
        <f>"FY"&amp;RIGHT(Assumptions!$L$19+T68,2)</f>
        <v>FY24</v>
      </c>
      <c r="U184" s="24" t="str">
        <f>"FY"&amp;RIGHT(Assumptions!$L$19+U68,2)</f>
        <v>FY25</v>
      </c>
      <c r="V184" s="24" t="str">
        <f>"FY"&amp;RIGHT(Assumptions!$L$19+V68,2)</f>
        <v>FY26</v>
      </c>
      <c r="W184" s="24" t="str">
        <f>"FY"&amp;RIGHT(Assumptions!$L$19+W68,2)</f>
        <v>FY27</v>
      </c>
      <c r="X184" s="24" t="str">
        <f>"FY"&amp;RIGHT(Assumptions!$L$19+X68,2)</f>
        <v>FY28</v>
      </c>
      <c r="Y184" s="24" t="str">
        <f>"FY"&amp;RIGHT(Assumptions!$L$19+Y68,2)</f>
        <v>FY29</v>
      </c>
      <c r="Z184" s="24" t="str">
        <f>"FY"&amp;RIGHT(Assumptions!$L$19+Z68,2)</f>
        <v>FY30</v>
      </c>
      <c r="AA184" s="24" t="str">
        <f>"FY"&amp;RIGHT(Assumptions!$L$19+AA68,2)</f>
        <v>FY31</v>
      </c>
      <c r="AB184" s="24" t="str">
        <f>"FY"&amp;RIGHT(Assumptions!$L$19+AB68,2)</f>
        <v>FY32</v>
      </c>
      <c r="AC184" s="24" t="str">
        <f>"FY"&amp;RIGHT(Assumptions!$L$19+AC68,2)</f>
        <v>FY33</v>
      </c>
      <c r="AD184" s="24" t="str">
        <f>"FY"&amp;RIGHT(Assumptions!$L$19+AD68,2)</f>
        <v>FY34</v>
      </c>
      <c r="AE184" s="24" t="str">
        <f>"FY"&amp;RIGHT(Assumptions!$L$19+AE68,2)</f>
        <v>FY35</v>
      </c>
      <c r="AF184" s="24" t="str">
        <f>"FY"&amp;RIGHT(Assumptions!$L$19+AF68,2)</f>
        <v>FY36</v>
      </c>
      <c r="AG184" s="24" t="str">
        <f>"FY"&amp;RIGHT(Assumptions!$L$19+AG68,2)</f>
        <v>FY37</v>
      </c>
      <c r="AH184" s="24" t="str">
        <f>"FY"&amp;RIGHT(Assumptions!$L$19+AH68,2)</f>
        <v>FY38</v>
      </c>
      <c r="AI184" s="24" t="str">
        <f>"FY"&amp;RIGHT(Assumptions!$L$19+AI68,2)</f>
        <v>FY39</v>
      </c>
      <c r="AJ184" s="24" t="str">
        <f>"FY"&amp;RIGHT(Assumptions!$L$19+AJ68,2)</f>
        <v>FY40</v>
      </c>
      <c r="AK184" s="24" t="str">
        <f>"FY"&amp;RIGHT(Assumptions!$L$19+AK68,2)</f>
        <v>FY41</v>
      </c>
      <c r="AL184" s="24" t="str">
        <f>"FY"&amp;RIGHT(Assumptions!$L$19+AL68,2)</f>
        <v>FY42</v>
      </c>
      <c r="AM184" s="24" t="str">
        <f>"FY"&amp;RIGHT(Assumptions!$L$19+AM68,2)</f>
        <v>FY43</v>
      </c>
      <c r="AN184" s="24" t="str">
        <f>"FY"&amp;RIGHT(Assumptions!$L$19+AN68,2)</f>
        <v>FY44</v>
      </c>
      <c r="AO184" s="24" t="str">
        <f>"FY"&amp;RIGHT(Assumptions!$L$19+AO68,2)</f>
        <v>FY45</v>
      </c>
      <c r="AP184" s="24" t="str">
        <f>"FY"&amp;RIGHT(Assumptions!$L$19+AP68,2)</f>
        <v>FY46</v>
      </c>
      <c r="AQ184" s="24" t="str">
        <f>"FY"&amp;RIGHT(Assumptions!$L$19+AQ68,2)</f>
        <v>FY47</v>
      </c>
      <c r="AR184" s="24" t="str">
        <f>"FY"&amp;RIGHT(Assumptions!$L$19+AR68,2)</f>
        <v>FY48</v>
      </c>
      <c r="AS184" s="24" t="str">
        <f>"FY"&amp;RIGHT(Assumptions!$L$19+AS68,2)</f>
        <v>FY49</v>
      </c>
      <c r="AT184" s="24" t="str">
        <f>"FY"&amp;RIGHT(Assumptions!$L$19+AT68,2)</f>
        <v>FY50</v>
      </c>
      <c r="AU184" s="24" t="str">
        <f>"FY"&amp;RIGHT(Assumptions!$L$19+AU68,2)</f>
        <v>FY51</v>
      </c>
      <c r="AV184" s="24" t="str">
        <f>"FY"&amp;RIGHT(Assumptions!$L$19+AV68,2)</f>
        <v>FY52</v>
      </c>
      <c r="AW184" s="24" t="str">
        <f>"FY"&amp;RIGHT(Assumptions!$L$19+AW68,2)</f>
        <v>FY53</v>
      </c>
      <c r="AX184" s="24" t="str">
        <f>"FY"&amp;RIGHT(Assumptions!$L$19+AX68,2)</f>
        <v>FY54</v>
      </c>
      <c r="AY184" s="24" t="str">
        <f>"FY"&amp;RIGHT(Assumptions!$L$19+AY68,2)</f>
        <v>FY55</v>
      </c>
      <c r="AZ184" s="24" t="str">
        <f>"FY"&amp;RIGHT(Assumptions!$L$19+AZ68,2)</f>
        <v>FY56</v>
      </c>
      <c r="BA184" s="24" t="str">
        <f>"FY"&amp;RIGHT(Assumptions!$L$19+BA68,2)</f>
        <v>FY57</v>
      </c>
      <c r="BB184" s="24" t="str">
        <f>"FY"&amp;RIGHT(Assumptions!$L$19+BB68,2)</f>
        <v>FY58</v>
      </c>
      <c r="BC184" s="24" t="str">
        <f>"FY"&amp;RIGHT(Assumptions!$L$19+BC68,2)</f>
        <v>FY59</v>
      </c>
      <c r="BD184" s="24" t="str">
        <f>"FY"&amp;RIGHT(Assumptions!$L$19+BD68,2)</f>
        <v>FY60</v>
      </c>
      <c r="BE184" s="24" t="str">
        <f>"FY"&amp;RIGHT(Assumptions!$L$19+BE68,2)</f>
        <v>FY61</v>
      </c>
      <c r="BF184" s="24" t="str">
        <f>"FY"&amp;RIGHT(Assumptions!$L$19+BF68,2)</f>
        <v>FY62</v>
      </c>
      <c r="BG184" s="24" t="str">
        <f>"FY"&amp;RIGHT(Assumptions!$L$19+BG68,2)</f>
        <v>FY63</v>
      </c>
      <c r="BH184" s="24" t="str">
        <f>"FY"&amp;RIGHT(Assumptions!$L$19+BH68,2)</f>
        <v>FY64</v>
      </c>
      <c r="BI184" s="24" t="str">
        <f>"FY"&amp;RIGHT(Assumptions!$L$19+BI68,2)</f>
        <v>FY65</v>
      </c>
      <c r="BJ184" s="24" t="str">
        <f>"FY"&amp;RIGHT(Assumptions!$L$19+BJ68,2)</f>
        <v>FY66</v>
      </c>
      <c r="BK184" s="24" t="str">
        <f>"FY"&amp;RIGHT(Assumptions!$L$19+BK68,2)</f>
        <v>FY67</v>
      </c>
      <c r="BL184" s="24" t="str">
        <f>"FY"&amp;RIGHT(Assumptions!$L$19+BL68,2)</f>
        <v>FY68</v>
      </c>
      <c r="BM184" s="24" t="str">
        <f>"FY"&amp;RIGHT(Assumptions!$L$19+BM68,2)</f>
        <v>FY69</v>
      </c>
      <c r="BN184" s="24" t="str">
        <f>"FY"&amp;RIGHT(Assumptions!$L$19+BN68,2)</f>
        <v>FY70</v>
      </c>
      <c r="BO184" s="24" t="str">
        <f>"FY"&amp;RIGHT(Assumptions!$L$19+BO68,2)</f>
        <v>FY71</v>
      </c>
      <c r="BP184" s="24" t="str">
        <f>"FY"&amp;RIGHT(Assumptions!$L$19+BP68,2)</f>
        <v>FY72</v>
      </c>
    </row>
    <row r="185" spans="3:68" ht="10.35" customHeight="1" outlineLevel="1" x14ac:dyDescent="0.2">
      <c r="C185" s="80"/>
      <c r="D185" s="80"/>
      <c r="E185" s="80"/>
      <c r="F185" s="80"/>
      <c r="G185" s="80"/>
      <c r="H185" s="80"/>
      <c r="I185" s="80"/>
      <c r="J185" s="80"/>
      <c r="K185" s="80"/>
      <c r="L185" s="412"/>
      <c r="M185" s="413"/>
      <c r="N185" s="80"/>
      <c r="O185" s="80"/>
      <c r="P185" s="80"/>
      <c r="Q185" s="80"/>
      <c r="R185" s="29"/>
      <c r="S185" s="29"/>
      <c r="T185" s="29"/>
      <c r="U185" s="29"/>
      <c r="V185" s="29"/>
      <c r="W185" s="29"/>
      <c r="X185" s="29"/>
      <c r="Y185" s="29"/>
      <c r="Z185" s="29"/>
      <c r="AA185" s="29"/>
      <c r="AB185" s="29"/>
      <c r="AC185" s="29"/>
      <c r="AD185" s="29"/>
      <c r="AE185" s="29"/>
      <c r="AF185" s="29"/>
      <c r="AG185" s="29"/>
      <c r="AH185" s="29"/>
      <c r="AI185" s="29"/>
      <c r="AJ185" s="29"/>
      <c r="AK185" s="29"/>
      <c r="AL185" s="29"/>
      <c r="AM185" s="29"/>
      <c r="AN185" s="29"/>
      <c r="AO185" s="29"/>
      <c r="AP185" s="29"/>
      <c r="AQ185" s="29"/>
      <c r="AR185" s="29"/>
      <c r="AS185" s="29"/>
      <c r="AT185" s="29"/>
      <c r="AU185" s="29"/>
      <c r="AV185" s="29"/>
      <c r="AW185" s="29"/>
      <c r="AX185" s="29"/>
      <c r="AY185" s="29"/>
      <c r="AZ185" s="29"/>
      <c r="BA185" s="29"/>
      <c r="BB185" s="29"/>
      <c r="BC185" s="29"/>
      <c r="BD185" s="29"/>
      <c r="BE185" s="29"/>
      <c r="BF185" s="29"/>
      <c r="BG185" s="29"/>
      <c r="BH185" s="29"/>
      <c r="BI185" s="29"/>
      <c r="BJ185" s="29"/>
      <c r="BK185" s="29"/>
      <c r="BL185" s="29"/>
      <c r="BM185" s="29"/>
      <c r="BN185" s="29"/>
      <c r="BO185" s="29"/>
      <c r="BP185" s="29"/>
    </row>
    <row r="186" spans="3:68" ht="10.35" customHeight="1" outlineLevel="1" x14ac:dyDescent="0.2">
      <c r="C186" s="80"/>
      <c r="D186" t="s">
        <v>127</v>
      </c>
      <c r="E186" s="80"/>
      <c r="F186" s="511"/>
      <c r="G186" s="511"/>
      <c r="H186" s="511"/>
      <c r="I186" s="511"/>
      <c r="J186" s="511"/>
      <c r="K186" s="80"/>
      <c r="L186" s="114" t="s">
        <v>128</v>
      </c>
      <c r="M186" s="113"/>
      <c r="N186"/>
      <c r="O186"/>
      <c r="P186"/>
      <c r="Q186"/>
      <c r="R186" s="80"/>
      <c r="S186" s="29"/>
      <c r="T186" s="29"/>
      <c r="U186" s="29"/>
      <c r="V186" s="29"/>
      <c r="W186" s="29"/>
      <c r="X186" s="29"/>
      <c r="Y186" s="29"/>
      <c r="Z186" s="29"/>
      <c r="AA186" s="29"/>
      <c r="AB186" s="29"/>
      <c r="AC186" s="29"/>
      <c r="AD186" s="29"/>
      <c r="AE186" s="29"/>
      <c r="AF186" s="29"/>
      <c r="AG186" s="29"/>
      <c r="AH186" s="29"/>
      <c r="AI186" s="29"/>
      <c r="AJ186" s="29"/>
      <c r="AK186" s="29"/>
      <c r="AL186" s="29"/>
      <c r="AM186" s="29"/>
      <c r="AN186" s="29"/>
      <c r="AO186" s="29"/>
      <c r="AP186" s="29"/>
      <c r="AQ186" s="29"/>
      <c r="AR186" s="29"/>
      <c r="AS186" s="29"/>
      <c r="AT186" s="29"/>
      <c r="AU186" s="29"/>
      <c r="AV186" s="29"/>
      <c r="AW186" s="29"/>
      <c r="AX186" s="29"/>
      <c r="AY186" s="29"/>
      <c r="AZ186" s="29"/>
      <c r="BA186" s="29"/>
      <c r="BB186" s="29"/>
      <c r="BC186" s="29"/>
      <c r="BD186" s="29"/>
      <c r="BE186" s="29"/>
      <c r="BF186" s="29"/>
      <c r="BG186" s="29"/>
      <c r="BH186" s="29"/>
      <c r="BI186" s="29"/>
      <c r="BJ186" s="29"/>
      <c r="BK186" s="29"/>
      <c r="BL186" s="29"/>
      <c r="BM186" s="29"/>
      <c r="BN186" s="29"/>
      <c r="BO186" s="29"/>
      <c r="BP186" s="29"/>
    </row>
    <row r="187" spans="3:68" ht="10.35" customHeight="1" outlineLevel="1" x14ac:dyDescent="0.2">
      <c r="C187" s="80"/>
      <c r="D187" t="s">
        <v>31</v>
      </c>
      <c r="E187" s="80"/>
      <c r="F187" s="512" t="s">
        <v>104</v>
      </c>
      <c r="G187" s="512"/>
      <c r="H187" s="512"/>
      <c r="I187" s="512"/>
      <c r="J187" s="512"/>
      <c r="K187" s="80"/>
      <c r="L187" s="412"/>
      <c r="M187" s="413"/>
      <c r="N187" s="80"/>
      <c r="O187" s="80"/>
      <c r="P187" s="80"/>
      <c r="Q187" s="80"/>
      <c r="R187" s="28">
        <f>QuickCalc!E27</f>
        <v>0</v>
      </c>
      <c r="S187" s="28">
        <f>QuickCalc!F27</f>
        <v>0</v>
      </c>
      <c r="T187" s="28">
        <f>QuickCalc!G27</f>
        <v>0</v>
      </c>
      <c r="U187" s="28">
        <f>QuickCalc!H27</f>
        <v>0</v>
      </c>
      <c r="V187" s="28">
        <f>QuickCalc!I27</f>
        <v>0</v>
      </c>
      <c r="W187" s="28">
        <f>QuickCalc!J27</f>
        <v>0</v>
      </c>
      <c r="X187" s="28">
        <f>QuickCalc!K27</f>
        <v>0</v>
      </c>
      <c r="Y187" s="28">
        <f>QuickCalc!L27</f>
        <v>0</v>
      </c>
      <c r="Z187" s="28">
        <f>QuickCalc!M27</f>
        <v>0</v>
      </c>
      <c r="AA187" s="28">
        <f>QuickCalc!N27</f>
        <v>0</v>
      </c>
      <c r="AB187" s="28">
        <f>QuickCalc!O27</f>
        <v>0</v>
      </c>
      <c r="AC187" s="28">
        <f>QuickCalc!P27</f>
        <v>0</v>
      </c>
      <c r="AD187" s="28">
        <f>QuickCalc!Q27</f>
        <v>0</v>
      </c>
      <c r="AE187" s="28">
        <f>QuickCalc!R27</f>
        <v>0</v>
      </c>
      <c r="AF187" s="28">
        <f>QuickCalc!S27</f>
        <v>0</v>
      </c>
      <c r="AG187" s="28">
        <f>QuickCalc!T27</f>
        <v>0</v>
      </c>
      <c r="AH187" s="28">
        <f>QuickCalc!U27</f>
        <v>0</v>
      </c>
      <c r="AI187" s="28">
        <f>QuickCalc!V27</f>
        <v>0</v>
      </c>
      <c r="AJ187" s="28">
        <f>QuickCalc!W27</f>
        <v>0</v>
      </c>
      <c r="AK187" s="28">
        <f>QuickCalc!X27</f>
        <v>0</v>
      </c>
      <c r="AL187" s="28">
        <f>QuickCalc!Y27</f>
        <v>0</v>
      </c>
      <c r="AM187" s="28">
        <f>QuickCalc!Z27</f>
        <v>0</v>
      </c>
      <c r="AN187" s="28">
        <f>QuickCalc!AA27</f>
        <v>0</v>
      </c>
      <c r="AO187" s="28">
        <f>QuickCalc!AB27</f>
        <v>0</v>
      </c>
      <c r="AP187" s="28">
        <f>QuickCalc!AC27</f>
        <v>0</v>
      </c>
      <c r="AQ187" s="28">
        <f>QuickCalc!AD27</f>
        <v>0</v>
      </c>
      <c r="AR187" s="28">
        <f>QuickCalc!AE27</f>
        <v>0</v>
      </c>
      <c r="AS187" s="28">
        <f>QuickCalc!AF27</f>
        <v>0</v>
      </c>
      <c r="AT187" s="28">
        <f>QuickCalc!AG27</f>
        <v>0</v>
      </c>
      <c r="AU187" s="28">
        <f>QuickCalc!AH27</f>
        <v>0</v>
      </c>
      <c r="AV187" s="28">
        <f>QuickCalc!AI27</f>
        <v>0</v>
      </c>
      <c r="AW187" s="28">
        <f>QuickCalc!AJ27</f>
        <v>0</v>
      </c>
      <c r="AX187" s="28">
        <f>QuickCalc!AK27</f>
        <v>0</v>
      </c>
      <c r="AY187" s="28">
        <f>QuickCalc!AL27</f>
        <v>0</v>
      </c>
      <c r="AZ187" s="28">
        <f>QuickCalc!AM27</f>
        <v>0</v>
      </c>
      <c r="BA187" s="28">
        <f>QuickCalc!AN27</f>
        <v>0</v>
      </c>
      <c r="BB187" s="28">
        <f>QuickCalc!AO27</f>
        <v>0</v>
      </c>
      <c r="BC187" s="28">
        <f>QuickCalc!AP27</f>
        <v>0</v>
      </c>
      <c r="BD187" s="28">
        <f>QuickCalc!AQ27</f>
        <v>0</v>
      </c>
      <c r="BE187" s="28">
        <f>QuickCalc!AR27</f>
        <v>0</v>
      </c>
      <c r="BF187" s="28">
        <f>QuickCalc!AS27</f>
        <v>0</v>
      </c>
      <c r="BG187" s="28">
        <f>QuickCalc!AT27</f>
        <v>0</v>
      </c>
      <c r="BH187" s="28">
        <f>QuickCalc!AU27</f>
        <v>0</v>
      </c>
      <c r="BI187" s="28">
        <f>QuickCalc!AV27</f>
        <v>0</v>
      </c>
      <c r="BJ187" s="28">
        <f>QuickCalc!AW27</f>
        <v>0</v>
      </c>
      <c r="BK187" s="28">
        <f>QuickCalc!AX27</f>
        <v>0</v>
      </c>
      <c r="BL187" s="28">
        <f>QuickCalc!AY27</f>
        <v>0</v>
      </c>
      <c r="BM187" s="28">
        <f>QuickCalc!AZ27</f>
        <v>0</v>
      </c>
      <c r="BN187" s="28">
        <f>QuickCalc!BA27</f>
        <v>0</v>
      </c>
      <c r="BO187" s="28">
        <f>QuickCalc!BB27</f>
        <v>0</v>
      </c>
      <c r="BP187" s="28">
        <f>QuickCalc!BC27</f>
        <v>0</v>
      </c>
    </row>
    <row r="188" spans="3:68" ht="10.35" customHeight="1" outlineLevel="1" x14ac:dyDescent="0.2">
      <c r="C188" s="80"/>
      <c r="D188" s="80"/>
      <c r="E188" s="80"/>
      <c r="F188" s="80"/>
      <c r="G188" s="80"/>
      <c r="H188" s="80"/>
      <c r="I188" s="80"/>
      <c r="J188" s="80"/>
      <c r="K188" s="80"/>
      <c r="L188" s="412"/>
      <c r="M188" s="413"/>
      <c r="N188" s="80"/>
      <c r="O188" s="80"/>
      <c r="P188" s="80"/>
      <c r="Q188" s="80"/>
      <c r="R188" s="29"/>
      <c r="S188" s="29"/>
      <c r="T188" s="29"/>
      <c r="U188" s="29"/>
      <c r="V188" s="29"/>
      <c r="W188" s="29"/>
      <c r="X188" s="29"/>
      <c r="Y188" s="29"/>
      <c r="Z188" s="29"/>
      <c r="AA188" s="29"/>
      <c r="AB188" s="29"/>
      <c r="AC188" s="29"/>
      <c r="AD188" s="29"/>
      <c r="AE188" s="29"/>
      <c r="AF188" s="29"/>
      <c r="AG188" s="29"/>
      <c r="AH188" s="29"/>
      <c r="AI188" s="29"/>
      <c r="AJ188" s="29"/>
      <c r="AK188" s="29"/>
      <c r="AL188" s="29"/>
      <c r="AM188" s="29"/>
      <c r="AN188" s="29"/>
      <c r="AO188" s="29"/>
      <c r="AP188" s="29"/>
      <c r="AQ188" s="29"/>
      <c r="AR188" s="29"/>
      <c r="AS188" s="29"/>
      <c r="AT188" s="29"/>
      <c r="AU188" s="29"/>
      <c r="AV188" s="29"/>
      <c r="AW188" s="29"/>
      <c r="AX188" s="29"/>
      <c r="AY188" s="29"/>
      <c r="AZ188" s="29"/>
      <c r="BA188" s="29"/>
      <c r="BB188" s="29"/>
      <c r="BC188" s="29"/>
      <c r="BD188" s="29"/>
      <c r="BE188" s="29"/>
      <c r="BF188" s="29"/>
      <c r="BG188" s="29"/>
      <c r="BH188" s="29"/>
      <c r="BI188" s="29"/>
      <c r="BJ188" s="29"/>
      <c r="BK188" s="29"/>
      <c r="BL188" s="29"/>
      <c r="BM188" s="29"/>
      <c r="BN188" s="29"/>
      <c r="BO188" s="29"/>
      <c r="BP188" s="29"/>
    </row>
    <row r="189" spans="3:68" s="18" customFormat="1" ht="10.35" customHeight="1" collapsed="1" x14ac:dyDescent="0.2">
      <c r="C189" s="19" t="s">
        <v>129</v>
      </c>
      <c r="D189" s="426"/>
      <c r="E189" s="38"/>
      <c r="F189" s="426"/>
      <c r="G189" s="426"/>
      <c r="H189" s="426"/>
      <c r="I189" s="426"/>
      <c r="J189" s="426"/>
      <c r="K189" s="426"/>
      <c r="L189" s="428"/>
      <c r="M189" s="429"/>
      <c r="N189" s="426"/>
      <c r="O189" s="426"/>
      <c r="P189" s="426"/>
      <c r="Q189" s="426"/>
      <c r="R189" s="30"/>
      <c r="S189" s="30"/>
      <c r="T189" s="30"/>
      <c r="U189" s="30"/>
      <c r="V189" s="30"/>
      <c r="W189" s="30"/>
      <c r="X189" s="30"/>
      <c r="Y189" s="30"/>
      <c r="Z189" s="30"/>
      <c r="AA189" s="30"/>
      <c r="AB189" s="30"/>
      <c r="AC189" s="30"/>
      <c r="AD189" s="30"/>
      <c r="AE189" s="30"/>
      <c r="AF189" s="30"/>
      <c r="AG189" s="30"/>
      <c r="AH189" s="30"/>
      <c r="AI189" s="30"/>
      <c r="AJ189" s="30"/>
      <c r="AK189" s="30"/>
      <c r="AL189" s="30"/>
      <c r="AM189" s="30"/>
      <c r="AN189" s="30"/>
      <c r="AO189" s="30"/>
      <c r="AP189" s="30"/>
      <c r="AQ189" s="30"/>
      <c r="AR189" s="30"/>
      <c r="AS189" s="30"/>
      <c r="AT189" s="30"/>
      <c r="AU189" s="30"/>
      <c r="AV189" s="30"/>
      <c r="AW189" s="30"/>
      <c r="AX189" s="30"/>
      <c r="AY189" s="30"/>
      <c r="AZ189" s="30"/>
      <c r="BA189" s="30"/>
      <c r="BB189" s="30"/>
      <c r="BC189" s="30"/>
      <c r="BD189" s="30"/>
      <c r="BE189" s="30"/>
      <c r="BF189" s="30"/>
      <c r="BG189" s="30"/>
      <c r="BH189" s="30"/>
      <c r="BI189" s="30"/>
      <c r="BJ189" s="30"/>
      <c r="BK189" s="30"/>
      <c r="BL189" s="30"/>
      <c r="BM189" s="30"/>
      <c r="BN189" s="30"/>
      <c r="BO189" s="30"/>
      <c r="BP189" s="30"/>
    </row>
    <row r="190" spans="3:68" ht="10.35" hidden="1" customHeight="1" outlineLevel="1" x14ac:dyDescent="0.2">
      <c r="C190" s="80"/>
      <c r="D190" s="80"/>
      <c r="E190" s="80"/>
      <c r="F190" s="80"/>
      <c r="G190" s="80"/>
      <c r="H190" s="80"/>
      <c r="I190" s="80"/>
      <c r="J190" s="80"/>
      <c r="K190" s="80"/>
      <c r="L190" s="412"/>
      <c r="M190" s="413"/>
      <c r="N190" s="80"/>
      <c r="O190" s="80"/>
      <c r="P190" s="80"/>
      <c r="Q190" s="80"/>
      <c r="R190" s="29"/>
      <c r="S190" s="29"/>
      <c r="T190" s="29"/>
      <c r="U190" s="29"/>
      <c r="V190" s="29"/>
      <c r="W190" s="29"/>
      <c r="X190" s="29"/>
      <c r="Y190" s="29"/>
      <c r="Z190" s="29"/>
      <c r="AA190" s="29"/>
      <c r="AB190" s="29"/>
      <c r="AC190" s="29"/>
      <c r="AD190" s="29"/>
      <c r="AE190" s="29"/>
      <c r="AF190" s="29"/>
      <c r="AG190" s="29"/>
      <c r="AH190" s="29"/>
      <c r="AI190" s="29"/>
      <c r="AJ190" s="29"/>
      <c r="AK190" s="29"/>
      <c r="AL190" s="29"/>
      <c r="AM190" s="29"/>
      <c r="AN190" s="29"/>
      <c r="AO190" s="29"/>
      <c r="AP190" s="29"/>
      <c r="AQ190" s="29"/>
      <c r="AR190" s="29"/>
      <c r="AS190" s="29"/>
      <c r="AT190" s="29"/>
      <c r="AU190" s="29"/>
      <c r="AV190" s="29"/>
      <c r="AW190" s="29"/>
      <c r="AX190" s="29"/>
      <c r="AY190" s="29"/>
      <c r="AZ190" s="29"/>
      <c r="BA190" s="29"/>
      <c r="BB190" s="29"/>
      <c r="BC190" s="29"/>
      <c r="BD190" s="29"/>
      <c r="BE190" s="29"/>
      <c r="BF190" s="29"/>
      <c r="BG190" s="29"/>
      <c r="BH190" s="29"/>
      <c r="BI190" s="29"/>
      <c r="BJ190" s="29"/>
      <c r="BK190" s="29"/>
      <c r="BL190" s="29"/>
      <c r="BM190" s="29"/>
      <c r="BN190" s="29"/>
      <c r="BO190" s="29"/>
      <c r="BP190" s="29"/>
    </row>
    <row r="191" spans="3:68" ht="10.35" hidden="1" customHeight="1" outlineLevel="1" x14ac:dyDescent="0.2">
      <c r="C191" s="80"/>
      <c r="D191" s="80"/>
      <c r="E191" s="80"/>
      <c r="F191" s="80"/>
      <c r="G191" s="80"/>
      <c r="H191" s="80"/>
      <c r="I191" s="80"/>
      <c r="J191" s="80"/>
      <c r="K191" s="80"/>
      <c r="L191" s="412"/>
      <c r="M191" s="413"/>
      <c r="N191" s="80"/>
      <c r="O191" s="80"/>
      <c r="P191" s="80"/>
      <c r="Q191" s="80"/>
      <c r="R191" s="29"/>
      <c r="S191" s="29"/>
      <c r="T191" s="29"/>
      <c r="U191" s="29"/>
      <c r="V191" s="29"/>
      <c r="W191" s="29"/>
      <c r="X191" s="29"/>
      <c r="Y191" s="29"/>
      <c r="Z191" s="29"/>
      <c r="AA191" s="29"/>
      <c r="AB191" s="29"/>
      <c r="AC191" s="29"/>
      <c r="AD191" s="29"/>
      <c r="AE191" s="29"/>
      <c r="AF191" s="29"/>
      <c r="AG191" s="29"/>
      <c r="AH191" s="29"/>
      <c r="AI191" s="29"/>
      <c r="AJ191" s="29"/>
      <c r="AK191" s="29"/>
      <c r="AL191" s="29"/>
      <c r="AM191" s="29"/>
      <c r="AN191" s="29"/>
      <c r="AO191" s="29"/>
      <c r="AP191" s="29"/>
      <c r="AQ191" s="29"/>
      <c r="AR191" s="29"/>
      <c r="AS191" s="29"/>
      <c r="AT191" s="29"/>
      <c r="AU191" s="29"/>
      <c r="AV191" s="29"/>
      <c r="AW191" s="29"/>
      <c r="AX191" s="29"/>
      <c r="AY191" s="29"/>
      <c r="AZ191" s="29"/>
      <c r="BA191" s="29"/>
      <c r="BB191" s="29"/>
      <c r="BC191" s="29"/>
      <c r="BD191" s="29"/>
      <c r="BE191" s="29"/>
      <c r="BF191" s="29"/>
      <c r="BG191" s="29"/>
      <c r="BH191" s="29"/>
      <c r="BI191" s="29"/>
      <c r="BJ191" s="29"/>
      <c r="BK191" s="29"/>
      <c r="BL191" s="29"/>
      <c r="BM191" s="29"/>
      <c r="BN191" s="29"/>
      <c r="BO191" s="29"/>
      <c r="BP191" s="29"/>
    </row>
    <row r="192" spans="3:68" ht="10.35" hidden="1" customHeight="1" outlineLevel="1" x14ac:dyDescent="0.2">
      <c r="C192" s="80"/>
      <c r="D192" s="80"/>
      <c r="E192" s="80"/>
      <c r="F192" s="80"/>
      <c r="G192" s="80"/>
      <c r="H192" s="80"/>
      <c r="I192" s="80"/>
      <c r="J192" s="80"/>
      <c r="K192" s="80"/>
      <c r="L192" s="412"/>
      <c r="M192" s="413"/>
      <c r="N192" s="80"/>
      <c r="O192" s="80"/>
      <c r="P192" s="80"/>
      <c r="Q192" s="80"/>
      <c r="R192" s="29"/>
      <c r="S192" s="29"/>
      <c r="T192" s="29"/>
      <c r="U192" s="29"/>
      <c r="V192" s="29"/>
      <c r="W192" s="29"/>
      <c r="X192" s="29"/>
      <c r="Y192" s="29"/>
      <c r="Z192" s="29"/>
      <c r="AA192" s="29"/>
      <c r="AB192" s="29"/>
      <c r="AC192" s="29"/>
      <c r="AD192" s="29"/>
      <c r="AE192" s="29"/>
      <c r="AF192" s="29"/>
      <c r="AG192" s="29"/>
      <c r="AH192" s="29"/>
      <c r="AI192" s="29"/>
      <c r="AJ192" s="29"/>
      <c r="AK192" s="29"/>
      <c r="AL192" s="29"/>
      <c r="AM192" s="29"/>
      <c r="AN192" s="29"/>
      <c r="AO192" s="29"/>
      <c r="AP192" s="29"/>
      <c r="AQ192" s="29"/>
      <c r="AR192" s="29"/>
      <c r="AS192" s="29"/>
      <c r="AT192" s="29"/>
      <c r="AU192" s="29"/>
      <c r="AV192" s="29"/>
      <c r="AW192" s="29"/>
      <c r="AX192" s="29"/>
      <c r="AY192" s="29"/>
      <c r="AZ192" s="29"/>
      <c r="BA192" s="29"/>
      <c r="BB192" s="29"/>
      <c r="BC192" s="29"/>
      <c r="BD192" s="29"/>
      <c r="BE192" s="29"/>
      <c r="BF192" s="29"/>
      <c r="BG192" s="29"/>
      <c r="BH192" s="29"/>
      <c r="BI192" s="29"/>
      <c r="BJ192" s="29"/>
      <c r="BK192" s="29"/>
      <c r="BL192" s="29"/>
      <c r="BM192" s="29"/>
      <c r="BN192" s="29"/>
      <c r="BO192" s="29"/>
      <c r="BP192" s="29"/>
    </row>
    <row r="193" spans="3:68" ht="10.35" hidden="1" customHeight="1" outlineLevel="1" x14ac:dyDescent="0.2">
      <c r="C193" s="80"/>
      <c r="D193" s="80"/>
      <c r="E193" s="80"/>
      <c r="F193" s="80"/>
      <c r="G193" s="80"/>
      <c r="H193" s="80"/>
      <c r="I193" s="80"/>
      <c r="J193" s="80"/>
      <c r="K193" s="80"/>
      <c r="L193" s="412"/>
      <c r="M193" s="413"/>
      <c r="N193" s="80"/>
      <c r="O193" s="80"/>
      <c r="P193" s="80"/>
      <c r="Q193" s="80"/>
      <c r="R193" s="29"/>
      <c r="S193" s="29"/>
      <c r="T193" s="29"/>
      <c r="U193" s="29"/>
      <c r="V193" s="29"/>
      <c r="W193" s="29"/>
      <c r="X193" s="29"/>
      <c r="Y193" s="29"/>
      <c r="Z193" s="29"/>
      <c r="AA193" s="29"/>
      <c r="AB193" s="29"/>
      <c r="AC193" s="29"/>
      <c r="AD193" s="29"/>
      <c r="AE193" s="29"/>
      <c r="AF193" s="29"/>
      <c r="AG193" s="29"/>
      <c r="AH193" s="29"/>
      <c r="AI193" s="29"/>
      <c r="AJ193" s="29"/>
      <c r="AK193" s="29"/>
      <c r="AL193" s="29"/>
      <c r="AM193" s="29"/>
      <c r="AN193" s="29"/>
      <c r="AO193" s="29"/>
      <c r="AP193" s="29"/>
      <c r="AQ193" s="29"/>
      <c r="AR193" s="29"/>
      <c r="AS193" s="29"/>
      <c r="AT193" s="29"/>
      <c r="AU193" s="29"/>
      <c r="AV193" s="29"/>
      <c r="AW193" s="29"/>
      <c r="AX193" s="29"/>
      <c r="AY193" s="29"/>
      <c r="AZ193" s="29"/>
      <c r="BA193" s="29"/>
      <c r="BB193" s="29"/>
      <c r="BC193" s="29"/>
      <c r="BD193" s="29"/>
      <c r="BE193" s="29"/>
      <c r="BF193" s="29"/>
      <c r="BG193" s="29"/>
      <c r="BH193" s="29"/>
      <c r="BI193" s="29"/>
      <c r="BJ193" s="29"/>
      <c r="BK193" s="29"/>
      <c r="BL193" s="29"/>
      <c r="BM193" s="29"/>
      <c r="BN193" s="29"/>
      <c r="BO193" s="29"/>
      <c r="BP193" s="29"/>
    </row>
    <row r="194" spans="3:68" ht="10.35" hidden="1" customHeight="1" outlineLevel="1" x14ac:dyDescent="0.2">
      <c r="C194" s="80"/>
      <c r="D194" s="80"/>
      <c r="E194" s="80"/>
      <c r="F194" s="80"/>
      <c r="G194" s="80"/>
      <c r="H194" s="80"/>
      <c r="I194" s="80"/>
      <c r="J194" s="80"/>
      <c r="K194" s="80"/>
      <c r="L194" s="412"/>
      <c r="M194" s="413"/>
      <c r="N194" s="80"/>
      <c r="O194" s="80"/>
      <c r="P194" s="80"/>
      <c r="Q194" s="80"/>
      <c r="R194" s="29"/>
      <c r="S194" s="29"/>
      <c r="T194" s="29"/>
      <c r="U194" s="29"/>
      <c r="V194" s="29"/>
      <c r="W194" s="29"/>
      <c r="X194" s="29"/>
      <c r="Y194" s="29"/>
      <c r="Z194" s="29"/>
      <c r="AA194" s="29"/>
      <c r="AB194" s="29"/>
      <c r="AC194" s="29"/>
      <c r="AD194" s="29"/>
      <c r="AE194" s="29"/>
      <c r="AF194" s="29"/>
      <c r="AG194" s="29"/>
      <c r="AH194" s="29"/>
      <c r="AI194" s="29"/>
      <c r="AJ194" s="29"/>
      <c r="AK194" s="29"/>
      <c r="AL194" s="29"/>
      <c r="AM194" s="29"/>
      <c r="AN194" s="29"/>
      <c r="AO194" s="29"/>
      <c r="AP194" s="29"/>
      <c r="AQ194" s="29"/>
      <c r="AR194" s="29"/>
      <c r="AS194" s="29"/>
      <c r="AT194" s="29"/>
      <c r="AU194" s="29"/>
      <c r="AV194" s="29"/>
      <c r="AW194" s="29"/>
      <c r="AX194" s="29"/>
      <c r="AY194" s="29"/>
      <c r="AZ194" s="29"/>
      <c r="BA194" s="29"/>
      <c r="BB194" s="29"/>
      <c r="BC194" s="29"/>
      <c r="BD194" s="29"/>
      <c r="BE194" s="29"/>
      <c r="BF194" s="29"/>
      <c r="BG194" s="29"/>
      <c r="BH194" s="29"/>
      <c r="BI194" s="29"/>
      <c r="BJ194" s="29"/>
      <c r="BK194" s="29"/>
      <c r="BL194" s="29"/>
      <c r="BM194" s="29"/>
      <c r="BN194" s="29"/>
      <c r="BO194" s="29"/>
      <c r="BP194" s="29"/>
    </row>
    <row r="195" spans="3:68" ht="10.35" hidden="1" customHeight="1" outlineLevel="1" x14ac:dyDescent="0.2">
      <c r="C195" s="80"/>
      <c r="D195" s="80"/>
      <c r="E195" s="80"/>
      <c r="F195" s="10" t="s">
        <v>96</v>
      </c>
      <c r="G195" s="80"/>
      <c r="H195" s="80"/>
      <c r="I195" s="80"/>
      <c r="J195" s="80"/>
      <c r="K195" s="80"/>
      <c r="L195" s="412"/>
      <c r="M195" s="413"/>
      <c r="N195" s="80"/>
      <c r="O195" s="80"/>
      <c r="P195" s="80"/>
      <c r="Q195" s="80"/>
      <c r="R195" s="24" t="str">
        <f>"FY"&amp;RIGHT(Assumptions!$L$19+R68,2)</f>
        <v>FY22</v>
      </c>
      <c r="S195" s="24" t="str">
        <f>"FY"&amp;RIGHT(Assumptions!$L$19+S68,2)</f>
        <v>FY23</v>
      </c>
      <c r="T195" s="24" t="str">
        <f>"FY"&amp;RIGHT(Assumptions!$L$19+T68,2)</f>
        <v>FY24</v>
      </c>
      <c r="U195" s="24" t="str">
        <f>"FY"&amp;RIGHT(Assumptions!$L$19+U68,2)</f>
        <v>FY25</v>
      </c>
      <c r="V195" s="24" t="str">
        <f>"FY"&amp;RIGHT(Assumptions!$L$19+V68,2)</f>
        <v>FY26</v>
      </c>
      <c r="W195" s="24" t="str">
        <f>"FY"&amp;RIGHT(Assumptions!$L$19+W68,2)</f>
        <v>FY27</v>
      </c>
      <c r="X195" s="24" t="str">
        <f>"FY"&amp;RIGHT(Assumptions!$L$19+X68,2)</f>
        <v>FY28</v>
      </c>
      <c r="Y195" s="24" t="str">
        <f>"FY"&amp;RIGHT(Assumptions!$L$19+Y68,2)</f>
        <v>FY29</v>
      </c>
      <c r="Z195" s="24" t="str">
        <f>"FY"&amp;RIGHT(Assumptions!$L$19+Z68,2)</f>
        <v>FY30</v>
      </c>
      <c r="AA195" s="24" t="str">
        <f>"FY"&amp;RIGHT(Assumptions!$L$19+AA68,2)</f>
        <v>FY31</v>
      </c>
      <c r="AB195" s="24" t="str">
        <f>"FY"&amp;RIGHT(Assumptions!$L$19+AB68,2)</f>
        <v>FY32</v>
      </c>
      <c r="AC195" s="24" t="str">
        <f>"FY"&amp;RIGHT(Assumptions!$L$19+AC68,2)</f>
        <v>FY33</v>
      </c>
      <c r="AD195" s="24" t="str">
        <f>"FY"&amp;RIGHT(Assumptions!$L$19+AD68,2)</f>
        <v>FY34</v>
      </c>
      <c r="AE195" s="24" t="str">
        <f>"FY"&amp;RIGHT(Assumptions!$L$19+AE68,2)</f>
        <v>FY35</v>
      </c>
      <c r="AF195" s="24" t="str">
        <f>"FY"&amp;RIGHT(Assumptions!$L$19+AF68,2)</f>
        <v>FY36</v>
      </c>
      <c r="AG195" s="24" t="str">
        <f>"FY"&amp;RIGHT(Assumptions!$L$19+AG68,2)</f>
        <v>FY37</v>
      </c>
      <c r="AH195" s="24" t="str">
        <f>"FY"&amp;RIGHT(Assumptions!$L$19+AH68,2)</f>
        <v>FY38</v>
      </c>
      <c r="AI195" s="24" t="str">
        <f>"FY"&amp;RIGHT(Assumptions!$L$19+AI68,2)</f>
        <v>FY39</v>
      </c>
      <c r="AJ195" s="24" t="str">
        <f>"FY"&amp;RIGHT(Assumptions!$L$19+AJ68,2)</f>
        <v>FY40</v>
      </c>
      <c r="AK195" s="24" t="str">
        <f>"FY"&amp;RIGHT(Assumptions!$L$19+AK68,2)</f>
        <v>FY41</v>
      </c>
      <c r="AL195" s="24" t="str">
        <f>"FY"&amp;RIGHT(Assumptions!$L$19+AL68,2)</f>
        <v>FY42</v>
      </c>
      <c r="AM195" s="24" t="str">
        <f>"FY"&amp;RIGHT(Assumptions!$L$19+AM68,2)</f>
        <v>FY43</v>
      </c>
      <c r="AN195" s="24" t="str">
        <f>"FY"&amp;RIGHT(Assumptions!$L$19+AN68,2)</f>
        <v>FY44</v>
      </c>
      <c r="AO195" s="24" t="str">
        <f>"FY"&amp;RIGHT(Assumptions!$L$19+AO68,2)</f>
        <v>FY45</v>
      </c>
      <c r="AP195" s="24" t="str">
        <f>"FY"&amp;RIGHT(Assumptions!$L$19+AP68,2)</f>
        <v>FY46</v>
      </c>
      <c r="AQ195" s="24" t="str">
        <f>"FY"&amp;RIGHT(Assumptions!$L$19+AQ68,2)</f>
        <v>FY47</v>
      </c>
      <c r="AR195" s="24" t="str">
        <f>"FY"&amp;RIGHT(Assumptions!$L$19+AR68,2)</f>
        <v>FY48</v>
      </c>
      <c r="AS195" s="24" t="str">
        <f>"FY"&amp;RIGHT(Assumptions!$L$19+AS68,2)</f>
        <v>FY49</v>
      </c>
      <c r="AT195" s="24" t="str">
        <f>"FY"&amp;RIGHT(Assumptions!$L$19+AT68,2)</f>
        <v>FY50</v>
      </c>
      <c r="AU195" s="24" t="str">
        <f>"FY"&amp;RIGHT(Assumptions!$L$19+AU68,2)</f>
        <v>FY51</v>
      </c>
      <c r="AV195" s="24" t="str">
        <f>"FY"&amp;RIGHT(Assumptions!$L$19+AV68,2)</f>
        <v>FY52</v>
      </c>
      <c r="AW195" s="24" t="str">
        <f>"FY"&amp;RIGHT(Assumptions!$L$19+AW68,2)</f>
        <v>FY53</v>
      </c>
      <c r="AX195" s="24" t="str">
        <f>"FY"&amp;RIGHT(Assumptions!$L$19+AX68,2)</f>
        <v>FY54</v>
      </c>
      <c r="AY195" s="24" t="str">
        <f>"FY"&amp;RIGHT(Assumptions!$L$19+AY68,2)</f>
        <v>FY55</v>
      </c>
      <c r="AZ195" s="24" t="str">
        <f>"FY"&amp;RIGHT(Assumptions!$L$19+AZ68,2)</f>
        <v>FY56</v>
      </c>
      <c r="BA195" s="24" t="str">
        <f>"FY"&amp;RIGHT(Assumptions!$L$19+BA68,2)</f>
        <v>FY57</v>
      </c>
      <c r="BB195" s="24" t="str">
        <f>"FY"&amp;RIGHT(Assumptions!$L$19+BB68,2)</f>
        <v>FY58</v>
      </c>
      <c r="BC195" s="24" t="str">
        <f>"FY"&amp;RIGHT(Assumptions!$L$19+BC68,2)</f>
        <v>FY59</v>
      </c>
      <c r="BD195" s="24" t="str">
        <f>"FY"&amp;RIGHT(Assumptions!$L$19+BD68,2)</f>
        <v>FY60</v>
      </c>
      <c r="BE195" s="24" t="str">
        <f>"FY"&amp;RIGHT(Assumptions!$L$19+BE68,2)</f>
        <v>FY61</v>
      </c>
      <c r="BF195" s="24" t="str">
        <f>"FY"&amp;RIGHT(Assumptions!$L$19+BF68,2)</f>
        <v>FY62</v>
      </c>
      <c r="BG195" s="24" t="str">
        <f>"FY"&amp;RIGHT(Assumptions!$L$19+BG68,2)</f>
        <v>FY63</v>
      </c>
      <c r="BH195" s="24" t="str">
        <f>"FY"&amp;RIGHT(Assumptions!$L$19+BH68,2)</f>
        <v>FY64</v>
      </c>
      <c r="BI195" s="24" t="str">
        <f>"FY"&amp;RIGHT(Assumptions!$L$19+BI68,2)</f>
        <v>FY65</v>
      </c>
      <c r="BJ195" s="24" t="str">
        <f>"FY"&amp;RIGHT(Assumptions!$L$19+BJ68,2)</f>
        <v>FY66</v>
      </c>
      <c r="BK195" s="24" t="str">
        <f>"FY"&amp;RIGHT(Assumptions!$L$19+BK68,2)</f>
        <v>FY67</v>
      </c>
      <c r="BL195" s="24" t="str">
        <f>"FY"&amp;RIGHT(Assumptions!$L$19+BL68,2)</f>
        <v>FY68</v>
      </c>
      <c r="BM195" s="24" t="str">
        <f>"FY"&amp;RIGHT(Assumptions!$L$19+BM68,2)</f>
        <v>FY69</v>
      </c>
      <c r="BN195" s="24" t="str">
        <f>"FY"&amp;RIGHT(Assumptions!$L$19+BN68,2)</f>
        <v>FY70</v>
      </c>
      <c r="BO195" s="24" t="str">
        <f>"FY"&amp;RIGHT(Assumptions!$L$19+BO68,2)</f>
        <v>FY71</v>
      </c>
      <c r="BP195" s="24" t="str">
        <f>"FY"&amp;RIGHT(Assumptions!$L$19+BP68,2)</f>
        <v>FY72</v>
      </c>
    </row>
    <row r="196" spans="3:68" ht="10.35" hidden="1" customHeight="1" outlineLevel="1" x14ac:dyDescent="0.2">
      <c r="C196" s="80"/>
      <c r="D196" s="80"/>
      <c r="E196" s="80"/>
      <c r="F196" s="27"/>
      <c r="G196" s="80"/>
      <c r="H196" s="80"/>
      <c r="I196" s="80"/>
      <c r="J196" s="80"/>
      <c r="K196" s="80"/>
      <c r="L196" s="412"/>
      <c r="M196" s="413"/>
      <c r="N196" s="80"/>
      <c r="O196" s="80"/>
      <c r="P196" s="80"/>
      <c r="Q196" s="80"/>
      <c r="R196" s="23"/>
      <c r="S196" s="23"/>
      <c r="T196" s="23"/>
      <c r="U196" s="23"/>
      <c r="V196" s="23"/>
      <c r="W196" s="23"/>
      <c r="X196" s="23"/>
      <c r="Y196" s="23"/>
      <c r="Z196" s="23"/>
      <c r="AA196" s="23"/>
      <c r="AB196" s="23"/>
      <c r="AC196" s="23"/>
      <c r="AD196" s="23"/>
      <c r="AE196" s="23"/>
      <c r="AF196" s="23"/>
      <c r="AG196" s="23"/>
      <c r="AH196" s="23"/>
      <c r="AI196" s="23"/>
      <c r="AJ196" s="23"/>
      <c r="AK196" s="23"/>
      <c r="AL196" s="23"/>
      <c r="AM196" s="23"/>
      <c r="AN196" s="23"/>
      <c r="AO196" s="23"/>
      <c r="AP196" s="23"/>
      <c r="AQ196" s="23"/>
      <c r="AR196" s="23"/>
      <c r="AS196" s="23"/>
      <c r="AT196" s="23"/>
      <c r="AU196" s="23"/>
      <c r="AV196" s="23"/>
      <c r="AW196" s="23"/>
      <c r="AX196" s="23"/>
      <c r="AY196" s="23"/>
      <c r="AZ196" s="23"/>
      <c r="BA196" s="23"/>
      <c r="BB196" s="23"/>
      <c r="BC196" s="23"/>
      <c r="BD196" s="23"/>
      <c r="BE196" s="23"/>
      <c r="BF196" s="23"/>
      <c r="BG196" s="23"/>
      <c r="BH196" s="23"/>
      <c r="BI196" s="23"/>
      <c r="BJ196" s="23"/>
      <c r="BK196" s="23"/>
      <c r="BL196" s="23"/>
      <c r="BM196" s="23"/>
      <c r="BN196" s="23"/>
      <c r="BO196" s="23"/>
      <c r="BP196" s="23"/>
    </row>
    <row r="197" spans="3:68" ht="10.35" hidden="1" customHeight="1" outlineLevel="1" x14ac:dyDescent="0.2">
      <c r="C197" s="80"/>
      <c r="D197" s="80" t="s">
        <v>130</v>
      </c>
      <c r="E197" s="80"/>
      <c r="F197" s="514" t="s">
        <v>131</v>
      </c>
      <c r="G197" s="514"/>
      <c r="H197" s="514"/>
      <c r="I197" s="514"/>
      <c r="J197" s="514"/>
      <c r="K197" s="80"/>
      <c r="L197" s="412"/>
      <c r="M197" s="413"/>
      <c r="N197" s="80"/>
      <c r="O197" s="80"/>
      <c r="P197" s="80"/>
      <c r="Q197" s="80"/>
      <c r="R197" s="317">
        <v>0</v>
      </c>
      <c r="S197" s="317">
        <v>0</v>
      </c>
      <c r="T197" s="317">
        <v>0</v>
      </c>
      <c r="U197" s="317">
        <v>0</v>
      </c>
      <c r="V197" s="317">
        <v>0</v>
      </c>
      <c r="W197" s="317">
        <v>0</v>
      </c>
      <c r="X197" s="317">
        <v>0</v>
      </c>
      <c r="Y197" s="317">
        <v>0</v>
      </c>
      <c r="Z197" s="317">
        <v>0</v>
      </c>
      <c r="AA197" s="317">
        <v>0</v>
      </c>
      <c r="AB197" s="317">
        <v>0</v>
      </c>
      <c r="AC197" s="317">
        <v>0</v>
      </c>
      <c r="AD197" s="317">
        <v>0</v>
      </c>
      <c r="AE197" s="317">
        <v>0</v>
      </c>
      <c r="AF197" s="317">
        <v>0</v>
      </c>
      <c r="AG197" s="317">
        <v>0</v>
      </c>
      <c r="AH197" s="317">
        <v>0</v>
      </c>
      <c r="AI197" s="317">
        <v>0</v>
      </c>
      <c r="AJ197" s="317">
        <v>0</v>
      </c>
      <c r="AK197" s="317">
        <v>0</v>
      </c>
      <c r="AL197" s="317">
        <v>0</v>
      </c>
      <c r="AM197" s="317">
        <v>0</v>
      </c>
      <c r="AN197" s="317">
        <v>0</v>
      </c>
      <c r="AO197" s="317">
        <v>0</v>
      </c>
      <c r="AP197" s="317">
        <v>0</v>
      </c>
      <c r="AQ197" s="317">
        <v>0</v>
      </c>
      <c r="AR197" s="317">
        <v>0</v>
      </c>
      <c r="AS197" s="317">
        <v>0</v>
      </c>
      <c r="AT197" s="317">
        <v>0</v>
      </c>
      <c r="AU197" s="317">
        <v>0</v>
      </c>
      <c r="AV197" s="317">
        <v>0</v>
      </c>
      <c r="AW197" s="317">
        <v>0</v>
      </c>
      <c r="AX197" s="317">
        <v>0</v>
      </c>
      <c r="AY197" s="317">
        <v>0</v>
      </c>
      <c r="AZ197" s="317">
        <v>0</v>
      </c>
      <c r="BA197" s="317">
        <v>0</v>
      </c>
      <c r="BB197" s="317">
        <v>0</v>
      </c>
      <c r="BC197" s="317">
        <v>0</v>
      </c>
      <c r="BD197" s="317">
        <v>0</v>
      </c>
      <c r="BE197" s="317">
        <v>0</v>
      </c>
      <c r="BF197" s="317">
        <v>0</v>
      </c>
      <c r="BG197" s="317">
        <v>0</v>
      </c>
      <c r="BH197" s="317">
        <v>0</v>
      </c>
      <c r="BI197" s="317">
        <v>0</v>
      </c>
      <c r="BJ197" s="317">
        <v>0</v>
      </c>
      <c r="BK197" s="317">
        <v>0</v>
      </c>
      <c r="BL197" s="317">
        <v>0</v>
      </c>
      <c r="BM197" s="317">
        <v>0</v>
      </c>
      <c r="BN197" s="317">
        <v>0</v>
      </c>
      <c r="BO197" s="317">
        <v>0</v>
      </c>
      <c r="BP197" s="317">
        <v>0</v>
      </c>
    </row>
    <row r="198" spans="3:68" ht="10.35" hidden="1" customHeight="1" outlineLevel="1" x14ac:dyDescent="0.2">
      <c r="C198" s="80"/>
      <c r="D198" s="80"/>
      <c r="E198" s="80"/>
      <c r="F198" s="80"/>
      <c r="G198" s="80"/>
      <c r="H198" s="80"/>
      <c r="I198" s="80"/>
      <c r="J198" s="80"/>
      <c r="K198" s="80"/>
      <c r="L198" s="412"/>
      <c r="M198" s="413"/>
      <c r="N198" s="80"/>
      <c r="O198" s="80"/>
      <c r="P198" s="80"/>
      <c r="Q198" s="80"/>
      <c r="R198" s="29"/>
      <c r="S198" s="29"/>
      <c r="T198" s="29"/>
      <c r="U198" s="29"/>
      <c r="V198" s="29"/>
      <c r="W198" s="29"/>
      <c r="X198" s="29"/>
      <c r="Y198" s="29"/>
      <c r="Z198" s="29"/>
      <c r="AA198" s="29"/>
      <c r="AB198" s="29"/>
      <c r="AC198" s="29"/>
      <c r="AD198" s="29"/>
      <c r="AE198" s="29"/>
      <c r="AF198" s="29"/>
      <c r="AG198" s="29"/>
      <c r="AH198" s="29"/>
      <c r="AI198" s="29"/>
      <c r="AJ198" s="29"/>
      <c r="AK198" s="29"/>
      <c r="AL198" s="29"/>
      <c r="AM198" s="29"/>
      <c r="AN198" s="29"/>
      <c r="AO198" s="29"/>
      <c r="AP198" s="29"/>
      <c r="AQ198" s="29"/>
      <c r="AR198" s="29"/>
      <c r="AS198" s="29"/>
      <c r="AT198" s="29"/>
      <c r="AU198" s="29"/>
      <c r="AV198" s="29"/>
      <c r="AW198" s="29"/>
      <c r="AX198" s="29"/>
      <c r="AY198" s="29"/>
      <c r="AZ198" s="29"/>
      <c r="BA198" s="29"/>
      <c r="BB198" s="29"/>
      <c r="BC198" s="29"/>
      <c r="BD198" s="29"/>
      <c r="BE198" s="29"/>
      <c r="BF198" s="29"/>
      <c r="BG198" s="29"/>
      <c r="BH198" s="29"/>
      <c r="BI198" s="29"/>
      <c r="BJ198" s="29"/>
      <c r="BK198" s="29"/>
      <c r="BL198" s="29"/>
      <c r="BM198" s="29"/>
      <c r="BN198" s="29"/>
      <c r="BO198" s="29"/>
      <c r="BP198" s="29"/>
    </row>
    <row r="199" spans="3:68" ht="10.35" hidden="1" customHeight="1" outlineLevel="1" x14ac:dyDescent="0.2">
      <c r="C199" s="80"/>
      <c r="D199" s="414" t="s">
        <v>98</v>
      </c>
      <c r="E199" s="80"/>
      <c r="F199" s="511"/>
      <c r="G199" s="511"/>
      <c r="H199" s="511"/>
      <c r="I199" s="511"/>
      <c r="J199" s="511"/>
      <c r="K199" s="80"/>
      <c r="L199" s="412"/>
      <c r="M199" s="413"/>
      <c r="N199" s="80"/>
      <c r="O199" s="80"/>
      <c r="P199" s="80"/>
      <c r="Q199" s="80"/>
      <c r="R199" s="28"/>
      <c r="S199" s="28"/>
      <c r="T199" s="28"/>
      <c r="U199" s="28"/>
      <c r="V199" s="28"/>
      <c r="W199" s="28"/>
      <c r="X199" s="28"/>
      <c r="Y199" s="28"/>
      <c r="Z199" s="28"/>
      <c r="AA199" s="28"/>
      <c r="AB199" s="28"/>
      <c r="AC199" s="28"/>
      <c r="AD199" s="28"/>
      <c r="AE199" s="28"/>
      <c r="AF199" s="28"/>
      <c r="AG199" s="28"/>
      <c r="AH199" s="28"/>
      <c r="AI199" s="28"/>
      <c r="AJ199" s="28"/>
      <c r="AK199" s="28"/>
      <c r="AL199" s="28"/>
      <c r="AM199" s="28"/>
      <c r="AN199" s="28"/>
      <c r="AO199" s="28"/>
      <c r="AP199" s="28"/>
      <c r="AQ199" s="28"/>
      <c r="AR199" s="28"/>
      <c r="AS199" s="28"/>
      <c r="AT199" s="28"/>
      <c r="AU199" s="28"/>
      <c r="AV199" s="28"/>
      <c r="AW199" s="28"/>
      <c r="AX199" s="28"/>
      <c r="AY199" s="28"/>
      <c r="AZ199" s="28"/>
      <c r="BA199" s="28"/>
      <c r="BB199" s="28"/>
      <c r="BC199" s="28"/>
      <c r="BD199" s="28"/>
      <c r="BE199" s="28"/>
      <c r="BF199" s="28"/>
      <c r="BG199" s="28"/>
      <c r="BH199" s="28"/>
      <c r="BI199" s="28"/>
      <c r="BJ199" s="28"/>
      <c r="BK199" s="28"/>
      <c r="BL199" s="28"/>
      <c r="BM199" s="28"/>
      <c r="BN199" s="28"/>
      <c r="BO199" s="28"/>
      <c r="BP199" s="28"/>
    </row>
    <row r="200" spans="3:68" ht="10.35" hidden="1" customHeight="1" outlineLevel="1" x14ac:dyDescent="0.2">
      <c r="C200" s="80"/>
      <c r="D200" s="414" t="s">
        <v>132</v>
      </c>
      <c r="E200" s="80"/>
      <c r="F200" s="511"/>
      <c r="G200" s="511"/>
      <c r="H200" s="511"/>
      <c r="I200" s="511"/>
      <c r="J200" s="511"/>
      <c r="K200" s="80"/>
      <c r="L200" s="412"/>
      <c r="M200" s="413"/>
      <c r="N200" s="80"/>
      <c r="O200" s="80"/>
      <c r="P200" s="80"/>
      <c r="Q200" s="80"/>
      <c r="R200" s="28"/>
      <c r="S200" s="28"/>
      <c r="T200" s="28"/>
      <c r="U200" s="28"/>
      <c r="V200" s="28"/>
      <c r="W200" s="28"/>
      <c r="X200" s="28"/>
      <c r="Y200" s="28"/>
      <c r="Z200" s="28"/>
      <c r="AA200" s="28"/>
      <c r="AB200" s="28"/>
      <c r="AC200" s="28"/>
      <c r="AD200" s="28"/>
      <c r="AE200" s="28"/>
      <c r="AF200" s="28"/>
      <c r="AG200" s="28"/>
      <c r="AH200" s="28"/>
      <c r="AI200" s="28"/>
      <c r="AJ200" s="28"/>
      <c r="AK200" s="28"/>
      <c r="AL200" s="28"/>
      <c r="AM200" s="28"/>
      <c r="AN200" s="28"/>
      <c r="AO200" s="28"/>
      <c r="AP200" s="28"/>
      <c r="AQ200" s="28"/>
      <c r="AR200" s="28"/>
      <c r="AS200" s="28"/>
      <c r="AT200" s="28"/>
      <c r="AU200" s="28"/>
      <c r="AV200" s="28"/>
      <c r="AW200" s="28"/>
      <c r="AX200" s="28"/>
      <c r="AY200" s="28"/>
      <c r="AZ200" s="28"/>
      <c r="BA200" s="28"/>
      <c r="BB200" s="28"/>
      <c r="BC200" s="28"/>
      <c r="BD200" s="28"/>
      <c r="BE200" s="28"/>
      <c r="BF200" s="28"/>
      <c r="BG200" s="28"/>
      <c r="BH200" s="28"/>
      <c r="BI200" s="28"/>
      <c r="BJ200" s="28"/>
      <c r="BK200" s="28"/>
      <c r="BL200" s="28"/>
      <c r="BM200" s="28"/>
      <c r="BN200" s="28"/>
      <c r="BO200" s="28"/>
      <c r="BP200" s="28"/>
    </row>
    <row r="201" spans="3:68" ht="10.35" hidden="1" customHeight="1" outlineLevel="1" x14ac:dyDescent="0.2">
      <c r="C201" s="80"/>
      <c r="D201" s="141" t="s">
        <v>133</v>
      </c>
      <c r="E201" s="80"/>
      <c r="F201" s="512" t="s">
        <v>104</v>
      </c>
      <c r="G201" s="512"/>
      <c r="H201" s="512"/>
      <c r="I201" s="512"/>
      <c r="J201" s="512"/>
      <c r="K201" s="80"/>
      <c r="L201" s="412"/>
      <c r="M201" s="413"/>
      <c r="N201" s="80"/>
      <c r="O201" s="80"/>
      <c r="P201" s="80"/>
      <c r="Q201" s="80"/>
      <c r="R201" s="28">
        <f>QuickCalc!E28</f>
        <v>0</v>
      </c>
      <c r="S201" s="28">
        <f>QuickCalc!F28</f>
        <v>0</v>
      </c>
      <c r="T201" s="28">
        <f>QuickCalc!G28</f>
        <v>0</v>
      </c>
      <c r="U201" s="28">
        <f>QuickCalc!H28</f>
        <v>984614.10454988095</v>
      </c>
      <c r="V201" s="28">
        <f>QuickCalc!I28</f>
        <v>999022.85284218902</v>
      </c>
      <c r="W201" s="28">
        <f>QuickCalc!J28</f>
        <v>1005767.09087051</v>
      </c>
      <c r="X201" s="28">
        <f>QuickCalc!K28</f>
        <v>1006463.54237789</v>
      </c>
      <c r="Y201" s="28">
        <f>QuickCalc!L28</f>
        <v>1008165.42569475</v>
      </c>
      <c r="Z201" s="28">
        <f>QuickCalc!M28</f>
        <v>1824998.8527189</v>
      </c>
      <c r="AA201" s="28">
        <f>QuickCalc!N28</f>
        <v>0</v>
      </c>
      <c r="AB201" s="28">
        <f>QuickCalc!O28</f>
        <v>0</v>
      </c>
      <c r="AC201" s="28">
        <f>QuickCalc!P28</f>
        <v>0</v>
      </c>
      <c r="AD201" s="28">
        <f>QuickCalc!Q28</f>
        <v>0</v>
      </c>
      <c r="AE201" s="28">
        <f>QuickCalc!R28</f>
        <v>0</v>
      </c>
      <c r="AF201" s="28">
        <f>QuickCalc!S28</f>
        <v>0</v>
      </c>
      <c r="AG201" s="28">
        <f>QuickCalc!T28</f>
        <v>0</v>
      </c>
      <c r="AH201" s="28">
        <f>QuickCalc!U28</f>
        <v>0</v>
      </c>
      <c r="AI201" s="28">
        <f>QuickCalc!V28</f>
        <v>0</v>
      </c>
      <c r="AJ201" s="28">
        <f>QuickCalc!W28</f>
        <v>0</v>
      </c>
      <c r="AK201" s="28">
        <f>QuickCalc!X28</f>
        <v>0</v>
      </c>
      <c r="AL201" s="28">
        <f>QuickCalc!Y28</f>
        <v>0</v>
      </c>
      <c r="AM201" s="28">
        <f>QuickCalc!Z28</f>
        <v>0</v>
      </c>
      <c r="AN201" s="28">
        <f>QuickCalc!AA28</f>
        <v>0</v>
      </c>
      <c r="AO201" s="28">
        <f>QuickCalc!AB28</f>
        <v>0</v>
      </c>
      <c r="AP201" s="28">
        <f>QuickCalc!AC28</f>
        <v>0</v>
      </c>
      <c r="AQ201" s="28">
        <f>QuickCalc!AD28</f>
        <v>0</v>
      </c>
      <c r="AR201" s="28">
        <f>QuickCalc!AE28</f>
        <v>0</v>
      </c>
      <c r="AS201" s="28">
        <f>QuickCalc!AF28</f>
        <v>0</v>
      </c>
      <c r="AT201" s="28">
        <f>QuickCalc!AG28</f>
        <v>0</v>
      </c>
      <c r="AU201" s="28">
        <f>QuickCalc!AH28</f>
        <v>0</v>
      </c>
      <c r="AV201" s="28">
        <f>QuickCalc!AI28</f>
        <v>0</v>
      </c>
      <c r="AW201" s="28">
        <f>QuickCalc!AJ28</f>
        <v>0</v>
      </c>
      <c r="AX201" s="28">
        <f>QuickCalc!AK28</f>
        <v>0</v>
      </c>
      <c r="AY201" s="28">
        <f>QuickCalc!AL28</f>
        <v>0</v>
      </c>
      <c r="AZ201" s="28">
        <f>QuickCalc!AM28</f>
        <v>0</v>
      </c>
      <c r="BA201" s="28">
        <f>QuickCalc!AN28</f>
        <v>0</v>
      </c>
      <c r="BB201" s="28">
        <f>QuickCalc!AO28</f>
        <v>0</v>
      </c>
      <c r="BC201" s="28">
        <f>QuickCalc!AP28</f>
        <v>0</v>
      </c>
      <c r="BD201" s="28">
        <f>QuickCalc!AQ28</f>
        <v>0</v>
      </c>
      <c r="BE201" s="28">
        <f>QuickCalc!AR28</f>
        <v>0</v>
      </c>
      <c r="BF201" s="28">
        <f>QuickCalc!AS28</f>
        <v>0</v>
      </c>
      <c r="BG201" s="28">
        <f>QuickCalc!AT28</f>
        <v>0</v>
      </c>
      <c r="BH201" s="28">
        <f>QuickCalc!AU28</f>
        <v>0</v>
      </c>
      <c r="BI201" s="28">
        <f>QuickCalc!AV28</f>
        <v>0</v>
      </c>
      <c r="BJ201" s="28">
        <f>QuickCalc!AW28</f>
        <v>0</v>
      </c>
      <c r="BK201" s="28">
        <f>QuickCalc!AX28</f>
        <v>0</v>
      </c>
      <c r="BL201" s="28">
        <f>QuickCalc!AY28</f>
        <v>0</v>
      </c>
      <c r="BM201" s="28">
        <f>QuickCalc!AZ28</f>
        <v>0</v>
      </c>
      <c r="BN201" s="28">
        <f>QuickCalc!BA28</f>
        <v>0</v>
      </c>
      <c r="BO201" s="28">
        <f>QuickCalc!BB28</f>
        <v>0</v>
      </c>
      <c r="BP201" s="28">
        <f>QuickCalc!BC28</f>
        <v>0</v>
      </c>
    </row>
    <row r="202" spans="3:68" ht="10.35" hidden="1" customHeight="1" outlineLevel="1" x14ac:dyDescent="0.2">
      <c r="C202" s="80"/>
      <c r="D202" s="80"/>
      <c r="E202" s="80"/>
      <c r="F202" s="80"/>
      <c r="G202" s="80"/>
      <c r="H202" s="80"/>
      <c r="I202" s="80"/>
      <c r="J202" s="80"/>
      <c r="K202" s="80"/>
      <c r="L202" s="412"/>
      <c r="M202" s="413"/>
      <c r="N202" s="80"/>
      <c r="O202" s="80"/>
      <c r="P202" s="80"/>
      <c r="Q202" s="80"/>
      <c r="R202" s="29"/>
      <c r="S202" s="29"/>
      <c r="T202" s="29"/>
      <c r="U202" s="29"/>
      <c r="V202" s="29"/>
      <c r="W202" s="29"/>
      <c r="X202" s="29"/>
      <c r="Y202" s="29"/>
      <c r="Z202" s="29"/>
      <c r="AA202" s="29"/>
      <c r="AB202" s="29"/>
      <c r="AC202" s="29"/>
      <c r="AD202" s="29"/>
      <c r="AE202" s="29"/>
      <c r="AF202" s="29"/>
      <c r="AG202" s="29"/>
      <c r="AH202" s="29"/>
      <c r="AI202" s="29"/>
      <c r="AJ202" s="29"/>
      <c r="AK202" s="29"/>
      <c r="AL202" s="29"/>
      <c r="AM202" s="29"/>
      <c r="AN202" s="29"/>
      <c r="AO202" s="29"/>
      <c r="AP202" s="29"/>
      <c r="AQ202" s="29"/>
      <c r="AR202" s="29"/>
      <c r="AS202" s="29"/>
      <c r="AT202" s="29"/>
      <c r="AU202" s="29"/>
      <c r="AV202" s="29"/>
      <c r="AW202" s="29"/>
      <c r="AX202" s="29"/>
      <c r="AY202" s="29"/>
      <c r="AZ202" s="29"/>
      <c r="BA202" s="29"/>
      <c r="BB202" s="29"/>
      <c r="BC202" s="29"/>
      <c r="BD202" s="29"/>
      <c r="BE202" s="29"/>
      <c r="BF202" s="29"/>
      <c r="BG202" s="29"/>
      <c r="BH202" s="29"/>
      <c r="BI202" s="29"/>
      <c r="BJ202" s="29"/>
      <c r="BK202" s="29"/>
      <c r="BL202" s="29"/>
      <c r="BM202" s="29"/>
      <c r="BN202" s="29"/>
      <c r="BO202" s="29"/>
      <c r="BP202" s="29"/>
    </row>
    <row r="203" spans="3:68" s="18" customFormat="1" ht="10.35" customHeight="1" collapsed="1" x14ac:dyDescent="0.2">
      <c r="C203" s="19" t="s">
        <v>33</v>
      </c>
      <c r="D203" s="426"/>
      <c r="E203" s="38"/>
      <c r="F203" s="426"/>
      <c r="G203" s="426"/>
      <c r="H203" s="426"/>
      <c r="I203" s="426"/>
      <c r="J203" s="426"/>
      <c r="K203" s="426"/>
      <c r="L203" s="428"/>
      <c r="M203" s="429"/>
      <c r="N203" s="426"/>
      <c r="O203" s="426"/>
      <c r="P203" s="426"/>
      <c r="Q203" s="426"/>
      <c r="R203" s="30"/>
      <c r="S203" s="30"/>
      <c r="T203" s="30"/>
      <c r="U203" s="30"/>
      <c r="V203" s="30"/>
      <c r="W203" s="30"/>
      <c r="X203" s="30"/>
      <c r="Y203" s="30"/>
      <c r="Z203" s="30"/>
      <c r="AA203" s="30"/>
      <c r="AB203" s="30"/>
      <c r="AC203" s="30"/>
      <c r="AD203" s="30"/>
      <c r="AE203" s="30"/>
      <c r="AF203" s="30"/>
      <c r="AG203" s="30"/>
      <c r="AH203" s="30"/>
      <c r="AI203" s="30"/>
      <c r="AJ203" s="30"/>
      <c r="AK203" s="30"/>
      <c r="AL203" s="30"/>
      <c r="AM203" s="30"/>
      <c r="AN203" s="30"/>
      <c r="AO203" s="30"/>
      <c r="AP203" s="30"/>
      <c r="AQ203" s="30"/>
      <c r="AR203" s="30"/>
      <c r="AS203" s="30"/>
      <c r="AT203" s="30"/>
      <c r="AU203" s="30"/>
      <c r="AV203" s="30"/>
      <c r="AW203" s="30"/>
      <c r="AX203" s="30"/>
      <c r="AY203" s="30"/>
      <c r="AZ203" s="30"/>
      <c r="BA203" s="30"/>
      <c r="BB203" s="30"/>
      <c r="BC203" s="30"/>
      <c r="BD203" s="30"/>
      <c r="BE203" s="30"/>
      <c r="BF203" s="30"/>
      <c r="BG203" s="30"/>
      <c r="BH203" s="30"/>
      <c r="BI203" s="30"/>
      <c r="BJ203" s="30"/>
      <c r="BK203" s="30"/>
      <c r="BL203" s="30"/>
      <c r="BM203" s="30"/>
      <c r="BN203" s="30"/>
      <c r="BO203" s="30"/>
      <c r="BP203" s="30"/>
    </row>
    <row r="204" spans="3:68" ht="10.35" hidden="1" customHeight="1" outlineLevel="1" x14ac:dyDescent="0.2">
      <c r="C204" s="80"/>
      <c r="D204" s="80"/>
      <c r="E204" s="80"/>
      <c r="F204" s="80"/>
      <c r="G204" s="80"/>
      <c r="H204" s="80"/>
      <c r="I204" s="80"/>
      <c r="J204" s="80"/>
      <c r="K204" s="80"/>
      <c r="L204" s="412"/>
      <c r="M204" s="413"/>
      <c r="N204" s="80"/>
      <c r="O204" s="80"/>
      <c r="P204" s="80"/>
      <c r="Q204" s="80"/>
      <c r="R204" s="29"/>
      <c r="S204" s="29"/>
      <c r="T204" s="29"/>
      <c r="U204" s="29"/>
      <c r="V204" s="29"/>
      <c r="W204" s="29"/>
      <c r="X204" s="29"/>
      <c r="Y204" s="29"/>
      <c r="Z204" s="29"/>
      <c r="AA204" s="29"/>
      <c r="AB204" s="29"/>
      <c r="AC204" s="29"/>
      <c r="AD204" s="29"/>
      <c r="AE204" s="29"/>
      <c r="AF204" s="29"/>
      <c r="AG204" s="29"/>
      <c r="AH204" s="29"/>
      <c r="AI204" s="29"/>
      <c r="AJ204" s="29"/>
      <c r="AK204" s="29"/>
      <c r="AL204" s="29"/>
      <c r="AM204" s="29"/>
      <c r="AN204" s="29"/>
      <c r="AO204" s="29"/>
      <c r="AP204" s="29"/>
      <c r="AQ204" s="29"/>
      <c r="AR204" s="29"/>
      <c r="AS204" s="29"/>
      <c r="AT204" s="29"/>
      <c r="AU204" s="29"/>
      <c r="AV204" s="29"/>
      <c r="AW204" s="29"/>
      <c r="AX204" s="29"/>
      <c r="AY204" s="29"/>
      <c r="AZ204" s="29"/>
      <c r="BA204" s="29"/>
      <c r="BB204" s="29"/>
      <c r="BC204" s="29"/>
      <c r="BD204" s="29"/>
      <c r="BE204" s="29"/>
      <c r="BF204" s="29"/>
      <c r="BG204" s="29"/>
      <c r="BH204" s="29"/>
      <c r="BI204" s="29"/>
      <c r="BJ204" s="29"/>
      <c r="BK204" s="29"/>
      <c r="BL204" s="29"/>
      <c r="BM204" s="29"/>
      <c r="BN204" s="29"/>
      <c r="BO204" s="29"/>
      <c r="BP204" s="29"/>
    </row>
    <row r="205" spans="3:68" ht="10.35" hidden="1" customHeight="1" outlineLevel="1" x14ac:dyDescent="0.2">
      <c r="C205" s="80"/>
      <c r="D205" s="80"/>
      <c r="E205" s="80"/>
      <c r="F205" s="80"/>
      <c r="G205" s="80"/>
      <c r="H205" s="80"/>
      <c r="I205" s="80"/>
      <c r="J205" s="80"/>
      <c r="K205" s="80"/>
      <c r="L205" s="412"/>
      <c r="M205" s="413"/>
      <c r="N205" s="80"/>
      <c r="O205" s="80"/>
      <c r="P205" s="80"/>
      <c r="Q205" s="80"/>
      <c r="R205" s="29"/>
      <c r="S205" s="29"/>
      <c r="T205" s="29"/>
      <c r="U205" s="29"/>
      <c r="V205" s="29"/>
      <c r="W205" s="29"/>
      <c r="X205" s="29"/>
      <c r="Y205" s="29"/>
      <c r="Z205" s="29"/>
      <c r="AA205" s="29"/>
      <c r="AB205" s="29"/>
      <c r="AC205" s="29"/>
      <c r="AD205" s="29"/>
      <c r="AE205" s="29"/>
      <c r="AF205" s="29"/>
      <c r="AG205" s="29"/>
      <c r="AH205" s="29"/>
      <c r="AI205" s="29"/>
      <c r="AJ205" s="29"/>
      <c r="AK205" s="29"/>
      <c r="AL205" s="29"/>
      <c r="AM205" s="29"/>
      <c r="AN205" s="29"/>
      <c r="AO205" s="29"/>
      <c r="AP205" s="29"/>
      <c r="AQ205" s="29"/>
      <c r="AR205" s="29"/>
      <c r="AS205" s="29"/>
      <c r="AT205" s="29"/>
      <c r="AU205" s="29"/>
      <c r="AV205" s="29"/>
      <c r="AW205" s="29"/>
      <c r="AX205" s="29"/>
      <c r="AY205" s="29"/>
      <c r="AZ205" s="29"/>
      <c r="BA205" s="29"/>
      <c r="BB205" s="29"/>
      <c r="BC205" s="29"/>
      <c r="BD205" s="29"/>
      <c r="BE205" s="29"/>
      <c r="BF205" s="29"/>
      <c r="BG205" s="29"/>
      <c r="BH205" s="29"/>
      <c r="BI205" s="29"/>
      <c r="BJ205" s="29"/>
      <c r="BK205" s="29"/>
      <c r="BL205" s="29"/>
      <c r="BM205" s="29"/>
      <c r="BN205" s="29"/>
      <c r="BO205" s="29"/>
      <c r="BP205" s="29"/>
    </row>
    <row r="206" spans="3:68" ht="10.35" hidden="1" customHeight="1" outlineLevel="1" x14ac:dyDescent="0.2">
      <c r="C206" s="80"/>
      <c r="D206" s="80"/>
      <c r="E206" s="80"/>
      <c r="F206" s="80"/>
      <c r="G206" s="80"/>
      <c r="H206" s="80"/>
      <c r="I206" s="80"/>
      <c r="J206" s="80"/>
      <c r="K206" s="80"/>
      <c r="L206" s="412"/>
      <c r="M206" s="413"/>
      <c r="N206" s="80"/>
      <c r="O206" s="80"/>
      <c r="P206" s="80"/>
      <c r="Q206" s="80"/>
      <c r="R206" s="29"/>
      <c r="S206" s="29"/>
      <c r="T206" s="29"/>
      <c r="U206" s="29"/>
      <c r="V206" s="29"/>
      <c r="W206" s="29"/>
      <c r="X206" s="29"/>
      <c r="Y206" s="29"/>
      <c r="Z206" s="29"/>
      <c r="AA206" s="29"/>
      <c r="AB206" s="29"/>
      <c r="AC206" s="29"/>
      <c r="AD206" s="29"/>
      <c r="AE206" s="29"/>
      <c r="AF206" s="29"/>
      <c r="AG206" s="29"/>
      <c r="AH206" s="29"/>
      <c r="AI206" s="29"/>
      <c r="AJ206" s="29"/>
      <c r="AK206" s="29"/>
      <c r="AL206" s="29"/>
      <c r="AM206" s="29"/>
      <c r="AN206" s="29"/>
      <c r="AO206" s="29"/>
      <c r="AP206" s="29"/>
      <c r="AQ206" s="29"/>
      <c r="AR206" s="29"/>
      <c r="AS206" s="29"/>
      <c r="AT206" s="29"/>
      <c r="AU206" s="29"/>
      <c r="AV206" s="29"/>
      <c r="AW206" s="29"/>
      <c r="AX206" s="29"/>
      <c r="AY206" s="29"/>
      <c r="AZ206" s="29"/>
      <c r="BA206" s="29"/>
      <c r="BB206" s="29"/>
      <c r="BC206" s="29"/>
      <c r="BD206" s="29"/>
      <c r="BE206" s="29"/>
      <c r="BF206" s="29"/>
      <c r="BG206" s="29"/>
      <c r="BH206" s="29"/>
      <c r="BI206" s="29"/>
      <c r="BJ206" s="29"/>
      <c r="BK206" s="29"/>
      <c r="BL206" s="29"/>
      <c r="BM206" s="29"/>
      <c r="BN206" s="29"/>
      <c r="BO206" s="29"/>
      <c r="BP206" s="29"/>
    </row>
    <row r="207" spans="3:68" ht="10.35" hidden="1" customHeight="1" outlineLevel="1" x14ac:dyDescent="0.2">
      <c r="C207" s="80"/>
      <c r="D207" s="80"/>
      <c r="E207" s="80"/>
      <c r="F207" s="80"/>
      <c r="G207" s="80"/>
      <c r="H207" s="80"/>
      <c r="I207" s="80"/>
      <c r="J207" s="80"/>
      <c r="K207" s="80"/>
      <c r="L207" s="412"/>
      <c r="M207" s="413"/>
      <c r="N207" s="80"/>
      <c r="O207" s="80"/>
      <c r="P207" s="80"/>
      <c r="Q207" s="80"/>
      <c r="R207" s="29"/>
      <c r="S207" s="29"/>
      <c r="T207" s="29"/>
      <c r="U207" s="29"/>
      <c r="V207" s="29"/>
      <c r="W207" s="29"/>
      <c r="X207" s="29"/>
      <c r="Y207" s="29"/>
      <c r="Z207" s="29"/>
      <c r="AA207" s="29"/>
      <c r="AB207" s="29"/>
      <c r="AC207" s="29"/>
      <c r="AD207" s="29"/>
      <c r="AE207" s="29"/>
      <c r="AF207" s="29"/>
      <c r="AG207" s="29"/>
      <c r="AH207" s="29"/>
      <c r="AI207" s="29"/>
      <c r="AJ207" s="29"/>
      <c r="AK207" s="29"/>
      <c r="AL207" s="29"/>
      <c r="AM207" s="29"/>
      <c r="AN207" s="29"/>
      <c r="AO207" s="29"/>
      <c r="AP207" s="29"/>
      <c r="AQ207" s="29"/>
      <c r="AR207" s="29"/>
      <c r="AS207" s="29"/>
      <c r="AT207" s="29"/>
      <c r="AU207" s="29"/>
      <c r="AV207" s="29"/>
      <c r="AW207" s="29"/>
      <c r="AX207" s="29"/>
      <c r="AY207" s="29"/>
      <c r="AZ207" s="29"/>
      <c r="BA207" s="29"/>
      <c r="BB207" s="29"/>
      <c r="BC207" s="29"/>
      <c r="BD207" s="29"/>
      <c r="BE207" s="29"/>
      <c r="BF207" s="29"/>
      <c r="BG207" s="29"/>
      <c r="BH207" s="29"/>
      <c r="BI207" s="29"/>
      <c r="BJ207" s="29"/>
      <c r="BK207" s="29"/>
      <c r="BL207" s="29"/>
      <c r="BM207" s="29"/>
      <c r="BN207" s="29"/>
      <c r="BO207" s="29"/>
      <c r="BP207" s="29"/>
    </row>
    <row r="208" spans="3:68" ht="10.35" hidden="1" customHeight="1" outlineLevel="1" x14ac:dyDescent="0.2">
      <c r="C208" s="80"/>
      <c r="D208" s="80"/>
      <c r="E208" s="80"/>
      <c r="F208" s="80"/>
      <c r="G208" s="80"/>
      <c r="H208" s="80"/>
      <c r="I208" s="80"/>
      <c r="J208" s="80"/>
      <c r="K208" s="80"/>
      <c r="L208" s="412"/>
      <c r="M208" s="413"/>
      <c r="N208" s="80"/>
      <c r="O208" s="80"/>
      <c r="P208" s="80"/>
      <c r="Q208" s="80"/>
      <c r="R208" s="29"/>
      <c r="S208" s="29"/>
      <c r="T208" s="29"/>
      <c r="U208" s="29"/>
      <c r="V208" s="29"/>
      <c r="W208" s="29"/>
      <c r="X208" s="29"/>
      <c r="Y208" s="29"/>
      <c r="Z208" s="29"/>
      <c r="AA208" s="29"/>
      <c r="AB208" s="29"/>
      <c r="AC208" s="29"/>
      <c r="AD208" s="29"/>
      <c r="AE208" s="29"/>
      <c r="AF208" s="29"/>
      <c r="AG208" s="29"/>
      <c r="AH208" s="29"/>
      <c r="AI208" s="29"/>
      <c r="AJ208" s="29"/>
      <c r="AK208" s="29"/>
      <c r="AL208" s="29"/>
      <c r="AM208" s="29"/>
      <c r="AN208" s="29"/>
      <c r="AO208" s="29"/>
      <c r="AP208" s="29"/>
      <c r="AQ208" s="29"/>
      <c r="AR208" s="29"/>
      <c r="AS208" s="29"/>
      <c r="AT208" s="29"/>
      <c r="AU208" s="29"/>
      <c r="AV208" s="29"/>
      <c r="AW208" s="29"/>
      <c r="AX208" s="29"/>
      <c r="AY208" s="29"/>
      <c r="AZ208" s="29"/>
      <c r="BA208" s="29"/>
      <c r="BB208" s="29"/>
      <c r="BC208" s="29"/>
      <c r="BD208" s="29"/>
      <c r="BE208" s="29"/>
      <c r="BF208" s="29"/>
      <c r="BG208" s="29"/>
      <c r="BH208" s="29"/>
      <c r="BI208" s="29"/>
      <c r="BJ208" s="29"/>
      <c r="BK208" s="29"/>
      <c r="BL208" s="29"/>
      <c r="BM208" s="29"/>
      <c r="BN208" s="29"/>
      <c r="BO208" s="29"/>
      <c r="BP208" s="29"/>
    </row>
    <row r="209" spans="3:68" ht="10.35" hidden="1" customHeight="1" outlineLevel="1" x14ac:dyDescent="0.2">
      <c r="C209" s="80"/>
      <c r="D209" s="80"/>
      <c r="E209" s="80"/>
      <c r="F209" s="80"/>
      <c r="G209" s="80"/>
      <c r="H209" s="80"/>
      <c r="I209" s="80"/>
      <c r="J209" s="80"/>
      <c r="K209" s="80"/>
      <c r="L209" s="412"/>
      <c r="M209" s="413"/>
      <c r="N209" s="80"/>
      <c r="O209" s="80"/>
      <c r="P209" s="80"/>
      <c r="Q209" s="80"/>
      <c r="R209" s="29"/>
      <c r="S209" s="29"/>
      <c r="T209" s="29"/>
      <c r="U209" s="29"/>
      <c r="V209" s="29"/>
      <c r="W209" s="29"/>
      <c r="X209" s="29"/>
      <c r="Y209" s="29"/>
      <c r="Z209" s="29"/>
      <c r="AA209" s="29"/>
      <c r="AB209" s="29"/>
      <c r="AC209" s="29"/>
      <c r="AD209" s="29"/>
      <c r="AE209" s="29"/>
      <c r="AF209" s="29"/>
      <c r="AG209" s="29"/>
      <c r="AH209" s="29"/>
      <c r="AI209" s="29"/>
      <c r="AJ209" s="29"/>
      <c r="AK209" s="29"/>
      <c r="AL209" s="29"/>
      <c r="AM209" s="29"/>
      <c r="AN209" s="29"/>
      <c r="AO209" s="29"/>
      <c r="AP209" s="29"/>
      <c r="AQ209" s="29"/>
      <c r="AR209" s="29"/>
      <c r="AS209" s="29"/>
      <c r="AT209" s="29"/>
      <c r="AU209" s="29"/>
      <c r="AV209" s="29"/>
      <c r="AW209" s="29"/>
      <c r="AX209" s="29"/>
      <c r="AY209" s="29"/>
      <c r="AZ209" s="29"/>
      <c r="BA209" s="29"/>
      <c r="BB209" s="29"/>
      <c r="BC209" s="29"/>
      <c r="BD209" s="29"/>
      <c r="BE209" s="29"/>
      <c r="BF209" s="29"/>
      <c r="BG209" s="29"/>
      <c r="BH209" s="29"/>
      <c r="BI209" s="29"/>
      <c r="BJ209" s="29"/>
      <c r="BK209" s="29"/>
      <c r="BL209" s="29"/>
      <c r="BM209" s="29"/>
      <c r="BN209" s="29"/>
      <c r="BO209" s="29"/>
      <c r="BP209" s="29"/>
    </row>
    <row r="210" spans="3:68" ht="10.35" hidden="1" customHeight="1" outlineLevel="1" x14ac:dyDescent="0.2">
      <c r="C210" s="80"/>
      <c r="D210" s="80"/>
      <c r="E210" s="80"/>
      <c r="F210" s="80"/>
      <c r="G210" s="80"/>
      <c r="H210" s="80"/>
      <c r="I210" s="80"/>
      <c r="J210" s="80"/>
      <c r="K210" s="80"/>
      <c r="L210" s="412"/>
      <c r="M210" s="413"/>
      <c r="N210" s="80"/>
      <c r="O210" s="80"/>
      <c r="P210" s="80"/>
      <c r="Q210" s="80"/>
      <c r="R210" s="29"/>
      <c r="S210" s="29"/>
      <c r="T210" s="29"/>
      <c r="U210" s="29"/>
      <c r="V210" s="29"/>
      <c r="W210" s="29"/>
      <c r="X210" s="29"/>
      <c r="Y210" s="29"/>
      <c r="Z210" s="29"/>
      <c r="AA210" s="29"/>
      <c r="AB210" s="29"/>
      <c r="AC210" s="29"/>
      <c r="AD210" s="29"/>
      <c r="AE210" s="29"/>
      <c r="AF210" s="29"/>
      <c r="AG210" s="29"/>
      <c r="AH210" s="29"/>
      <c r="AI210" s="29"/>
      <c r="AJ210" s="29"/>
      <c r="AK210" s="29"/>
      <c r="AL210" s="29"/>
      <c r="AM210" s="29"/>
      <c r="AN210" s="29"/>
      <c r="AO210" s="29"/>
      <c r="AP210" s="29"/>
      <c r="AQ210" s="29"/>
      <c r="AR210" s="29"/>
      <c r="AS210" s="29"/>
      <c r="AT210" s="29"/>
      <c r="AU210" s="29"/>
      <c r="AV210" s="29"/>
      <c r="AW210" s="29"/>
      <c r="AX210" s="29"/>
      <c r="AY210" s="29"/>
      <c r="AZ210" s="29"/>
      <c r="BA210" s="29"/>
      <c r="BB210" s="29"/>
      <c r="BC210" s="29"/>
      <c r="BD210" s="29"/>
      <c r="BE210" s="29"/>
      <c r="BF210" s="29"/>
      <c r="BG210" s="29"/>
      <c r="BH210" s="29"/>
      <c r="BI210" s="29"/>
      <c r="BJ210" s="29"/>
      <c r="BK210" s="29"/>
      <c r="BL210" s="29"/>
      <c r="BM210" s="29"/>
      <c r="BN210" s="29"/>
      <c r="BO210" s="29"/>
      <c r="BP210" s="29"/>
    </row>
    <row r="211" spans="3:68" ht="10.35" hidden="1" customHeight="1" outlineLevel="1" x14ac:dyDescent="0.2">
      <c r="C211" s="80"/>
      <c r="D211" s="80"/>
      <c r="E211" s="80"/>
      <c r="F211" s="80"/>
      <c r="G211" s="80"/>
      <c r="H211" s="80"/>
      <c r="I211" s="80"/>
      <c r="J211" s="80"/>
      <c r="K211" s="80"/>
      <c r="L211" s="412"/>
      <c r="M211" s="413"/>
      <c r="N211" s="80"/>
      <c r="O211" s="80"/>
      <c r="P211" s="80"/>
      <c r="Q211" s="80"/>
      <c r="R211" s="29"/>
      <c r="S211" s="29"/>
      <c r="T211" s="29"/>
      <c r="U211" s="29"/>
      <c r="V211" s="29"/>
      <c r="W211" s="29"/>
      <c r="X211" s="29"/>
      <c r="Y211" s="29"/>
      <c r="Z211" s="29"/>
      <c r="AA211" s="29"/>
      <c r="AB211" s="29"/>
      <c r="AC211" s="29"/>
      <c r="AD211" s="29"/>
      <c r="AE211" s="29"/>
      <c r="AF211" s="29"/>
      <c r="AG211" s="29"/>
      <c r="AH211" s="29"/>
      <c r="AI211" s="29"/>
      <c r="AJ211" s="29"/>
      <c r="AK211" s="29"/>
      <c r="AL211" s="29"/>
      <c r="AM211" s="29"/>
      <c r="AN211" s="29"/>
      <c r="AO211" s="29"/>
      <c r="AP211" s="29"/>
      <c r="AQ211" s="29"/>
      <c r="AR211" s="29"/>
      <c r="AS211" s="29"/>
      <c r="AT211" s="29"/>
      <c r="AU211" s="29"/>
      <c r="AV211" s="29"/>
      <c r="AW211" s="29"/>
      <c r="AX211" s="29"/>
      <c r="AY211" s="29"/>
      <c r="AZ211" s="29"/>
      <c r="BA211" s="29"/>
      <c r="BB211" s="29"/>
      <c r="BC211" s="29"/>
      <c r="BD211" s="29"/>
      <c r="BE211" s="29"/>
      <c r="BF211" s="29"/>
      <c r="BG211" s="29"/>
      <c r="BH211" s="29"/>
      <c r="BI211" s="29"/>
      <c r="BJ211" s="29"/>
      <c r="BK211" s="29"/>
      <c r="BL211" s="29"/>
      <c r="BM211" s="29"/>
      <c r="BN211" s="29"/>
      <c r="BO211" s="29"/>
      <c r="BP211" s="29"/>
    </row>
    <row r="212" spans="3:68" ht="10.35" hidden="1" customHeight="1" outlineLevel="1" x14ac:dyDescent="0.2">
      <c r="C212" s="80"/>
      <c r="D212" s="80"/>
      <c r="E212" s="80"/>
      <c r="F212" s="80"/>
      <c r="G212" s="80"/>
      <c r="H212" s="80"/>
      <c r="I212" s="80"/>
      <c r="J212" s="80"/>
      <c r="K212" s="80"/>
      <c r="L212" s="412"/>
      <c r="M212" s="413"/>
      <c r="N212" s="80"/>
      <c r="O212" s="80"/>
      <c r="P212" s="80"/>
      <c r="Q212" s="80"/>
      <c r="R212" s="29"/>
      <c r="S212" s="29"/>
      <c r="T212" s="29"/>
      <c r="U212" s="29"/>
      <c r="V212" s="29"/>
      <c r="W212" s="29"/>
      <c r="X212" s="29"/>
      <c r="Y212" s="29"/>
      <c r="Z212" s="29"/>
      <c r="AA212" s="29"/>
      <c r="AB212" s="29"/>
      <c r="AC212" s="29"/>
      <c r="AD212" s="29"/>
      <c r="AE212" s="29"/>
      <c r="AF212" s="29"/>
      <c r="AG212" s="29"/>
      <c r="AH212" s="29"/>
      <c r="AI212" s="29"/>
      <c r="AJ212" s="29"/>
      <c r="AK212" s="29"/>
      <c r="AL212" s="29"/>
      <c r="AM212" s="29"/>
      <c r="AN212" s="29"/>
      <c r="AO212" s="29"/>
      <c r="AP212" s="29"/>
      <c r="AQ212" s="29"/>
      <c r="AR212" s="29"/>
      <c r="AS212" s="29"/>
      <c r="AT212" s="29"/>
      <c r="AU212" s="29"/>
      <c r="AV212" s="29"/>
      <c r="AW212" s="29"/>
      <c r="AX212" s="29"/>
      <c r="AY212" s="29"/>
      <c r="AZ212" s="29"/>
      <c r="BA212" s="29"/>
      <c r="BB212" s="29"/>
      <c r="BC212" s="29"/>
      <c r="BD212" s="29"/>
      <c r="BE212" s="29"/>
      <c r="BF212" s="29"/>
      <c r="BG212" s="29"/>
      <c r="BH212" s="29"/>
      <c r="BI212" s="29"/>
      <c r="BJ212" s="29"/>
      <c r="BK212" s="29"/>
      <c r="BL212" s="29"/>
      <c r="BM212" s="29"/>
      <c r="BN212" s="29"/>
      <c r="BO212" s="29"/>
      <c r="BP212" s="29"/>
    </row>
    <row r="213" spans="3:68" ht="10.35" hidden="1" customHeight="1" outlineLevel="1" x14ac:dyDescent="0.2">
      <c r="C213" s="80"/>
      <c r="D213" s="80"/>
      <c r="E213" s="80"/>
      <c r="F213" s="80"/>
      <c r="G213" s="80"/>
      <c r="H213" s="80"/>
      <c r="I213" s="80"/>
      <c r="J213" s="80"/>
      <c r="K213" s="80"/>
      <c r="L213" s="412"/>
      <c r="M213" s="413"/>
      <c r="N213" s="80"/>
      <c r="O213" s="80"/>
      <c r="P213" s="80"/>
      <c r="Q213" s="80"/>
      <c r="R213" s="29"/>
      <c r="S213" s="29"/>
      <c r="T213" s="29"/>
      <c r="U213" s="29"/>
      <c r="V213" s="29"/>
      <c r="W213" s="29"/>
      <c r="X213" s="29"/>
      <c r="Y213" s="29"/>
      <c r="Z213" s="29"/>
      <c r="AA213" s="29"/>
      <c r="AB213" s="29"/>
      <c r="AC213" s="29"/>
      <c r="AD213" s="29"/>
      <c r="AE213" s="29"/>
      <c r="AF213" s="29"/>
      <c r="AG213" s="29"/>
      <c r="AH213" s="29"/>
      <c r="AI213" s="29"/>
      <c r="AJ213" s="29"/>
      <c r="AK213" s="29"/>
      <c r="AL213" s="29"/>
      <c r="AM213" s="29"/>
      <c r="AN213" s="29"/>
      <c r="AO213" s="29"/>
      <c r="AP213" s="29"/>
      <c r="AQ213" s="29"/>
      <c r="AR213" s="29"/>
      <c r="AS213" s="29"/>
      <c r="AT213" s="29"/>
      <c r="AU213" s="29"/>
      <c r="AV213" s="29"/>
      <c r="AW213" s="29"/>
      <c r="AX213" s="29"/>
      <c r="AY213" s="29"/>
      <c r="AZ213" s="29"/>
      <c r="BA213" s="29"/>
      <c r="BB213" s="29"/>
      <c r="BC213" s="29"/>
      <c r="BD213" s="29"/>
      <c r="BE213" s="29"/>
      <c r="BF213" s="29"/>
      <c r="BG213" s="29"/>
      <c r="BH213" s="29"/>
      <c r="BI213" s="29"/>
      <c r="BJ213" s="29"/>
      <c r="BK213" s="29"/>
      <c r="BL213" s="29"/>
      <c r="BM213" s="29"/>
      <c r="BN213" s="29"/>
      <c r="BO213" s="29"/>
      <c r="BP213" s="29"/>
    </row>
    <row r="214" spans="3:68" ht="10.35" hidden="1" customHeight="1" outlineLevel="1" x14ac:dyDescent="0.2">
      <c r="C214" s="80"/>
      <c r="D214" s="80"/>
      <c r="E214" s="80"/>
      <c r="F214" s="80"/>
      <c r="G214" s="80"/>
      <c r="H214" s="80"/>
      <c r="I214" s="80"/>
      <c r="J214" s="80"/>
      <c r="K214" s="80"/>
      <c r="L214" s="412"/>
      <c r="M214" s="413"/>
      <c r="N214" s="80"/>
      <c r="O214" s="80"/>
      <c r="P214" s="80"/>
      <c r="Q214" s="80"/>
      <c r="R214" s="29"/>
      <c r="S214" s="29"/>
      <c r="T214" s="29"/>
      <c r="U214" s="29"/>
      <c r="V214" s="29"/>
      <c r="W214" s="29"/>
      <c r="X214" s="29"/>
      <c r="Y214" s="29"/>
      <c r="Z214" s="29"/>
      <c r="AA214" s="29"/>
      <c r="AB214" s="29"/>
      <c r="AC214" s="29"/>
      <c r="AD214" s="29"/>
      <c r="AE214" s="29"/>
      <c r="AF214" s="29"/>
      <c r="AG214" s="29"/>
      <c r="AH214" s="29"/>
      <c r="AI214" s="29"/>
      <c r="AJ214" s="29"/>
      <c r="AK214" s="29"/>
      <c r="AL214" s="29"/>
      <c r="AM214" s="29"/>
      <c r="AN214" s="29"/>
      <c r="AO214" s="29"/>
      <c r="AP214" s="29"/>
      <c r="AQ214" s="29"/>
      <c r="AR214" s="29"/>
      <c r="AS214" s="29"/>
      <c r="AT214" s="29"/>
      <c r="AU214" s="29"/>
      <c r="AV214" s="29"/>
      <c r="AW214" s="29"/>
      <c r="AX214" s="29"/>
      <c r="AY214" s="29"/>
      <c r="AZ214" s="29"/>
      <c r="BA214" s="29"/>
      <c r="BB214" s="29"/>
      <c r="BC214" s="29"/>
      <c r="BD214" s="29"/>
      <c r="BE214" s="29"/>
      <c r="BF214" s="29"/>
      <c r="BG214" s="29"/>
      <c r="BH214" s="29"/>
      <c r="BI214" s="29"/>
      <c r="BJ214" s="29"/>
      <c r="BK214" s="29"/>
      <c r="BL214" s="29"/>
      <c r="BM214" s="29"/>
      <c r="BN214" s="29"/>
      <c r="BO214" s="29"/>
      <c r="BP214" s="29"/>
    </row>
    <row r="215" spans="3:68" ht="10.35" hidden="1" customHeight="1" outlineLevel="1" x14ac:dyDescent="0.2">
      <c r="C215" s="80"/>
      <c r="D215" s="80"/>
      <c r="E215" s="80"/>
      <c r="F215" s="80"/>
      <c r="G215" s="80"/>
      <c r="H215" s="80"/>
      <c r="I215" s="80"/>
      <c r="J215" s="80"/>
      <c r="K215" s="80"/>
      <c r="L215" s="412"/>
      <c r="M215" s="413"/>
      <c r="N215" s="80"/>
      <c r="O215" s="80"/>
      <c r="P215" s="80"/>
      <c r="Q215" s="80"/>
      <c r="R215" s="29"/>
      <c r="S215" s="29"/>
      <c r="T215" s="29"/>
      <c r="U215" s="29"/>
      <c r="V215" s="29"/>
      <c r="W215" s="29"/>
      <c r="X215" s="29"/>
      <c r="Y215" s="29"/>
      <c r="Z215" s="29"/>
      <c r="AA215" s="29"/>
      <c r="AB215" s="29"/>
      <c r="AC215" s="29"/>
      <c r="AD215" s="29"/>
      <c r="AE215" s="29"/>
      <c r="AF215" s="29"/>
      <c r="AG215" s="29"/>
      <c r="AH215" s="29"/>
      <c r="AI215" s="29"/>
      <c r="AJ215" s="29"/>
      <c r="AK215" s="29"/>
      <c r="AL215" s="29"/>
      <c r="AM215" s="29"/>
      <c r="AN215" s="29"/>
      <c r="AO215" s="29"/>
      <c r="AP215" s="29"/>
      <c r="AQ215" s="29"/>
      <c r="AR215" s="29"/>
      <c r="AS215" s="29"/>
      <c r="AT215" s="29"/>
      <c r="AU215" s="29"/>
      <c r="AV215" s="29"/>
      <c r="AW215" s="29"/>
      <c r="AX215" s="29"/>
      <c r="AY215" s="29"/>
      <c r="AZ215" s="29"/>
      <c r="BA215" s="29"/>
      <c r="BB215" s="29"/>
      <c r="BC215" s="29"/>
      <c r="BD215" s="29"/>
      <c r="BE215" s="29"/>
      <c r="BF215" s="29"/>
      <c r="BG215" s="29"/>
      <c r="BH215" s="29"/>
      <c r="BI215" s="29"/>
      <c r="BJ215" s="29"/>
      <c r="BK215" s="29"/>
      <c r="BL215" s="29"/>
      <c r="BM215" s="29"/>
      <c r="BN215" s="29"/>
      <c r="BO215" s="29"/>
      <c r="BP215" s="29"/>
    </row>
    <row r="216" spans="3:68" ht="10.35" hidden="1" customHeight="1" outlineLevel="1" x14ac:dyDescent="0.2">
      <c r="C216" s="10"/>
      <c r="D216" s="80"/>
      <c r="E216" s="80"/>
      <c r="F216" s="10" t="s">
        <v>96</v>
      </c>
      <c r="G216" s="80"/>
      <c r="H216" s="80"/>
      <c r="I216" s="80"/>
      <c r="J216" s="80"/>
      <c r="K216" s="17"/>
      <c r="L216" s="104"/>
      <c r="M216" s="105"/>
      <c r="N216" s="17"/>
      <c r="O216" s="17"/>
      <c r="P216" s="17"/>
      <c r="Q216" s="17"/>
      <c r="R216" s="24" t="str">
        <f>"FY"&amp;RIGHT(Assumptions!$L$19+R68,2)</f>
        <v>FY22</v>
      </c>
      <c r="S216" s="24" t="str">
        <f>"FY"&amp;RIGHT(Assumptions!$L$19+S68,2)</f>
        <v>FY23</v>
      </c>
      <c r="T216" s="24" t="str">
        <f>"FY"&amp;RIGHT(Assumptions!$L$19+T68,2)</f>
        <v>FY24</v>
      </c>
      <c r="U216" s="24" t="str">
        <f>"FY"&amp;RIGHT(Assumptions!$L$19+U68,2)</f>
        <v>FY25</v>
      </c>
      <c r="V216" s="24" t="str">
        <f>"FY"&amp;RIGHT(Assumptions!$L$19+V68,2)</f>
        <v>FY26</v>
      </c>
      <c r="W216" s="24" t="str">
        <f>"FY"&amp;RIGHT(Assumptions!$L$19+W68,2)</f>
        <v>FY27</v>
      </c>
      <c r="X216" s="24" t="str">
        <f>"FY"&amp;RIGHT(Assumptions!$L$19+X68,2)</f>
        <v>FY28</v>
      </c>
      <c r="Y216" s="24" t="str">
        <f>"FY"&amp;RIGHT(Assumptions!$L$19+Y68,2)</f>
        <v>FY29</v>
      </c>
      <c r="Z216" s="24" t="str">
        <f>"FY"&amp;RIGHT(Assumptions!$L$19+Z68,2)</f>
        <v>FY30</v>
      </c>
      <c r="AA216" s="24" t="str">
        <f>"FY"&amp;RIGHT(Assumptions!$L$19+AA68,2)</f>
        <v>FY31</v>
      </c>
      <c r="AB216" s="24" t="str">
        <f>"FY"&amp;RIGHT(Assumptions!$L$19+AB68,2)</f>
        <v>FY32</v>
      </c>
      <c r="AC216" s="24" t="str">
        <f>"FY"&amp;RIGHT(Assumptions!$L$19+AC68,2)</f>
        <v>FY33</v>
      </c>
      <c r="AD216" s="24" t="str">
        <f>"FY"&amp;RIGHT(Assumptions!$L$19+AD68,2)</f>
        <v>FY34</v>
      </c>
      <c r="AE216" s="24" t="str">
        <f>"FY"&amp;RIGHT(Assumptions!$L$19+AE68,2)</f>
        <v>FY35</v>
      </c>
      <c r="AF216" s="24" t="str">
        <f>"FY"&amp;RIGHT(Assumptions!$L$19+AF68,2)</f>
        <v>FY36</v>
      </c>
      <c r="AG216" s="24" t="str">
        <f>"FY"&amp;RIGHT(Assumptions!$L$19+AG68,2)</f>
        <v>FY37</v>
      </c>
      <c r="AH216" s="24" t="str">
        <f>"FY"&amp;RIGHT(Assumptions!$L$19+AH68,2)</f>
        <v>FY38</v>
      </c>
      <c r="AI216" s="24" t="str">
        <f>"FY"&amp;RIGHT(Assumptions!$L$19+AI68,2)</f>
        <v>FY39</v>
      </c>
      <c r="AJ216" s="24" t="str">
        <f>"FY"&amp;RIGHT(Assumptions!$L$19+AJ68,2)</f>
        <v>FY40</v>
      </c>
      <c r="AK216" s="24" t="str">
        <f>"FY"&amp;RIGHT(Assumptions!$L$19+AK68,2)</f>
        <v>FY41</v>
      </c>
      <c r="AL216" s="24" t="str">
        <f>"FY"&amp;RIGHT(Assumptions!$L$19+AL68,2)</f>
        <v>FY42</v>
      </c>
      <c r="AM216" s="24" t="str">
        <f>"FY"&amp;RIGHT(Assumptions!$L$19+AM68,2)</f>
        <v>FY43</v>
      </c>
      <c r="AN216" s="24" t="str">
        <f>"FY"&amp;RIGHT(Assumptions!$L$19+AN68,2)</f>
        <v>FY44</v>
      </c>
      <c r="AO216" s="24" t="str">
        <f>"FY"&amp;RIGHT(Assumptions!$L$19+AO68,2)</f>
        <v>FY45</v>
      </c>
      <c r="AP216" s="24" t="str">
        <f>"FY"&amp;RIGHT(Assumptions!$L$19+AP68,2)</f>
        <v>FY46</v>
      </c>
      <c r="AQ216" s="24" t="str">
        <f>"FY"&amp;RIGHT(Assumptions!$L$19+AQ68,2)</f>
        <v>FY47</v>
      </c>
      <c r="AR216" s="24" t="str">
        <f>"FY"&amp;RIGHT(Assumptions!$L$19+AR68,2)</f>
        <v>FY48</v>
      </c>
      <c r="AS216" s="24" t="str">
        <f>"FY"&amp;RIGHT(Assumptions!$L$19+AS68,2)</f>
        <v>FY49</v>
      </c>
      <c r="AT216" s="24" t="str">
        <f>"FY"&amp;RIGHT(Assumptions!$L$19+AT68,2)</f>
        <v>FY50</v>
      </c>
      <c r="AU216" s="24" t="str">
        <f>"FY"&amp;RIGHT(Assumptions!$L$19+AU68,2)</f>
        <v>FY51</v>
      </c>
      <c r="AV216" s="24" t="str">
        <f>"FY"&amp;RIGHT(Assumptions!$L$19+AV68,2)</f>
        <v>FY52</v>
      </c>
      <c r="AW216" s="24" t="str">
        <f>"FY"&amp;RIGHT(Assumptions!$L$19+AW68,2)</f>
        <v>FY53</v>
      </c>
      <c r="AX216" s="24" t="str">
        <f>"FY"&amp;RIGHT(Assumptions!$L$19+AX68,2)</f>
        <v>FY54</v>
      </c>
      <c r="AY216" s="24" t="str">
        <f>"FY"&amp;RIGHT(Assumptions!$L$19+AY68,2)</f>
        <v>FY55</v>
      </c>
      <c r="AZ216" s="24" t="str">
        <f>"FY"&amp;RIGHT(Assumptions!$L$19+AZ68,2)</f>
        <v>FY56</v>
      </c>
      <c r="BA216" s="24" t="str">
        <f>"FY"&amp;RIGHT(Assumptions!$L$19+BA68,2)</f>
        <v>FY57</v>
      </c>
      <c r="BB216" s="24" t="str">
        <f>"FY"&amp;RIGHT(Assumptions!$L$19+BB68,2)</f>
        <v>FY58</v>
      </c>
      <c r="BC216" s="24" t="str">
        <f>"FY"&amp;RIGHT(Assumptions!$L$19+BC68,2)</f>
        <v>FY59</v>
      </c>
      <c r="BD216" s="24" t="str">
        <f>"FY"&amp;RIGHT(Assumptions!$L$19+BD68,2)</f>
        <v>FY60</v>
      </c>
      <c r="BE216" s="24" t="str">
        <f>"FY"&amp;RIGHT(Assumptions!$L$19+BE68,2)</f>
        <v>FY61</v>
      </c>
      <c r="BF216" s="24" t="str">
        <f>"FY"&amp;RIGHT(Assumptions!$L$19+BF68,2)</f>
        <v>FY62</v>
      </c>
      <c r="BG216" s="24" t="str">
        <f>"FY"&amp;RIGHT(Assumptions!$L$19+BG68,2)</f>
        <v>FY63</v>
      </c>
      <c r="BH216" s="24" t="str">
        <f>"FY"&amp;RIGHT(Assumptions!$L$19+BH68,2)</f>
        <v>FY64</v>
      </c>
      <c r="BI216" s="24" t="str">
        <f>"FY"&amp;RIGHT(Assumptions!$L$19+BI68,2)</f>
        <v>FY65</v>
      </c>
      <c r="BJ216" s="24" t="str">
        <f>"FY"&amp;RIGHT(Assumptions!$L$19+BJ68,2)</f>
        <v>FY66</v>
      </c>
      <c r="BK216" s="24" t="str">
        <f>"FY"&amp;RIGHT(Assumptions!$L$19+BK68,2)</f>
        <v>FY67</v>
      </c>
      <c r="BL216" s="24" t="str">
        <f>"FY"&amp;RIGHT(Assumptions!$L$19+BL68,2)</f>
        <v>FY68</v>
      </c>
      <c r="BM216" s="24" t="str">
        <f>"FY"&amp;RIGHT(Assumptions!$L$19+BM68,2)</f>
        <v>FY69</v>
      </c>
      <c r="BN216" s="24" t="str">
        <f>"FY"&amp;RIGHT(Assumptions!$L$19+BN68,2)</f>
        <v>FY70</v>
      </c>
      <c r="BO216" s="24" t="str">
        <f>"FY"&amp;RIGHT(Assumptions!$L$19+BO68,2)</f>
        <v>FY71</v>
      </c>
      <c r="BP216" s="24" t="str">
        <f>"FY"&amp;RIGHT(Assumptions!$L$19+BP68,2)</f>
        <v>FY72</v>
      </c>
    </row>
    <row r="217" spans="3:68" ht="10.35" hidden="1" customHeight="1" outlineLevel="1" x14ac:dyDescent="0.2">
      <c r="C217" s="80"/>
      <c r="D217" s="80"/>
      <c r="E217" s="80"/>
      <c r="F217" s="27"/>
      <c r="G217" s="80"/>
      <c r="H217" s="80"/>
      <c r="I217" s="80"/>
      <c r="J217" s="80"/>
      <c r="K217" s="23"/>
      <c r="L217" s="106"/>
      <c r="M217" s="107"/>
      <c r="N217" s="23"/>
      <c r="O217" s="23"/>
      <c r="P217" s="23"/>
      <c r="Q217" s="23"/>
      <c r="R217" s="23"/>
      <c r="S217" s="23"/>
      <c r="T217" s="23"/>
      <c r="U217" s="23"/>
      <c r="V217" s="23"/>
      <c r="W217" s="23"/>
      <c r="X217" s="23"/>
      <c r="Y217" s="23"/>
      <c r="Z217" s="23"/>
      <c r="AA217" s="23"/>
      <c r="AB217" s="23"/>
      <c r="AC217" s="23"/>
      <c r="AD217" s="23"/>
      <c r="AE217" s="23"/>
      <c r="AF217" s="23"/>
      <c r="AG217" s="23"/>
      <c r="AH217" s="23"/>
      <c r="AI217" s="23"/>
      <c r="AJ217" s="23"/>
      <c r="AK217" s="23"/>
      <c r="AL217" s="23"/>
      <c r="AM217" s="23"/>
      <c r="AN217" s="23"/>
      <c r="AO217" s="23"/>
      <c r="AP217" s="23"/>
      <c r="AQ217" s="23"/>
      <c r="AR217" s="23"/>
      <c r="AS217" s="23"/>
      <c r="AT217" s="23"/>
      <c r="AU217" s="23"/>
      <c r="AV217" s="23"/>
      <c r="AW217" s="23"/>
      <c r="AX217" s="23"/>
      <c r="AY217" s="23"/>
      <c r="AZ217" s="23"/>
      <c r="BA217" s="23"/>
      <c r="BB217" s="23"/>
      <c r="BC217" s="23"/>
      <c r="BD217" s="23"/>
      <c r="BE217" s="23"/>
      <c r="BF217" s="23"/>
      <c r="BG217" s="23"/>
      <c r="BH217" s="23"/>
      <c r="BI217" s="23"/>
      <c r="BJ217" s="23"/>
      <c r="BK217" s="23"/>
      <c r="BL217" s="23"/>
      <c r="BM217" s="23"/>
      <c r="BN217" s="23"/>
      <c r="BO217" s="23"/>
      <c r="BP217" s="23"/>
    </row>
    <row r="218" spans="3:68" ht="10.35" hidden="1" customHeight="1" outlineLevel="1" x14ac:dyDescent="0.2">
      <c r="C218" s="80"/>
      <c r="D218" s="85" t="s">
        <v>134</v>
      </c>
      <c r="E218" s="80"/>
      <c r="F218" s="28">
        <v>50</v>
      </c>
      <c r="G218" t="s">
        <v>135</v>
      </c>
      <c r="H218" s="80"/>
      <c r="I218" s="80"/>
      <c r="J218" s="80"/>
      <c r="K218" s="23"/>
      <c r="L218" s="106"/>
      <c r="M218" s="107"/>
      <c r="N218" s="23"/>
      <c r="O218" s="23"/>
      <c r="P218" s="23"/>
      <c r="Q218" s="23"/>
      <c r="R218" s="23"/>
      <c r="S218" s="23"/>
      <c r="T218" s="23"/>
      <c r="U218" s="23"/>
      <c r="V218" s="23"/>
      <c r="W218" s="23"/>
      <c r="X218" s="23"/>
      <c r="Y218" s="23"/>
      <c r="Z218" s="23"/>
      <c r="AA218" s="23"/>
      <c r="AB218" s="23"/>
      <c r="AC218" s="23"/>
      <c r="AD218" s="23"/>
      <c r="AE218" s="23"/>
      <c r="AF218" s="23"/>
      <c r="AG218" s="23"/>
      <c r="AH218" s="23"/>
      <c r="AI218" s="23"/>
      <c r="AJ218" s="23"/>
      <c r="AK218" s="23"/>
      <c r="AL218" s="23"/>
      <c r="AM218" s="23"/>
      <c r="AN218" s="23"/>
      <c r="AO218" s="23"/>
      <c r="AP218" s="23"/>
      <c r="AQ218" s="23"/>
      <c r="AR218" s="23"/>
      <c r="AS218" s="23"/>
      <c r="AT218" s="23"/>
      <c r="AU218" s="23"/>
      <c r="AV218" s="23"/>
      <c r="AW218" s="23"/>
      <c r="AX218" s="23"/>
      <c r="AY218" s="23"/>
      <c r="AZ218" s="23"/>
      <c r="BA218" s="23"/>
      <c r="BB218" s="23"/>
      <c r="BC218" s="23"/>
      <c r="BD218" s="23"/>
      <c r="BE218" s="23"/>
      <c r="BF218" s="23"/>
      <c r="BG218" s="23"/>
      <c r="BH218" s="23"/>
      <c r="BI218" s="23"/>
      <c r="BJ218" s="23"/>
      <c r="BK218" s="23"/>
      <c r="BL218" s="23"/>
      <c r="BM218" s="23"/>
      <c r="BN218" s="23"/>
      <c r="BO218" s="23"/>
      <c r="BP218" s="23"/>
    </row>
    <row r="219" spans="3:68" ht="10.35" hidden="1" customHeight="1" outlineLevel="1" x14ac:dyDescent="0.2">
      <c r="C219" s="80"/>
      <c r="D219" s="80"/>
      <c r="E219" s="80"/>
      <c r="F219" s="80"/>
      <c r="G219" s="80"/>
      <c r="H219" s="80"/>
      <c r="I219" s="80"/>
      <c r="J219" s="80"/>
      <c r="K219" s="80"/>
      <c r="L219" s="412"/>
      <c r="M219" s="413"/>
      <c r="N219" s="80"/>
      <c r="O219" s="80"/>
      <c r="P219" s="80"/>
      <c r="Q219" s="80"/>
      <c r="R219" s="29"/>
      <c r="S219" s="29"/>
      <c r="T219" s="29"/>
      <c r="U219" s="29"/>
      <c r="V219" s="29"/>
      <c r="W219" s="29"/>
      <c r="X219" s="29"/>
      <c r="Y219" s="29"/>
      <c r="Z219" s="29"/>
      <c r="AA219" s="29"/>
      <c r="AB219" s="29"/>
      <c r="AC219" s="29"/>
      <c r="AD219" s="29"/>
      <c r="AE219" s="29"/>
      <c r="AF219" s="29"/>
      <c r="AG219" s="29"/>
      <c r="AH219" s="29"/>
      <c r="AI219" s="29"/>
      <c r="AJ219" s="29"/>
      <c r="AK219" s="29"/>
      <c r="AL219" s="29"/>
      <c r="AM219" s="29"/>
      <c r="AN219" s="29"/>
      <c r="AO219" s="29"/>
      <c r="AP219" s="29"/>
      <c r="AQ219" s="29"/>
      <c r="AR219" s="29"/>
      <c r="AS219" s="29"/>
      <c r="AT219" s="29"/>
      <c r="AU219" s="29"/>
      <c r="AV219" s="29"/>
      <c r="AW219" s="29"/>
      <c r="AX219" s="29"/>
      <c r="AY219" s="29"/>
      <c r="AZ219" s="29"/>
      <c r="BA219" s="29"/>
      <c r="BB219" s="29"/>
      <c r="BC219" s="29"/>
      <c r="BD219" s="29"/>
      <c r="BE219" s="29"/>
      <c r="BF219" s="29"/>
      <c r="BG219" s="29"/>
      <c r="BH219" s="29"/>
      <c r="BI219" s="29"/>
      <c r="BJ219" s="29"/>
      <c r="BK219" s="29"/>
      <c r="BL219" s="29"/>
      <c r="BM219" s="29"/>
      <c r="BN219" s="29"/>
      <c r="BO219" s="29"/>
      <c r="BP219" s="29"/>
    </row>
    <row r="220" spans="3:68" ht="10.35" hidden="1" customHeight="1" outlineLevel="1" x14ac:dyDescent="0.2">
      <c r="C220" s="80"/>
      <c r="D220" s="98" t="s">
        <v>136</v>
      </c>
      <c r="E220" s="80"/>
      <c r="F220" s="511"/>
      <c r="G220" s="511"/>
      <c r="H220" s="511"/>
      <c r="I220" s="511"/>
      <c r="J220" s="511"/>
      <c r="K220" s="80"/>
      <c r="L220" s="412"/>
      <c r="M220" s="413"/>
      <c r="N220" s="80"/>
      <c r="O220" s="80"/>
      <c r="P220" s="80"/>
      <c r="Q220" s="80"/>
      <c r="R220" s="29">
        <f t="shared" ref="R220:AW220" si="13">SUM(R221:R225)</f>
        <v>0</v>
      </c>
      <c r="S220" s="29">
        <f t="shared" si="13"/>
        <v>0</v>
      </c>
      <c r="T220" s="29">
        <f t="shared" si="13"/>
        <v>0</v>
      </c>
      <c r="U220" s="29">
        <f t="shared" si="13"/>
        <v>0</v>
      </c>
      <c r="V220" s="29">
        <f t="shared" si="13"/>
        <v>0</v>
      </c>
      <c r="W220" s="29">
        <f t="shared" si="13"/>
        <v>0</v>
      </c>
      <c r="X220" s="29">
        <f t="shared" si="13"/>
        <v>0</v>
      </c>
      <c r="Y220" s="29">
        <f t="shared" si="13"/>
        <v>0</v>
      </c>
      <c r="Z220" s="29">
        <f t="shared" si="13"/>
        <v>0</v>
      </c>
      <c r="AA220" s="29">
        <f t="shared" si="13"/>
        <v>0</v>
      </c>
      <c r="AB220" s="29">
        <f t="shared" si="13"/>
        <v>0</v>
      </c>
      <c r="AC220" s="29">
        <f t="shared" si="13"/>
        <v>0</v>
      </c>
      <c r="AD220" s="29">
        <f t="shared" si="13"/>
        <v>0</v>
      </c>
      <c r="AE220" s="29">
        <f t="shared" si="13"/>
        <v>0</v>
      </c>
      <c r="AF220" s="29">
        <f t="shared" si="13"/>
        <v>0</v>
      </c>
      <c r="AG220" s="29">
        <f t="shared" si="13"/>
        <v>0</v>
      </c>
      <c r="AH220" s="29">
        <f t="shared" si="13"/>
        <v>0</v>
      </c>
      <c r="AI220" s="29">
        <f t="shared" si="13"/>
        <v>0</v>
      </c>
      <c r="AJ220" s="29">
        <f t="shared" si="13"/>
        <v>0</v>
      </c>
      <c r="AK220" s="29">
        <f t="shared" si="13"/>
        <v>0</v>
      </c>
      <c r="AL220" s="29">
        <f t="shared" si="13"/>
        <v>0</v>
      </c>
      <c r="AM220" s="29">
        <f t="shared" si="13"/>
        <v>0</v>
      </c>
      <c r="AN220" s="29">
        <f t="shared" si="13"/>
        <v>0</v>
      </c>
      <c r="AO220" s="29">
        <f t="shared" si="13"/>
        <v>0</v>
      </c>
      <c r="AP220" s="29">
        <f t="shared" si="13"/>
        <v>0</v>
      </c>
      <c r="AQ220" s="29">
        <f t="shared" si="13"/>
        <v>0</v>
      </c>
      <c r="AR220" s="29">
        <f t="shared" si="13"/>
        <v>0</v>
      </c>
      <c r="AS220" s="29">
        <f t="shared" si="13"/>
        <v>0</v>
      </c>
      <c r="AT220" s="29">
        <f t="shared" si="13"/>
        <v>0</v>
      </c>
      <c r="AU220" s="29">
        <f t="shared" si="13"/>
        <v>0</v>
      </c>
      <c r="AV220" s="29">
        <f t="shared" si="13"/>
        <v>0</v>
      </c>
      <c r="AW220" s="29">
        <f t="shared" si="13"/>
        <v>0</v>
      </c>
      <c r="AX220" s="29">
        <f t="shared" ref="AX220:BP220" si="14">SUM(AX221:AX225)</f>
        <v>0</v>
      </c>
      <c r="AY220" s="29">
        <f t="shared" si="14"/>
        <v>0</v>
      </c>
      <c r="AZ220" s="29">
        <f t="shared" si="14"/>
        <v>0</v>
      </c>
      <c r="BA220" s="29">
        <f t="shared" si="14"/>
        <v>0</v>
      </c>
      <c r="BB220" s="29">
        <f t="shared" si="14"/>
        <v>0</v>
      </c>
      <c r="BC220" s="29">
        <f t="shared" si="14"/>
        <v>0</v>
      </c>
      <c r="BD220" s="29">
        <f t="shared" si="14"/>
        <v>0</v>
      </c>
      <c r="BE220" s="29">
        <f t="shared" si="14"/>
        <v>0</v>
      </c>
      <c r="BF220" s="29">
        <f t="shared" si="14"/>
        <v>0</v>
      </c>
      <c r="BG220" s="29">
        <f t="shared" si="14"/>
        <v>0</v>
      </c>
      <c r="BH220" s="29">
        <f t="shared" si="14"/>
        <v>0</v>
      </c>
      <c r="BI220" s="29">
        <f t="shared" si="14"/>
        <v>0</v>
      </c>
      <c r="BJ220" s="29">
        <f t="shared" si="14"/>
        <v>0</v>
      </c>
      <c r="BK220" s="29">
        <f t="shared" si="14"/>
        <v>0</v>
      </c>
      <c r="BL220" s="29">
        <f t="shared" si="14"/>
        <v>0</v>
      </c>
      <c r="BM220" s="29">
        <f t="shared" si="14"/>
        <v>0</v>
      </c>
      <c r="BN220" s="29">
        <f t="shared" si="14"/>
        <v>0</v>
      </c>
      <c r="BO220" s="29">
        <f t="shared" si="14"/>
        <v>0</v>
      </c>
      <c r="BP220" s="29">
        <f t="shared" si="14"/>
        <v>0</v>
      </c>
    </row>
    <row r="221" spans="3:68" ht="10.35" hidden="1" customHeight="1" outlineLevel="1" x14ac:dyDescent="0.2">
      <c r="C221" s="80"/>
      <c r="D221" s="433" t="s">
        <v>99</v>
      </c>
      <c r="E221" s="80"/>
      <c r="F221" s="511"/>
      <c r="G221" s="511"/>
      <c r="H221" s="511"/>
      <c r="I221" s="511"/>
      <c r="J221" s="511"/>
      <c r="K221" s="80"/>
      <c r="L221" s="412"/>
      <c r="M221" s="413"/>
      <c r="N221" s="80"/>
      <c r="O221" s="80"/>
      <c r="P221" s="80"/>
      <c r="Q221" s="80"/>
      <c r="R221" s="28"/>
      <c r="S221" s="28"/>
      <c r="T221" s="28"/>
      <c r="U221" s="28"/>
      <c r="V221" s="28"/>
      <c r="W221" s="28"/>
      <c r="X221" s="28"/>
      <c r="Y221" s="28"/>
      <c r="Z221" s="28"/>
      <c r="AA221" s="28"/>
      <c r="AB221" s="28"/>
      <c r="AC221" s="28"/>
      <c r="AD221" s="28"/>
      <c r="AE221" s="28"/>
      <c r="AF221" s="28"/>
      <c r="AG221" s="28"/>
      <c r="AH221" s="28"/>
      <c r="AI221" s="28"/>
      <c r="AJ221" s="28"/>
      <c r="AK221" s="28"/>
      <c r="AL221" s="28"/>
      <c r="AM221" s="28"/>
      <c r="AN221" s="28"/>
      <c r="AO221" s="28"/>
      <c r="AP221" s="28"/>
      <c r="AQ221" s="28"/>
      <c r="AR221" s="28"/>
      <c r="AS221" s="28"/>
      <c r="AT221" s="28"/>
      <c r="AU221" s="28"/>
      <c r="AV221" s="28"/>
      <c r="AW221" s="28"/>
      <c r="AX221" s="28"/>
      <c r="AY221" s="28"/>
      <c r="AZ221" s="28"/>
      <c r="BA221" s="28"/>
      <c r="BB221" s="28"/>
      <c r="BC221" s="28"/>
      <c r="BD221" s="28"/>
      <c r="BE221" s="28"/>
      <c r="BF221" s="28"/>
      <c r="BG221" s="28"/>
      <c r="BH221" s="28"/>
      <c r="BI221" s="28"/>
      <c r="BJ221" s="28"/>
      <c r="BK221" s="28"/>
      <c r="BL221" s="28"/>
      <c r="BM221" s="28"/>
      <c r="BN221" s="28"/>
      <c r="BO221" s="28"/>
      <c r="BP221" s="28"/>
    </row>
    <row r="222" spans="3:68" ht="10.35" hidden="1" customHeight="1" outlineLevel="1" x14ac:dyDescent="0.2">
      <c r="C222" s="80"/>
      <c r="D222" s="433" t="s">
        <v>100</v>
      </c>
      <c r="E222" s="80"/>
      <c r="F222" s="511"/>
      <c r="G222" s="511"/>
      <c r="H222" s="511"/>
      <c r="I222" s="511"/>
      <c r="J222" s="511"/>
      <c r="K222" s="80"/>
      <c r="L222" s="412"/>
      <c r="M222" s="413"/>
      <c r="N222" s="80"/>
      <c r="O222" s="80"/>
      <c r="P222" s="80"/>
      <c r="Q222" s="80"/>
      <c r="R222" s="28"/>
      <c r="S222" s="28"/>
      <c r="T222" s="28"/>
      <c r="U222" s="28"/>
      <c r="V222" s="28"/>
      <c r="W222" s="28"/>
      <c r="X222" s="28"/>
      <c r="Y222" s="28"/>
      <c r="Z222" s="28"/>
      <c r="AA222" s="28"/>
      <c r="AB222" s="28"/>
      <c r="AC222" s="28"/>
      <c r="AD222" s="28"/>
      <c r="AE222" s="28"/>
      <c r="AF222" s="28"/>
      <c r="AG222" s="28"/>
      <c r="AH222" s="28"/>
      <c r="AI222" s="28"/>
      <c r="AJ222" s="28"/>
      <c r="AK222" s="28"/>
      <c r="AL222" s="28"/>
      <c r="AM222" s="28"/>
      <c r="AN222" s="28"/>
      <c r="AO222" s="28"/>
      <c r="AP222" s="28"/>
      <c r="AQ222" s="28"/>
      <c r="AR222" s="28"/>
      <c r="AS222" s="28"/>
      <c r="AT222" s="28"/>
      <c r="AU222" s="28"/>
      <c r="AV222" s="28"/>
      <c r="AW222" s="28"/>
      <c r="AX222" s="28"/>
      <c r="AY222" s="28"/>
      <c r="AZ222" s="28"/>
      <c r="BA222" s="28"/>
      <c r="BB222" s="28"/>
      <c r="BC222" s="28"/>
      <c r="BD222" s="28"/>
      <c r="BE222" s="28"/>
      <c r="BF222" s="28"/>
      <c r="BG222" s="28"/>
      <c r="BH222" s="28"/>
      <c r="BI222" s="28"/>
      <c r="BJ222" s="28"/>
      <c r="BK222" s="28"/>
      <c r="BL222" s="28"/>
      <c r="BM222" s="28"/>
      <c r="BN222" s="28"/>
      <c r="BO222" s="28"/>
      <c r="BP222" s="28"/>
    </row>
    <row r="223" spans="3:68" ht="10.35" hidden="1" customHeight="1" outlineLevel="1" x14ac:dyDescent="0.2">
      <c r="C223" s="80"/>
      <c r="D223" s="433" t="s">
        <v>101</v>
      </c>
      <c r="E223" s="80"/>
      <c r="F223" s="511"/>
      <c r="G223" s="511"/>
      <c r="H223" s="511"/>
      <c r="I223" s="511"/>
      <c r="J223" s="511"/>
      <c r="K223" s="80"/>
      <c r="L223" s="412"/>
      <c r="M223" s="413"/>
      <c r="N223" s="80"/>
      <c r="O223" s="80"/>
      <c r="P223" s="80"/>
      <c r="Q223" s="80"/>
      <c r="R223" s="28"/>
      <c r="S223" s="28"/>
      <c r="T223" s="28"/>
      <c r="U223" s="28"/>
      <c r="V223" s="28"/>
      <c r="W223" s="28"/>
      <c r="X223" s="28"/>
      <c r="Y223" s="28"/>
      <c r="Z223" s="28"/>
      <c r="AA223" s="28"/>
      <c r="AB223" s="28"/>
      <c r="AC223" s="28"/>
      <c r="AD223" s="28"/>
      <c r="AE223" s="28"/>
      <c r="AF223" s="28"/>
      <c r="AG223" s="28"/>
      <c r="AH223" s="28"/>
      <c r="AI223" s="28"/>
      <c r="AJ223" s="28"/>
      <c r="AK223" s="28"/>
      <c r="AL223" s="28"/>
      <c r="AM223" s="28"/>
      <c r="AN223" s="28"/>
      <c r="AO223" s="28"/>
      <c r="AP223" s="28"/>
      <c r="AQ223" s="28"/>
      <c r="AR223" s="28"/>
      <c r="AS223" s="28"/>
      <c r="AT223" s="28"/>
      <c r="AU223" s="28"/>
      <c r="AV223" s="28"/>
      <c r="AW223" s="28"/>
      <c r="AX223" s="28"/>
      <c r="AY223" s="28"/>
      <c r="AZ223" s="28"/>
      <c r="BA223" s="28"/>
      <c r="BB223" s="28"/>
      <c r="BC223" s="28"/>
      <c r="BD223" s="28"/>
      <c r="BE223" s="28"/>
      <c r="BF223" s="28"/>
      <c r="BG223" s="28"/>
      <c r="BH223" s="28"/>
      <c r="BI223" s="28"/>
      <c r="BJ223" s="28"/>
      <c r="BK223" s="28"/>
      <c r="BL223" s="28"/>
      <c r="BM223" s="28"/>
      <c r="BN223" s="28"/>
      <c r="BO223" s="28"/>
      <c r="BP223" s="28"/>
    </row>
    <row r="224" spans="3:68" ht="10.35" hidden="1" customHeight="1" outlineLevel="1" x14ac:dyDescent="0.2">
      <c r="C224" s="80"/>
      <c r="D224" s="433" t="s">
        <v>102</v>
      </c>
      <c r="E224" s="80"/>
      <c r="F224" s="511"/>
      <c r="G224" s="511"/>
      <c r="H224" s="511"/>
      <c r="I224" s="511"/>
      <c r="J224" s="511"/>
      <c r="K224" s="80"/>
      <c r="L224" s="412"/>
      <c r="M224" s="413"/>
      <c r="N224" s="80"/>
      <c r="O224" s="80"/>
      <c r="P224" s="80"/>
      <c r="Q224" s="80"/>
      <c r="R224" s="28"/>
      <c r="S224" s="28"/>
      <c r="T224" s="28"/>
      <c r="U224" s="28"/>
      <c r="V224" s="28"/>
      <c r="W224" s="28"/>
      <c r="X224" s="28"/>
      <c r="Y224" s="28"/>
      <c r="Z224" s="28"/>
      <c r="AA224" s="28"/>
      <c r="AB224" s="28"/>
      <c r="AC224" s="28"/>
      <c r="AD224" s="28"/>
      <c r="AE224" s="28"/>
      <c r="AF224" s="28"/>
      <c r="AG224" s="28"/>
      <c r="AH224" s="28"/>
      <c r="AI224" s="28"/>
      <c r="AJ224" s="28"/>
      <c r="AK224" s="28"/>
      <c r="AL224" s="28"/>
      <c r="AM224" s="28"/>
      <c r="AN224" s="28"/>
      <c r="AO224" s="28"/>
      <c r="AP224" s="28"/>
      <c r="AQ224" s="28"/>
      <c r="AR224" s="28"/>
      <c r="AS224" s="28"/>
      <c r="AT224" s="28"/>
      <c r="AU224" s="28"/>
      <c r="AV224" s="28"/>
      <c r="AW224" s="28"/>
      <c r="AX224" s="28"/>
      <c r="AY224" s="28"/>
      <c r="AZ224" s="28"/>
      <c r="BA224" s="28"/>
      <c r="BB224" s="28"/>
      <c r="BC224" s="28"/>
      <c r="BD224" s="28"/>
      <c r="BE224" s="28"/>
      <c r="BF224" s="28"/>
      <c r="BG224" s="28"/>
      <c r="BH224" s="28"/>
      <c r="BI224" s="28"/>
      <c r="BJ224" s="28"/>
      <c r="BK224" s="28"/>
      <c r="BL224" s="28"/>
      <c r="BM224" s="28"/>
      <c r="BN224" s="28"/>
      <c r="BO224" s="28"/>
      <c r="BP224" s="28"/>
    </row>
    <row r="225" spans="4:68" ht="10.35" hidden="1" customHeight="1" outlineLevel="1" x14ac:dyDescent="0.2">
      <c r="D225" s="433" t="s">
        <v>103</v>
      </c>
      <c r="E225" s="80"/>
      <c r="F225" s="511"/>
      <c r="G225" s="511"/>
      <c r="H225" s="511"/>
      <c r="I225" s="511"/>
      <c r="J225" s="511"/>
      <c r="K225" s="80"/>
      <c r="L225" s="412"/>
      <c r="M225" s="413"/>
      <c r="N225" s="80"/>
      <c r="O225" s="80"/>
      <c r="P225" s="80"/>
      <c r="Q225" s="80"/>
      <c r="R225" s="28"/>
      <c r="S225" s="28"/>
      <c r="T225" s="28"/>
      <c r="U225" s="28"/>
      <c r="V225" s="28"/>
      <c r="W225" s="28"/>
      <c r="X225" s="28"/>
      <c r="Y225" s="28"/>
      <c r="Z225" s="28"/>
      <c r="AA225" s="28"/>
      <c r="AB225" s="28"/>
      <c r="AC225" s="28"/>
      <c r="AD225" s="28"/>
      <c r="AE225" s="28"/>
      <c r="AF225" s="28"/>
      <c r="AG225" s="28"/>
      <c r="AH225" s="28"/>
      <c r="AI225" s="28"/>
      <c r="AJ225" s="28"/>
      <c r="AK225" s="28"/>
      <c r="AL225" s="28"/>
      <c r="AM225" s="28"/>
      <c r="AN225" s="28"/>
      <c r="AO225" s="28"/>
      <c r="AP225" s="28"/>
      <c r="AQ225" s="28"/>
      <c r="AR225" s="28"/>
      <c r="AS225" s="28"/>
      <c r="AT225" s="28"/>
      <c r="AU225" s="28"/>
      <c r="AV225" s="28"/>
      <c r="AW225" s="28"/>
      <c r="AX225" s="28"/>
      <c r="AY225" s="28"/>
      <c r="AZ225" s="28"/>
      <c r="BA225" s="28"/>
      <c r="BB225" s="28"/>
      <c r="BC225" s="28"/>
      <c r="BD225" s="28"/>
      <c r="BE225" s="28"/>
      <c r="BF225" s="28"/>
      <c r="BG225" s="28"/>
      <c r="BH225" s="28"/>
      <c r="BI225" s="28"/>
      <c r="BJ225" s="28"/>
      <c r="BK225" s="28"/>
      <c r="BL225" s="28"/>
      <c r="BM225" s="28"/>
      <c r="BN225" s="28"/>
      <c r="BO225" s="28"/>
      <c r="BP225" s="28"/>
    </row>
    <row r="226" spans="4:68" ht="10.35" hidden="1" customHeight="1" outlineLevel="1" x14ac:dyDescent="0.2">
      <c r="D226" s="433"/>
      <c r="E226" s="80"/>
      <c r="F226" s="83"/>
      <c r="G226" s="83"/>
      <c r="H226" s="83"/>
      <c r="I226" s="83"/>
      <c r="J226" s="83"/>
      <c r="K226" s="80"/>
      <c r="L226" s="412"/>
      <c r="M226" s="413"/>
      <c r="N226" s="80"/>
      <c r="O226" s="80"/>
      <c r="P226" s="80"/>
      <c r="Q226" s="80"/>
      <c r="R226" s="29"/>
      <c r="S226" s="29"/>
      <c r="T226" s="29"/>
      <c r="U226" s="29"/>
      <c r="V226" s="29"/>
      <c r="W226" s="29"/>
      <c r="X226" s="29"/>
      <c r="Y226" s="29"/>
      <c r="Z226" s="29"/>
      <c r="AA226" s="29"/>
      <c r="AB226" s="29"/>
      <c r="AC226" s="29"/>
      <c r="AD226" s="29"/>
      <c r="AE226" s="29"/>
      <c r="AF226" s="29"/>
      <c r="AG226" s="29"/>
      <c r="AH226" s="29"/>
      <c r="AI226" s="29"/>
      <c r="AJ226" s="29"/>
      <c r="AK226" s="29"/>
      <c r="AL226" s="29"/>
      <c r="AM226" s="29"/>
      <c r="AN226" s="29"/>
      <c r="AO226" s="29"/>
      <c r="AP226" s="29"/>
      <c r="AQ226" s="29"/>
      <c r="AR226" s="29"/>
      <c r="AS226" s="29"/>
      <c r="AT226" s="29"/>
      <c r="AU226" s="29"/>
      <c r="AV226" s="29"/>
      <c r="AW226" s="29"/>
      <c r="AX226" s="29"/>
      <c r="AY226" s="29"/>
      <c r="AZ226" s="29"/>
      <c r="BA226" s="29"/>
      <c r="BB226" s="29"/>
      <c r="BC226" s="29"/>
      <c r="BD226" s="29"/>
      <c r="BE226" s="29"/>
      <c r="BF226" s="29"/>
      <c r="BG226" s="29"/>
      <c r="BH226" s="29"/>
      <c r="BI226" s="29"/>
      <c r="BJ226" s="29"/>
      <c r="BK226" s="29"/>
      <c r="BL226" s="29"/>
      <c r="BM226" s="29"/>
      <c r="BN226" s="29"/>
      <c r="BO226" s="29"/>
      <c r="BP226" s="29"/>
    </row>
    <row r="227" spans="4:68" ht="10.35" hidden="1" customHeight="1" outlineLevel="1" x14ac:dyDescent="0.2">
      <c r="D227" t="s">
        <v>137</v>
      </c>
      <c r="E227" s="80"/>
      <c r="F227" s="511"/>
      <c r="G227" s="511"/>
      <c r="H227" s="511"/>
      <c r="I227" s="511"/>
      <c r="J227" s="511"/>
      <c r="K227" s="80"/>
      <c r="L227" s="412"/>
      <c r="M227" s="413"/>
      <c r="N227" s="80"/>
      <c r="O227" s="80"/>
      <c r="P227" s="80"/>
      <c r="Q227" s="80"/>
      <c r="R227" s="29">
        <f t="shared" ref="R227:AW227" si="15">SUM(R228:R232)</f>
        <v>0</v>
      </c>
      <c r="S227" s="29">
        <f t="shared" si="15"/>
        <v>0</v>
      </c>
      <c r="T227" s="29">
        <f t="shared" si="15"/>
        <v>0</v>
      </c>
      <c r="U227" s="29">
        <f t="shared" si="15"/>
        <v>0</v>
      </c>
      <c r="V227" s="29">
        <f t="shared" si="15"/>
        <v>0</v>
      </c>
      <c r="W227" s="29">
        <f t="shared" si="15"/>
        <v>0</v>
      </c>
      <c r="X227" s="29">
        <f t="shared" si="15"/>
        <v>0</v>
      </c>
      <c r="Y227" s="29">
        <f t="shared" si="15"/>
        <v>0</v>
      </c>
      <c r="Z227" s="29">
        <f t="shared" si="15"/>
        <v>0</v>
      </c>
      <c r="AA227" s="29">
        <f t="shared" si="15"/>
        <v>0</v>
      </c>
      <c r="AB227" s="29">
        <f t="shared" si="15"/>
        <v>0</v>
      </c>
      <c r="AC227" s="29">
        <f t="shared" si="15"/>
        <v>0</v>
      </c>
      <c r="AD227" s="29">
        <f t="shared" si="15"/>
        <v>0</v>
      </c>
      <c r="AE227" s="29">
        <f t="shared" si="15"/>
        <v>0</v>
      </c>
      <c r="AF227" s="29">
        <f t="shared" si="15"/>
        <v>0</v>
      </c>
      <c r="AG227" s="29">
        <f t="shared" si="15"/>
        <v>0</v>
      </c>
      <c r="AH227" s="29">
        <f t="shared" si="15"/>
        <v>0</v>
      </c>
      <c r="AI227" s="29">
        <f t="shared" si="15"/>
        <v>0</v>
      </c>
      <c r="AJ227" s="29">
        <f t="shared" si="15"/>
        <v>0</v>
      </c>
      <c r="AK227" s="29">
        <f t="shared" si="15"/>
        <v>0</v>
      </c>
      <c r="AL227" s="29">
        <f t="shared" si="15"/>
        <v>0</v>
      </c>
      <c r="AM227" s="29">
        <f t="shared" si="15"/>
        <v>0</v>
      </c>
      <c r="AN227" s="29">
        <f t="shared" si="15"/>
        <v>0</v>
      </c>
      <c r="AO227" s="29">
        <f t="shared" si="15"/>
        <v>0</v>
      </c>
      <c r="AP227" s="29">
        <f t="shared" si="15"/>
        <v>0</v>
      </c>
      <c r="AQ227" s="29">
        <f t="shared" si="15"/>
        <v>0</v>
      </c>
      <c r="AR227" s="29">
        <f t="shared" si="15"/>
        <v>0</v>
      </c>
      <c r="AS227" s="29">
        <f t="shared" si="15"/>
        <v>0</v>
      </c>
      <c r="AT227" s="29">
        <f t="shared" si="15"/>
        <v>0</v>
      </c>
      <c r="AU227" s="29">
        <f t="shared" si="15"/>
        <v>0</v>
      </c>
      <c r="AV227" s="29">
        <f t="shared" si="15"/>
        <v>0</v>
      </c>
      <c r="AW227" s="29">
        <f t="shared" si="15"/>
        <v>0</v>
      </c>
      <c r="AX227" s="29">
        <f t="shared" ref="AX227:BP227" si="16">SUM(AX228:AX232)</f>
        <v>0</v>
      </c>
      <c r="AY227" s="29">
        <f t="shared" si="16"/>
        <v>0</v>
      </c>
      <c r="AZ227" s="29">
        <f t="shared" si="16"/>
        <v>0</v>
      </c>
      <c r="BA227" s="29">
        <f t="shared" si="16"/>
        <v>0</v>
      </c>
      <c r="BB227" s="29">
        <f t="shared" si="16"/>
        <v>0</v>
      </c>
      <c r="BC227" s="29">
        <f t="shared" si="16"/>
        <v>0</v>
      </c>
      <c r="BD227" s="29">
        <f t="shared" si="16"/>
        <v>0</v>
      </c>
      <c r="BE227" s="29">
        <f t="shared" si="16"/>
        <v>0</v>
      </c>
      <c r="BF227" s="29">
        <f t="shared" si="16"/>
        <v>0</v>
      </c>
      <c r="BG227" s="29">
        <f t="shared" si="16"/>
        <v>0</v>
      </c>
      <c r="BH227" s="29">
        <f t="shared" si="16"/>
        <v>0</v>
      </c>
      <c r="BI227" s="29">
        <f t="shared" si="16"/>
        <v>0</v>
      </c>
      <c r="BJ227" s="29">
        <f t="shared" si="16"/>
        <v>0</v>
      </c>
      <c r="BK227" s="29">
        <f t="shared" si="16"/>
        <v>0</v>
      </c>
      <c r="BL227" s="29">
        <f t="shared" si="16"/>
        <v>0</v>
      </c>
      <c r="BM227" s="29">
        <f t="shared" si="16"/>
        <v>0</v>
      </c>
      <c r="BN227" s="29">
        <f t="shared" si="16"/>
        <v>0</v>
      </c>
      <c r="BO227" s="29">
        <f t="shared" si="16"/>
        <v>0</v>
      </c>
      <c r="BP227" s="29">
        <f t="shared" si="16"/>
        <v>0</v>
      </c>
    </row>
    <row r="228" spans="4:68" ht="10.35" hidden="1" customHeight="1" outlineLevel="1" x14ac:dyDescent="0.2">
      <c r="D228" s="433" t="s">
        <v>99</v>
      </c>
      <c r="E228" s="80"/>
      <c r="F228" s="511"/>
      <c r="G228" s="511"/>
      <c r="H228" s="511"/>
      <c r="I228" s="511"/>
      <c r="J228" s="511"/>
      <c r="K228" s="80"/>
      <c r="L228" s="412"/>
      <c r="M228" s="413"/>
      <c r="N228" s="80"/>
      <c r="O228" s="80"/>
      <c r="P228" s="80"/>
      <c r="Q228" s="80"/>
      <c r="R228" s="28"/>
      <c r="S228" s="28"/>
      <c r="T228" s="28"/>
      <c r="U228" s="28"/>
      <c r="V228" s="28"/>
      <c r="W228" s="28"/>
      <c r="X228" s="28"/>
      <c r="Y228" s="28"/>
      <c r="Z228" s="28"/>
      <c r="AA228" s="28"/>
      <c r="AB228" s="28"/>
      <c r="AC228" s="28"/>
      <c r="AD228" s="28"/>
      <c r="AE228" s="28"/>
      <c r="AF228" s="28"/>
      <c r="AG228" s="28"/>
      <c r="AH228" s="28"/>
      <c r="AI228" s="28"/>
      <c r="AJ228" s="28"/>
      <c r="AK228" s="28"/>
      <c r="AL228" s="28"/>
      <c r="AM228" s="28"/>
      <c r="AN228" s="28"/>
      <c r="AO228" s="28"/>
      <c r="AP228" s="28"/>
      <c r="AQ228" s="28"/>
      <c r="AR228" s="28"/>
      <c r="AS228" s="28"/>
      <c r="AT228" s="28"/>
      <c r="AU228" s="28"/>
      <c r="AV228" s="28"/>
      <c r="AW228" s="28"/>
      <c r="AX228" s="28"/>
      <c r="AY228" s="28"/>
      <c r="AZ228" s="28"/>
      <c r="BA228" s="28"/>
      <c r="BB228" s="28"/>
      <c r="BC228" s="28"/>
      <c r="BD228" s="28"/>
      <c r="BE228" s="28"/>
      <c r="BF228" s="28"/>
      <c r="BG228" s="28"/>
      <c r="BH228" s="28"/>
      <c r="BI228" s="28"/>
      <c r="BJ228" s="28"/>
      <c r="BK228" s="28"/>
      <c r="BL228" s="28"/>
      <c r="BM228" s="28"/>
      <c r="BN228" s="28"/>
      <c r="BO228" s="28"/>
      <c r="BP228" s="28"/>
    </row>
    <row r="229" spans="4:68" ht="10.35" hidden="1" customHeight="1" outlineLevel="1" x14ac:dyDescent="0.2">
      <c r="D229" s="433" t="s">
        <v>100</v>
      </c>
      <c r="E229" s="80"/>
      <c r="F229" s="511"/>
      <c r="G229" s="511"/>
      <c r="H229" s="511"/>
      <c r="I229" s="511"/>
      <c r="J229" s="511"/>
      <c r="K229" s="80"/>
      <c r="L229" s="412"/>
      <c r="M229" s="413"/>
      <c r="N229" s="80"/>
      <c r="O229" s="80"/>
      <c r="P229" s="80"/>
      <c r="Q229" s="80"/>
      <c r="R229" s="28"/>
      <c r="S229" s="28"/>
      <c r="T229" s="28"/>
      <c r="U229" s="28"/>
      <c r="V229" s="28"/>
      <c r="W229" s="28"/>
      <c r="X229" s="28"/>
      <c r="Y229" s="28"/>
      <c r="Z229" s="28"/>
      <c r="AA229" s="28"/>
      <c r="AB229" s="28"/>
      <c r="AC229" s="28"/>
      <c r="AD229" s="28"/>
      <c r="AE229" s="28"/>
      <c r="AF229" s="28"/>
      <c r="AG229" s="28"/>
      <c r="AH229" s="28"/>
      <c r="AI229" s="28"/>
      <c r="AJ229" s="28"/>
      <c r="AK229" s="28"/>
      <c r="AL229" s="28"/>
      <c r="AM229" s="28"/>
      <c r="AN229" s="28"/>
      <c r="AO229" s="28"/>
      <c r="AP229" s="28"/>
      <c r="AQ229" s="28"/>
      <c r="AR229" s="28"/>
      <c r="AS229" s="28"/>
      <c r="AT229" s="28"/>
      <c r="AU229" s="28"/>
      <c r="AV229" s="28"/>
      <c r="AW229" s="28"/>
      <c r="AX229" s="28"/>
      <c r="AY229" s="28"/>
      <c r="AZ229" s="28"/>
      <c r="BA229" s="28"/>
      <c r="BB229" s="28"/>
      <c r="BC229" s="28"/>
      <c r="BD229" s="28"/>
      <c r="BE229" s="28"/>
      <c r="BF229" s="28"/>
      <c r="BG229" s="28"/>
      <c r="BH229" s="28"/>
      <c r="BI229" s="28"/>
      <c r="BJ229" s="28"/>
      <c r="BK229" s="28"/>
      <c r="BL229" s="28"/>
      <c r="BM229" s="28"/>
      <c r="BN229" s="28"/>
      <c r="BO229" s="28"/>
      <c r="BP229" s="28"/>
    </row>
    <row r="230" spans="4:68" ht="10.35" hidden="1" customHeight="1" outlineLevel="1" x14ac:dyDescent="0.2">
      <c r="D230" s="433" t="s">
        <v>101</v>
      </c>
      <c r="E230" s="80"/>
      <c r="F230" s="511"/>
      <c r="G230" s="511"/>
      <c r="H230" s="511"/>
      <c r="I230" s="511"/>
      <c r="J230" s="511"/>
      <c r="K230" s="80"/>
      <c r="L230" s="412"/>
      <c r="M230" s="413"/>
      <c r="N230" s="80"/>
      <c r="O230" s="80"/>
      <c r="P230" s="80"/>
      <c r="Q230" s="80"/>
      <c r="R230" s="28"/>
      <c r="S230" s="28"/>
      <c r="T230" s="28"/>
      <c r="U230" s="28"/>
      <c r="V230" s="28"/>
      <c r="W230" s="28"/>
      <c r="X230" s="28"/>
      <c r="Y230" s="28"/>
      <c r="Z230" s="28"/>
      <c r="AA230" s="28"/>
      <c r="AB230" s="28"/>
      <c r="AC230" s="28"/>
      <c r="AD230" s="28"/>
      <c r="AE230" s="28"/>
      <c r="AF230" s="28"/>
      <c r="AG230" s="28"/>
      <c r="AH230" s="28"/>
      <c r="AI230" s="28"/>
      <c r="AJ230" s="28"/>
      <c r="AK230" s="28"/>
      <c r="AL230" s="28"/>
      <c r="AM230" s="28"/>
      <c r="AN230" s="28"/>
      <c r="AO230" s="28"/>
      <c r="AP230" s="28"/>
      <c r="AQ230" s="28"/>
      <c r="AR230" s="28"/>
      <c r="AS230" s="28"/>
      <c r="AT230" s="28"/>
      <c r="AU230" s="28"/>
      <c r="AV230" s="28"/>
      <c r="AW230" s="28"/>
      <c r="AX230" s="28"/>
      <c r="AY230" s="28"/>
      <c r="AZ230" s="28"/>
      <c r="BA230" s="28"/>
      <c r="BB230" s="28"/>
      <c r="BC230" s="28"/>
      <c r="BD230" s="28"/>
      <c r="BE230" s="28"/>
      <c r="BF230" s="28"/>
      <c r="BG230" s="28"/>
      <c r="BH230" s="28"/>
      <c r="BI230" s="28"/>
      <c r="BJ230" s="28"/>
      <c r="BK230" s="28"/>
      <c r="BL230" s="28"/>
      <c r="BM230" s="28"/>
      <c r="BN230" s="28"/>
      <c r="BO230" s="28"/>
      <c r="BP230" s="28"/>
    </row>
    <row r="231" spans="4:68" ht="10.35" hidden="1" customHeight="1" outlineLevel="1" x14ac:dyDescent="0.2">
      <c r="D231" s="433" t="s">
        <v>102</v>
      </c>
      <c r="E231" s="80"/>
      <c r="F231" s="511"/>
      <c r="G231" s="511"/>
      <c r="H231" s="511"/>
      <c r="I231" s="511"/>
      <c r="J231" s="511"/>
      <c r="K231" s="80"/>
      <c r="L231" s="412"/>
      <c r="M231" s="413"/>
      <c r="N231" s="80"/>
      <c r="O231" s="80"/>
      <c r="P231" s="80"/>
      <c r="Q231" s="80"/>
      <c r="R231" s="28"/>
      <c r="S231" s="28"/>
      <c r="T231" s="28"/>
      <c r="U231" s="28"/>
      <c r="V231" s="28"/>
      <c r="W231" s="28"/>
      <c r="X231" s="28"/>
      <c r="Y231" s="28"/>
      <c r="Z231" s="28"/>
      <c r="AA231" s="28"/>
      <c r="AB231" s="28"/>
      <c r="AC231" s="28"/>
      <c r="AD231" s="28"/>
      <c r="AE231" s="28"/>
      <c r="AF231" s="28"/>
      <c r="AG231" s="28"/>
      <c r="AH231" s="28"/>
      <c r="AI231" s="28"/>
      <c r="AJ231" s="28"/>
      <c r="AK231" s="28"/>
      <c r="AL231" s="28"/>
      <c r="AM231" s="28"/>
      <c r="AN231" s="28"/>
      <c r="AO231" s="28"/>
      <c r="AP231" s="28"/>
      <c r="AQ231" s="28"/>
      <c r="AR231" s="28"/>
      <c r="AS231" s="28"/>
      <c r="AT231" s="28"/>
      <c r="AU231" s="28"/>
      <c r="AV231" s="28"/>
      <c r="AW231" s="28"/>
      <c r="AX231" s="28"/>
      <c r="AY231" s="28"/>
      <c r="AZ231" s="28"/>
      <c r="BA231" s="28"/>
      <c r="BB231" s="28"/>
      <c r="BC231" s="28"/>
      <c r="BD231" s="28"/>
      <c r="BE231" s="28"/>
      <c r="BF231" s="28"/>
      <c r="BG231" s="28"/>
      <c r="BH231" s="28"/>
      <c r="BI231" s="28"/>
      <c r="BJ231" s="28"/>
      <c r="BK231" s="28"/>
      <c r="BL231" s="28"/>
      <c r="BM231" s="28"/>
      <c r="BN231" s="28"/>
      <c r="BO231" s="28"/>
      <c r="BP231" s="28"/>
    </row>
    <row r="232" spans="4:68" ht="10.35" hidden="1" customHeight="1" outlineLevel="1" x14ac:dyDescent="0.2">
      <c r="D232" s="433" t="s">
        <v>103</v>
      </c>
      <c r="E232" s="80"/>
      <c r="F232" s="511"/>
      <c r="G232" s="511"/>
      <c r="H232" s="511"/>
      <c r="I232" s="511"/>
      <c r="J232" s="511"/>
      <c r="K232" s="80"/>
      <c r="L232" s="412"/>
      <c r="M232" s="413"/>
      <c r="N232" s="80"/>
      <c r="O232" s="80"/>
      <c r="P232" s="80"/>
      <c r="Q232" s="80"/>
      <c r="R232" s="28"/>
      <c r="S232" s="28"/>
      <c r="T232" s="28"/>
      <c r="U232" s="28"/>
      <c r="V232" s="28"/>
      <c r="W232" s="28"/>
      <c r="X232" s="28"/>
      <c r="Y232" s="28"/>
      <c r="Z232" s="28"/>
      <c r="AA232" s="28"/>
      <c r="AB232" s="28"/>
      <c r="AC232" s="28"/>
      <c r="AD232" s="28"/>
      <c r="AE232" s="28"/>
      <c r="AF232" s="28"/>
      <c r="AG232" s="28"/>
      <c r="AH232" s="28"/>
      <c r="AI232" s="28"/>
      <c r="AJ232" s="28"/>
      <c r="AK232" s="28"/>
      <c r="AL232" s="28"/>
      <c r="AM232" s="28"/>
      <c r="AN232" s="28"/>
      <c r="AO232" s="28"/>
      <c r="AP232" s="28"/>
      <c r="AQ232" s="28"/>
      <c r="AR232" s="28"/>
      <c r="AS232" s="28"/>
      <c r="AT232" s="28"/>
      <c r="AU232" s="28"/>
      <c r="AV232" s="28"/>
      <c r="AW232" s="28"/>
      <c r="AX232" s="28"/>
      <c r="AY232" s="28"/>
      <c r="AZ232" s="28"/>
      <c r="BA232" s="28"/>
      <c r="BB232" s="28"/>
      <c r="BC232" s="28"/>
      <c r="BD232" s="28"/>
      <c r="BE232" s="28"/>
      <c r="BF232" s="28"/>
      <c r="BG232" s="28"/>
      <c r="BH232" s="28"/>
      <c r="BI232" s="28"/>
      <c r="BJ232" s="28"/>
      <c r="BK232" s="28"/>
      <c r="BL232" s="28"/>
      <c r="BM232" s="28"/>
      <c r="BN232" s="28"/>
      <c r="BO232" s="28"/>
      <c r="BP232" s="28"/>
    </row>
    <row r="233" spans="4:68" ht="10.35" hidden="1" customHeight="1" outlineLevel="1" x14ac:dyDescent="0.2">
      <c r="D233" s="433"/>
      <c r="E233" s="80"/>
      <c r="F233" s="83"/>
      <c r="G233" s="83"/>
      <c r="H233" s="83"/>
      <c r="I233" s="83"/>
      <c r="J233" s="83"/>
      <c r="K233" s="80"/>
      <c r="L233" s="412"/>
      <c r="M233" s="413"/>
      <c r="N233" s="80"/>
      <c r="O233" s="80"/>
      <c r="P233" s="80"/>
      <c r="Q233" s="80"/>
      <c r="R233" s="29"/>
      <c r="S233" s="29"/>
      <c r="T233" s="29"/>
      <c r="U233" s="29"/>
      <c r="V233" s="29"/>
      <c r="W233" s="29"/>
      <c r="X233" s="29"/>
      <c r="Y233" s="29"/>
      <c r="Z233" s="29"/>
      <c r="AA233" s="29"/>
      <c r="AB233" s="29"/>
      <c r="AC233" s="29"/>
      <c r="AD233" s="29"/>
      <c r="AE233" s="29"/>
      <c r="AF233" s="29"/>
      <c r="AG233" s="29"/>
      <c r="AH233" s="29"/>
      <c r="AI233" s="29"/>
      <c r="AJ233" s="29"/>
      <c r="AK233" s="29"/>
      <c r="AL233" s="29"/>
      <c r="AM233" s="29"/>
      <c r="AN233" s="29"/>
      <c r="AO233" s="29"/>
      <c r="AP233" s="29"/>
      <c r="AQ233" s="29"/>
      <c r="AR233" s="29"/>
      <c r="AS233" s="29"/>
      <c r="AT233" s="29"/>
      <c r="AU233" s="29"/>
      <c r="AV233" s="29"/>
      <c r="AW233" s="29"/>
      <c r="AX233" s="29"/>
      <c r="AY233" s="29"/>
      <c r="AZ233" s="29"/>
      <c r="BA233" s="29"/>
      <c r="BB233" s="29"/>
      <c r="BC233" s="29"/>
      <c r="BD233" s="29"/>
      <c r="BE233" s="29"/>
      <c r="BF233" s="29"/>
      <c r="BG233" s="29"/>
      <c r="BH233" s="29"/>
      <c r="BI233" s="29"/>
      <c r="BJ233" s="29"/>
      <c r="BK233" s="29"/>
      <c r="BL233" s="29"/>
      <c r="BM233" s="29"/>
      <c r="BN233" s="29"/>
      <c r="BO233" s="29"/>
      <c r="BP233" s="29"/>
    </row>
    <row r="234" spans="4:68" ht="10.35" hidden="1" customHeight="1" outlineLevel="1" x14ac:dyDescent="0.2">
      <c r="D234" s="99" t="s">
        <v>138</v>
      </c>
      <c r="E234" s="80"/>
      <c r="F234" s="511"/>
      <c r="G234" s="511"/>
      <c r="H234" s="511"/>
      <c r="I234" s="511"/>
      <c r="J234" s="511"/>
      <c r="K234" s="80"/>
      <c r="L234" s="412"/>
      <c r="M234" s="413"/>
      <c r="N234" s="80"/>
      <c r="O234" s="80"/>
      <c r="P234" s="80"/>
      <c r="Q234" s="80"/>
      <c r="R234" s="29">
        <f t="shared" ref="R234:AW234" si="17">SUM(R235:R239)</f>
        <v>0</v>
      </c>
      <c r="S234" s="29">
        <f t="shared" si="17"/>
        <v>0</v>
      </c>
      <c r="T234" s="29">
        <f t="shared" ref="T234:Y234" si="18">SUM(T235:T239)</f>
        <v>0</v>
      </c>
      <c r="U234" s="29">
        <f t="shared" si="18"/>
        <v>0</v>
      </c>
      <c r="V234" s="29">
        <f t="shared" si="18"/>
        <v>0</v>
      </c>
      <c r="W234" s="29">
        <f t="shared" si="18"/>
        <v>0</v>
      </c>
      <c r="X234" s="29">
        <f t="shared" si="18"/>
        <v>0</v>
      </c>
      <c r="Y234" s="29">
        <f t="shared" si="18"/>
        <v>0</v>
      </c>
      <c r="Z234" s="29">
        <f t="shared" si="17"/>
        <v>0</v>
      </c>
      <c r="AA234" s="29">
        <f t="shared" si="17"/>
        <v>0</v>
      </c>
      <c r="AB234" s="29">
        <f t="shared" si="17"/>
        <v>0</v>
      </c>
      <c r="AC234" s="29">
        <f t="shared" si="17"/>
        <v>0</v>
      </c>
      <c r="AD234" s="29">
        <f t="shared" si="17"/>
        <v>0</v>
      </c>
      <c r="AE234" s="29">
        <f t="shared" si="17"/>
        <v>0</v>
      </c>
      <c r="AF234" s="29">
        <f t="shared" si="17"/>
        <v>0</v>
      </c>
      <c r="AG234" s="29">
        <f t="shared" si="17"/>
        <v>0</v>
      </c>
      <c r="AH234" s="29">
        <f t="shared" si="17"/>
        <v>0</v>
      </c>
      <c r="AI234" s="29">
        <f t="shared" si="17"/>
        <v>0</v>
      </c>
      <c r="AJ234" s="29">
        <f t="shared" si="17"/>
        <v>0</v>
      </c>
      <c r="AK234" s="29">
        <f t="shared" si="17"/>
        <v>0</v>
      </c>
      <c r="AL234" s="29">
        <f t="shared" si="17"/>
        <v>0</v>
      </c>
      <c r="AM234" s="29">
        <f t="shared" si="17"/>
        <v>0</v>
      </c>
      <c r="AN234" s="29">
        <f t="shared" si="17"/>
        <v>0</v>
      </c>
      <c r="AO234" s="29">
        <f t="shared" si="17"/>
        <v>0</v>
      </c>
      <c r="AP234" s="29">
        <f t="shared" si="17"/>
        <v>0</v>
      </c>
      <c r="AQ234" s="29">
        <f t="shared" si="17"/>
        <v>0</v>
      </c>
      <c r="AR234" s="29">
        <f t="shared" si="17"/>
        <v>0</v>
      </c>
      <c r="AS234" s="29">
        <f t="shared" si="17"/>
        <v>0</v>
      </c>
      <c r="AT234" s="29">
        <f t="shared" si="17"/>
        <v>0</v>
      </c>
      <c r="AU234" s="29">
        <f t="shared" si="17"/>
        <v>0</v>
      </c>
      <c r="AV234" s="29">
        <f t="shared" si="17"/>
        <v>0</v>
      </c>
      <c r="AW234" s="29">
        <f t="shared" si="17"/>
        <v>0</v>
      </c>
      <c r="AX234" s="29">
        <f t="shared" ref="AX234:BP234" si="19">SUM(AX235:AX239)</f>
        <v>0</v>
      </c>
      <c r="AY234" s="29">
        <f t="shared" si="19"/>
        <v>0</v>
      </c>
      <c r="AZ234" s="29">
        <f t="shared" si="19"/>
        <v>0</v>
      </c>
      <c r="BA234" s="29">
        <f t="shared" si="19"/>
        <v>0</v>
      </c>
      <c r="BB234" s="29">
        <f t="shared" si="19"/>
        <v>0</v>
      </c>
      <c r="BC234" s="29">
        <f t="shared" si="19"/>
        <v>0</v>
      </c>
      <c r="BD234" s="29">
        <f t="shared" si="19"/>
        <v>0</v>
      </c>
      <c r="BE234" s="29">
        <f t="shared" si="19"/>
        <v>0</v>
      </c>
      <c r="BF234" s="29">
        <f t="shared" si="19"/>
        <v>0</v>
      </c>
      <c r="BG234" s="29">
        <f t="shared" si="19"/>
        <v>0</v>
      </c>
      <c r="BH234" s="29">
        <f t="shared" si="19"/>
        <v>0</v>
      </c>
      <c r="BI234" s="29">
        <f t="shared" si="19"/>
        <v>0</v>
      </c>
      <c r="BJ234" s="29">
        <f t="shared" si="19"/>
        <v>0</v>
      </c>
      <c r="BK234" s="29">
        <f t="shared" si="19"/>
        <v>0</v>
      </c>
      <c r="BL234" s="29">
        <f t="shared" si="19"/>
        <v>0</v>
      </c>
      <c r="BM234" s="29">
        <f t="shared" si="19"/>
        <v>0</v>
      </c>
      <c r="BN234" s="29">
        <f t="shared" si="19"/>
        <v>0</v>
      </c>
      <c r="BO234" s="29">
        <f t="shared" si="19"/>
        <v>0</v>
      </c>
      <c r="BP234" s="29">
        <f t="shared" si="19"/>
        <v>0</v>
      </c>
    </row>
    <row r="235" spans="4:68" ht="10.35" hidden="1" customHeight="1" outlineLevel="1" x14ac:dyDescent="0.2">
      <c r="D235" s="433" t="s">
        <v>99</v>
      </c>
      <c r="E235" s="80"/>
      <c r="F235" s="511"/>
      <c r="G235" s="511"/>
      <c r="H235" s="511"/>
      <c r="I235" s="511"/>
      <c r="J235" s="511"/>
      <c r="K235" s="80"/>
      <c r="L235" s="412"/>
      <c r="M235" s="413"/>
      <c r="N235" s="80"/>
      <c r="O235" s="80"/>
      <c r="P235" s="80"/>
      <c r="Q235" s="80"/>
      <c r="R235" s="28"/>
      <c r="S235" s="28"/>
      <c r="T235" s="28"/>
      <c r="U235" s="28"/>
      <c r="V235" s="28"/>
      <c r="W235" s="28"/>
      <c r="X235" s="28"/>
      <c r="Y235" s="28"/>
      <c r="Z235" s="28"/>
      <c r="AA235" s="28"/>
      <c r="AB235" s="28"/>
      <c r="AC235" s="28"/>
      <c r="AD235" s="28"/>
      <c r="AE235" s="28"/>
      <c r="AF235" s="28"/>
      <c r="AG235" s="28"/>
      <c r="AH235" s="28"/>
      <c r="AI235" s="28"/>
      <c r="AJ235" s="28"/>
      <c r="AK235" s="28"/>
      <c r="AL235" s="28"/>
      <c r="AM235" s="28"/>
      <c r="AN235" s="28"/>
      <c r="AO235" s="28"/>
      <c r="AP235" s="28"/>
      <c r="AQ235" s="28"/>
      <c r="AR235" s="28"/>
      <c r="AS235" s="28"/>
      <c r="AT235" s="28"/>
      <c r="AU235" s="28"/>
      <c r="AV235" s="28"/>
      <c r="AW235" s="28"/>
      <c r="AX235" s="28"/>
      <c r="AY235" s="28"/>
      <c r="AZ235" s="28"/>
      <c r="BA235" s="28"/>
      <c r="BB235" s="28"/>
      <c r="BC235" s="28"/>
      <c r="BD235" s="28"/>
      <c r="BE235" s="28"/>
      <c r="BF235" s="28"/>
      <c r="BG235" s="28"/>
      <c r="BH235" s="28"/>
      <c r="BI235" s="28"/>
      <c r="BJ235" s="28"/>
      <c r="BK235" s="28"/>
      <c r="BL235" s="28"/>
      <c r="BM235" s="28"/>
      <c r="BN235" s="28"/>
      <c r="BO235" s="28"/>
      <c r="BP235" s="28"/>
    </row>
    <row r="236" spans="4:68" ht="10.35" hidden="1" customHeight="1" outlineLevel="1" x14ac:dyDescent="0.2">
      <c r="D236" s="433" t="s">
        <v>100</v>
      </c>
      <c r="E236" s="80"/>
      <c r="F236" s="511"/>
      <c r="G236" s="511"/>
      <c r="H236" s="511"/>
      <c r="I236" s="511"/>
      <c r="J236" s="511"/>
      <c r="K236" s="80"/>
      <c r="L236" s="412"/>
      <c r="M236" s="413"/>
      <c r="N236" s="80"/>
      <c r="O236" s="80"/>
      <c r="P236" s="80"/>
      <c r="Q236" s="80"/>
      <c r="R236" s="28"/>
      <c r="S236" s="28"/>
      <c r="T236" s="28"/>
      <c r="U236" s="28"/>
      <c r="V236" s="28"/>
      <c r="W236" s="28"/>
      <c r="X236" s="28"/>
      <c r="Y236" s="28"/>
      <c r="Z236" s="28"/>
      <c r="AA236" s="28"/>
      <c r="AB236" s="28"/>
      <c r="AC236" s="28"/>
      <c r="AD236" s="28"/>
      <c r="AE236" s="28"/>
      <c r="AF236" s="28"/>
      <c r="AG236" s="28"/>
      <c r="AH236" s="28"/>
      <c r="AI236" s="28"/>
      <c r="AJ236" s="28"/>
      <c r="AK236" s="28"/>
      <c r="AL236" s="28"/>
      <c r="AM236" s="28"/>
      <c r="AN236" s="28"/>
      <c r="AO236" s="28"/>
      <c r="AP236" s="28"/>
      <c r="AQ236" s="28"/>
      <c r="AR236" s="28"/>
      <c r="AS236" s="28"/>
      <c r="AT236" s="28"/>
      <c r="AU236" s="28"/>
      <c r="AV236" s="28"/>
      <c r="AW236" s="28"/>
      <c r="AX236" s="28"/>
      <c r="AY236" s="28"/>
      <c r="AZ236" s="28"/>
      <c r="BA236" s="28"/>
      <c r="BB236" s="28"/>
      <c r="BC236" s="28"/>
      <c r="BD236" s="28"/>
      <c r="BE236" s="28"/>
      <c r="BF236" s="28"/>
      <c r="BG236" s="28"/>
      <c r="BH236" s="28"/>
      <c r="BI236" s="28"/>
      <c r="BJ236" s="28"/>
      <c r="BK236" s="28"/>
      <c r="BL236" s="28"/>
      <c r="BM236" s="28"/>
      <c r="BN236" s="28"/>
      <c r="BO236" s="28"/>
      <c r="BP236" s="28"/>
    </row>
    <row r="237" spans="4:68" ht="10.35" hidden="1" customHeight="1" outlineLevel="1" x14ac:dyDescent="0.2">
      <c r="D237" s="433" t="s">
        <v>101</v>
      </c>
      <c r="E237" s="80"/>
      <c r="F237" s="511"/>
      <c r="G237" s="511"/>
      <c r="H237" s="511"/>
      <c r="I237" s="511"/>
      <c r="J237" s="511"/>
      <c r="K237" s="80"/>
      <c r="L237" s="412"/>
      <c r="M237" s="413"/>
      <c r="N237" s="80"/>
      <c r="O237" s="80"/>
      <c r="P237" s="80"/>
      <c r="Q237" s="80"/>
      <c r="R237" s="28"/>
      <c r="S237" s="28"/>
      <c r="T237" s="28"/>
      <c r="U237" s="28"/>
      <c r="V237" s="28"/>
      <c r="W237" s="28"/>
      <c r="X237" s="28"/>
      <c r="Y237" s="28"/>
      <c r="Z237" s="28"/>
      <c r="AA237" s="28"/>
      <c r="AB237" s="28"/>
      <c r="AC237" s="28"/>
      <c r="AD237" s="28"/>
      <c r="AE237" s="28"/>
      <c r="AF237" s="28"/>
      <c r="AG237" s="28"/>
      <c r="AH237" s="28"/>
      <c r="AI237" s="28"/>
      <c r="AJ237" s="28"/>
      <c r="AK237" s="28"/>
      <c r="AL237" s="28"/>
      <c r="AM237" s="28"/>
      <c r="AN237" s="28"/>
      <c r="AO237" s="28"/>
      <c r="AP237" s="28"/>
      <c r="AQ237" s="28"/>
      <c r="AR237" s="28"/>
      <c r="AS237" s="28"/>
      <c r="AT237" s="28"/>
      <c r="AU237" s="28"/>
      <c r="AV237" s="28"/>
      <c r="AW237" s="28"/>
      <c r="AX237" s="28"/>
      <c r="AY237" s="28"/>
      <c r="AZ237" s="28"/>
      <c r="BA237" s="28"/>
      <c r="BB237" s="28"/>
      <c r="BC237" s="28"/>
      <c r="BD237" s="28"/>
      <c r="BE237" s="28"/>
      <c r="BF237" s="28"/>
      <c r="BG237" s="28"/>
      <c r="BH237" s="28"/>
      <c r="BI237" s="28"/>
      <c r="BJ237" s="28"/>
      <c r="BK237" s="28"/>
      <c r="BL237" s="28"/>
      <c r="BM237" s="28"/>
      <c r="BN237" s="28"/>
      <c r="BO237" s="28"/>
      <c r="BP237" s="28"/>
    </row>
    <row r="238" spans="4:68" ht="10.35" hidden="1" customHeight="1" outlineLevel="1" x14ac:dyDescent="0.2">
      <c r="D238" s="433" t="s">
        <v>102</v>
      </c>
      <c r="E238" s="80"/>
      <c r="F238" s="511"/>
      <c r="G238" s="511"/>
      <c r="H238" s="511"/>
      <c r="I238" s="511"/>
      <c r="J238" s="511"/>
      <c r="K238" s="80"/>
      <c r="L238" s="412"/>
      <c r="M238" s="413"/>
      <c r="N238" s="80"/>
      <c r="O238" s="80"/>
      <c r="P238" s="80"/>
      <c r="Q238" s="80"/>
      <c r="R238" s="28"/>
      <c r="S238" s="28"/>
      <c r="T238" s="28"/>
      <c r="U238" s="28"/>
      <c r="V238" s="28"/>
      <c r="W238" s="28"/>
      <c r="X238" s="28"/>
      <c r="Y238" s="28"/>
      <c r="Z238" s="28"/>
      <c r="AA238" s="28"/>
      <c r="AB238" s="28"/>
      <c r="AC238" s="28"/>
      <c r="AD238" s="28"/>
      <c r="AE238" s="28"/>
      <c r="AF238" s="28"/>
      <c r="AG238" s="28"/>
      <c r="AH238" s="28"/>
      <c r="AI238" s="28"/>
      <c r="AJ238" s="28"/>
      <c r="AK238" s="28"/>
      <c r="AL238" s="28"/>
      <c r="AM238" s="28"/>
      <c r="AN238" s="28"/>
      <c r="AO238" s="28"/>
      <c r="AP238" s="28"/>
      <c r="AQ238" s="28"/>
      <c r="AR238" s="28"/>
      <c r="AS238" s="28"/>
      <c r="AT238" s="28"/>
      <c r="AU238" s="28"/>
      <c r="AV238" s="28"/>
      <c r="AW238" s="28"/>
      <c r="AX238" s="28"/>
      <c r="AY238" s="28"/>
      <c r="AZ238" s="28"/>
      <c r="BA238" s="28"/>
      <c r="BB238" s="28"/>
      <c r="BC238" s="28"/>
      <c r="BD238" s="28"/>
      <c r="BE238" s="28"/>
      <c r="BF238" s="28"/>
      <c r="BG238" s="28"/>
      <c r="BH238" s="28"/>
      <c r="BI238" s="28"/>
      <c r="BJ238" s="28"/>
      <c r="BK238" s="28"/>
      <c r="BL238" s="28"/>
      <c r="BM238" s="28"/>
      <c r="BN238" s="28"/>
      <c r="BO238" s="28"/>
      <c r="BP238" s="28"/>
    </row>
    <row r="239" spans="4:68" ht="10.35" hidden="1" customHeight="1" outlineLevel="1" x14ac:dyDescent="0.2">
      <c r="D239" s="433" t="s">
        <v>103</v>
      </c>
      <c r="E239" s="80"/>
      <c r="F239" s="511"/>
      <c r="G239" s="511"/>
      <c r="H239" s="511"/>
      <c r="I239" s="511"/>
      <c r="J239" s="511"/>
      <c r="K239" s="80"/>
      <c r="L239" s="412"/>
      <c r="M239" s="413"/>
      <c r="N239" s="80"/>
      <c r="O239" s="80"/>
      <c r="P239" s="80"/>
      <c r="Q239" s="80"/>
      <c r="R239" s="28"/>
      <c r="S239" s="28"/>
      <c r="T239" s="28"/>
      <c r="U239" s="28"/>
      <c r="V239" s="28"/>
      <c r="W239" s="28"/>
      <c r="X239" s="28"/>
      <c r="Y239" s="28"/>
      <c r="Z239" s="28"/>
      <c r="AA239" s="28"/>
      <c r="AB239" s="28"/>
      <c r="AC239" s="28"/>
      <c r="AD239" s="28"/>
      <c r="AE239" s="28"/>
      <c r="AF239" s="28"/>
      <c r="AG239" s="28"/>
      <c r="AH239" s="28"/>
      <c r="AI239" s="28"/>
      <c r="AJ239" s="28"/>
      <c r="AK239" s="28"/>
      <c r="AL239" s="28"/>
      <c r="AM239" s="28"/>
      <c r="AN239" s="28"/>
      <c r="AO239" s="28"/>
      <c r="AP239" s="28"/>
      <c r="AQ239" s="28"/>
      <c r="AR239" s="28"/>
      <c r="AS239" s="28"/>
      <c r="AT239" s="28"/>
      <c r="AU239" s="28"/>
      <c r="AV239" s="28"/>
      <c r="AW239" s="28"/>
      <c r="AX239" s="28"/>
      <c r="AY239" s="28"/>
      <c r="AZ239" s="28"/>
      <c r="BA239" s="28"/>
      <c r="BB239" s="28"/>
      <c r="BC239" s="28"/>
      <c r="BD239" s="28"/>
      <c r="BE239" s="28"/>
      <c r="BF239" s="28"/>
      <c r="BG239" s="28"/>
      <c r="BH239" s="28"/>
      <c r="BI239" s="28"/>
      <c r="BJ239" s="28"/>
      <c r="BK239" s="28"/>
      <c r="BL239" s="28"/>
      <c r="BM239" s="28"/>
      <c r="BN239" s="28"/>
      <c r="BO239" s="28"/>
      <c r="BP239" s="28"/>
    </row>
    <row r="240" spans="4:68" ht="10.35" hidden="1" customHeight="1" outlineLevel="1" x14ac:dyDescent="0.2">
      <c r="D240" s="433"/>
      <c r="E240" s="80"/>
      <c r="F240" s="83"/>
      <c r="G240" s="83"/>
      <c r="H240" s="83"/>
      <c r="I240" s="83"/>
      <c r="J240" s="83"/>
      <c r="K240" s="80"/>
      <c r="L240" s="412"/>
      <c r="M240" s="413"/>
      <c r="N240" s="80"/>
      <c r="O240" s="80"/>
      <c r="P240" s="80"/>
      <c r="Q240" s="80"/>
      <c r="R240" s="29"/>
      <c r="S240" s="29"/>
      <c r="T240" s="29"/>
      <c r="U240" s="29"/>
      <c r="V240" s="29"/>
      <c r="W240" s="29"/>
      <c r="X240" s="29"/>
      <c r="Y240" s="29"/>
      <c r="Z240" s="29"/>
      <c r="AA240" s="29"/>
      <c r="AB240" s="29"/>
      <c r="AC240" s="29"/>
      <c r="AD240" s="29"/>
      <c r="AE240" s="29"/>
      <c r="AF240" s="29"/>
      <c r="AG240" s="29"/>
      <c r="AH240" s="29"/>
      <c r="AI240" s="29"/>
      <c r="AJ240" s="29"/>
      <c r="AK240" s="29"/>
      <c r="AL240" s="29"/>
      <c r="AM240" s="29"/>
      <c r="AN240" s="29"/>
      <c r="AO240" s="29"/>
      <c r="AP240" s="29"/>
      <c r="AQ240" s="29"/>
      <c r="AR240" s="29"/>
      <c r="AS240" s="29"/>
      <c r="AT240" s="29"/>
      <c r="AU240" s="29"/>
      <c r="AV240" s="29"/>
      <c r="AW240" s="29"/>
      <c r="AX240" s="29"/>
      <c r="AY240" s="29"/>
      <c r="AZ240" s="29"/>
      <c r="BA240" s="29"/>
      <c r="BB240" s="29"/>
      <c r="BC240" s="29"/>
      <c r="BD240" s="29"/>
      <c r="BE240" s="29"/>
      <c r="BF240" s="29"/>
      <c r="BG240" s="29"/>
      <c r="BH240" s="29"/>
      <c r="BI240" s="29"/>
      <c r="BJ240" s="29"/>
      <c r="BK240" s="29"/>
      <c r="BL240" s="29"/>
      <c r="BM240" s="29"/>
      <c r="BN240" s="29"/>
      <c r="BO240" s="29"/>
      <c r="BP240" s="29"/>
    </row>
    <row r="241" spans="4:68" ht="10.35" hidden="1" customHeight="1" outlineLevel="1" x14ac:dyDescent="0.2">
      <c r="D241" s="99" t="s">
        <v>139</v>
      </c>
      <c r="E241" s="80"/>
      <c r="F241" s="511"/>
      <c r="G241" s="511"/>
      <c r="H241" s="511"/>
      <c r="I241" s="511"/>
      <c r="J241" s="511"/>
      <c r="K241" s="80"/>
      <c r="L241" s="412"/>
      <c r="M241" s="413"/>
      <c r="N241" s="80"/>
      <c r="O241" s="80"/>
      <c r="P241" s="80"/>
      <c r="Q241" s="80"/>
      <c r="R241" s="29">
        <f t="shared" ref="R241:AW241" si="20">SUM(R242:R246)</f>
        <v>0</v>
      </c>
      <c r="S241" s="29">
        <f t="shared" si="20"/>
        <v>0</v>
      </c>
      <c r="T241" s="29">
        <f t="shared" si="20"/>
        <v>0</v>
      </c>
      <c r="U241" s="29">
        <f t="shared" si="20"/>
        <v>0</v>
      </c>
      <c r="V241" s="29">
        <f t="shared" si="20"/>
        <v>0</v>
      </c>
      <c r="W241" s="29">
        <f t="shared" si="20"/>
        <v>0</v>
      </c>
      <c r="X241" s="29">
        <f t="shared" si="20"/>
        <v>0</v>
      </c>
      <c r="Y241" s="29">
        <f t="shared" si="20"/>
        <v>0</v>
      </c>
      <c r="Z241" s="29">
        <f t="shared" si="20"/>
        <v>0</v>
      </c>
      <c r="AA241" s="29">
        <f t="shared" si="20"/>
        <v>0</v>
      </c>
      <c r="AB241" s="29">
        <f t="shared" si="20"/>
        <v>0</v>
      </c>
      <c r="AC241" s="29">
        <f t="shared" si="20"/>
        <v>0</v>
      </c>
      <c r="AD241" s="29">
        <f t="shared" si="20"/>
        <v>0</v>
      </c>
      <c r="AE241" s="29">
        <f t="shared" si="20"/>
        <v>0</v>
      </c>
      <c r="AF241" s="29">
        <f t="shared" si="20"/>
        <v>0</v>
      </c>
      <c r="AG241" s="29">
        <f t="shared" si="20"/>
        <v>0</v>
      </c>
      <c r="AH241" s="29">
        <f t="shared" si="20"/>
        <v>0</v>
      </c>
      <c r="AI241" s="29">
        <f t="shared" si="20"/>
        <v>0</v>
      </c>
      <c r="AJ241" s="29">
        <f t="shared" si="20"/>
        <v>0</v>
      </c>
      <c r="AK241" s="29">
        <f t="shared" si="20"/>
        <v>0</v>
      </c>
      <c r="AL241" s="29">
        <f t="shared" si="20"/>
        <v>0</v>
      </c>
      <c r="AM241" s="29">
        <f t="shared" si="20"/>
        <v>0</v>
      </c>
      <c r="AN241" s="29">
        <f t="shared" si="20"/>
        <v>0</v>
      </c>
      <c r="AO241" s="29">
        <f t="shared" si="20"/>
        <v>0</v>
      </c>
      <c r="AP241" s="29">
        <f t="shared" si="20"/>
        <v>0</v>
      </c>
      <c r="AQ241" s="29">
        <f t="shared" si="20"/>
        <v>0</v>
      </c>
      <c r="AR241" s="29">
        <f t="shared" si="20"/>
        <v>0</v>
      </c>
      <c r="AS241" s="29">
        <f t="shared" si="20"/>
        <v>0</v>
      </c>
      <c r="AT241" s="29">
        <f t="shared" si="20"/>
        <v>0</v>
      </c>
      <c r="AU241" s="29">
        <f t="shared" si="20"/>
        <v>0</v>
      </c>
      <c r="AV241" s="29">
        <f t="shared" si="20"/>
        <v>0</v>
      </c>
      <c r="AW241" s="29">
        <f t="shared" si="20"/>
        <v>0</v>
      </c>
      <c r="AX241" s="29">
        <f t="shared" ref="AX241:BP241" si="21">SUM(AX242:AX246)</f>
        <v>0</v>
      </c>
      <c r="AY241" s="29">
        <f t="shared" si="21"/>
        <v>0</v>
      </c>
      <c r="AZ241" s="29">
        <f t="shared" si="21"/>
        <v>0</v>
      </c>
      <c r="BA241" s="29">
        <f t="shared" si="21"/>
        <v>0</v>
      </c>
      <c r="BB241" s="29">
        <f t="shared" si="21"/>
        <v>0</v>
      </c>
      <c r="BC241" s="29">
        <f t="shared" si="21"/>
        <v>0</v>
      </c>
      <c r="BD241" s="29">
        <f t="shared" si="21"/>
        <v>0</v>
      </c>
      <c r="BE241" s="29">
        <f t="shared" si="21"/>
        <v>0</v>
      </c>
      <c r="BF241" s="29">
        <f t="shared" si="21"/>
        <v>0</v>
      </c>
      <c r="BG241" s="29">
        <f t="shared" si="21"/>
        <v>0</v>
      </c>
      <c r="BH241" s="29">
        <f t="shared" si="21"/>
        <v>0</v>
      </c>
      <c r="BI241" s="29">
        <f t="shared" si="21"/>
        <v>0</v>
      </c>
      <c r="BJ241" s="29">
        <f t="shared" si="21"/>
        <v>0</v>
      </c>
      <c r="BK241" s="29">
        <f t="shared" si="21"/>
        <v>0</v>
      </c>
      <c r="BL241" s="29">
        <f t="shared" si="21"/>
        <v>0</v>
      </c>
      <c r="BM241" s="29">
        <f t="shared" si="21"/>
        <v>0</v>
      </c>
      <c r="BN241" s="29">
        <f t="shared" si="21"/>
        <v>0</v>
      </c>
      <c r="BO241" s="29">
        <f t="shared" si="21"/>
        <v>0</v>
      </c>
      <c r="BP241" s="29">
        <f t="shared" si="21"/>
        <v>0</v>
      </c>
    </row>
    <row r="242" spans="4:68" ht="10.35" hidden="1" customHeight="1" outlineLevel="1" x14ac:dyDescent="0.2">
      <c r="D242" s="433" t="s">
        <v>99</v>
      </c>
      <c r="E242" s="80"/>
      <c r="F242" s="511"/>
      <c r="G242" s="511"/>
      <c r="H242" s="511"/>
      <c r="I242" s="511"/>
      <c r="J242" s="511"/>
      <c r="K242" s="80"/>
      <c r="L242" s="412"/>
      <c r="M242" s="413"/>
      <c r="N242" s="80"/>
      <c r="O242" s="80"/>
      <c r="P242" s="80"/>
      <c r="Q242" s="80"/>
      <c r="R242" s="28"/>
      <c r="S242" s="28"/>
      <c r="T242" s="28"/>
      <c r="U242" s="28"/>
      <c r="V242" s="28"/>
      <c r="W242" s="28"/>
      <c r="X242" s="28"/>
      <c r="Y242" s="28"/>
      <c r="Z242" s="28"/>
      <c r="AA242" s="28"/>
      <c r="AB242" s="28"/>
      <c r="AC242" s="28"/>
      <c r="AD242" s="28"/>
      <c r="AE242" s="28"/>
      <c r="AF242" s="28"/>
      <c r="AG242" s="28"/>
      <c r="AH242" s="28"/>
      <c r="AI242" s="28"/>
      <c r="AJ242" s="28"/>
      <c r="AK242" s="28"/>
      <c r="AL242" s="28"/>
      <c r="AM242" s="28"/>
      <c r="AN242" s="28"/>
      <c r="AO242" s="28"/>
      <c r="AP242" s="28"/>
      <c r="AQ242" s="28"/>
      <c r="AR242" s="28"/>
      <c r="AS242" s="28"/>
      <c r="AT242" s="28"/>
      <c r="AU242" s="28"/>
      <c r="AV242" s="28"/>
      <c r="AW242" s="28"/>
      <c r="AX242" s="28"/>
      <c r="AY242" s="28"/>
      <c r="AZ242" s="28"/>
      <c r="BA242" s="28"/>
      <c r="BB242" s="28"/>
      <c r="BC242" s="28"/>
      <c r="BD242" s="28"/>
      <c r="BE242" s="28"/>
      <c r="BF242" s="28"/>
      <c r="BG242" s="28"/>
      <c r="BH242" s="28"/>
      <c r="BI242" s="28"/>
      <c r="BJ242" s="28"/>
      <c r="BK242" s="28"/>
      <c r="BL242" s="28"/>
      <c r="BM242" s="28"/>
      <c r="BN242" s="28"/>
      <c r="BO242" s="28"/>
      <c r="BP242" s="28"/>
    </row>
    <row r="243" spans="4:68" ht="10.35" hidden="1" customHeight="1" outlineLevel="1" x14ac:dyDescent="0.2">
      <c r="D243" s="433" t="s">
        <v>100</v>
      </c>
      <c r="E243" s="80"/>
      <c r="F243" s="511"/>
      <c r="G243" s="511"/>
      <c r="H243" s="511"/>
      <c r="I243" s="511"/>
      <c r="J243" s="511"/>
      <c r="K243" s="80"/>
      <c r="L243" s="412"/>
      <c r="M243" s="413"/>
      <c r="N243" s="80"/>
      <c r="O243" s="80"/>
      <c r="P243" s="80"/>
      <c r="Q243" s="80"/>
      <c r="R243" s="28"/>
      <c r="S243" s="28"/>
      <c r="T243" s="28"/>
      <c r="U243" s="28"/>
      <c r="V243" s="28"/>
      <c r="W243" s="28"/>
      <c r="X243" s="28"/>
      <c r="Y243" s="28"/>
      <c r="Z243" s="28"/>
      <c r="AA243" s="28"/>
      <c r="AB243" s="28"/>
      <c r="AC243" s="28"/>
      <c r="AD243" s="28"/>
      <c r="AE243" s="28"/>
      <c r="AF243" s="28"/>
      <c r="AG243" s="28"/>
      <c r="AH243" s="28"/>
      <c r="AI243" s="28"/>
      <c r="AJ243" s="28"/>
      <c r="AK243" s="28"/>
      <c r="AL243" s="28"/>
      <c r="AM243" s="28"/>
      <c r="AN243" s="28"/>
      <c r="AO243" s="28"/>
      <c r="AP243" s="28"/>
      <c r="AQ243" s="28"/>
      <c r="AR243" s="28"/>
      <c r="AS243" s="28"/>
      <c r="AT243" s="28"/>
      <c r="AU243" s="28"/>
      <c r="AV243" s="28"/>
      <c r="AW243" s="28"/>
      <c r="AX243" s="28"/>
      <c r="AY243" s="28"/>
      <c r="AZ243" s="28"/>
      <c r="BA243" s="28"/>
      <c r="BB243" s="28"/>
      <c r="BC243" s="28"/>
      <c r="BD243" s="28"/>
      <c r="BE243" s="28"/>
      <c r="BF243" s="28"/>
      <c r="BG243" s="28"/>
      <c r="BH243" s="28"/>
      <c r="BI243" s="28"/>
      <c r="BJ243" s="28"/>
      <c r="BK243" s="28"/>
      <c r="BL243" s="28"/>
      <c r="BM243" s="28"/>
      <c r="BN243" s="28"/>
      <c r="BO243" s="28"/>
      <c r="BP243" s="28"/>
    </row>
    <row r="244" spans="4:68" ht="10.35" hidden="1" customHeight="1" outlineLevel="1" x14ac:dyDescent="0.2">
      <c r="D244" s="433" t="s">
        <v>101</v>
      </c>
      <c r="E244" s="80"/>
      <c r="F244" s="511"/>
      <c r="G244" s="511"/>
      <c r="H244" s="511"/>
      <c r="I244" s="511"/>
      <c r="J244" s="511"/>
      <c r="K244" s="80"/>
      <c r="L244" s="412"/>
      <c r="M244" s="413"/>
      <c r="N244" s="80"/>
      <c r="O244" s="80"/>
      <c r="P244" s="80"/>
      <c r="Q244" s="80"/>
      <c r="R244" s="28"/>
      <c r="S244" s="28"/>
      <c r="T244" s="28"/>
      <c r="U244" s="28"/>
      <c r="V244" s="28"/>
      <c r="W244" s="28"/>
      <c r="X244" s="28"/>
      <c r="Y244" s="28"/>
      <c r="Z244" s="28"/>
      <c r="AA244" s="28"/>
      <c r="AB244" s="28"/>
      <c r="AC244" s="28"/>
      <c r="AD244" s="28"/>
      <c r="AE244" s="28"/>
      <c r="AF244" s="28"/>
      <c r="AG244" s="28"/>
      <c r="AH244" s="28"/>
      <c r="AI244" s="28"/>
      <c r="AJ244" s="28"/>
      <c r="AK244" s="28"/>
      <c r="AL244" s="28"/>
      <c r="AM244" s="28"/>
      <c r="AN244" s="28"/>
      <c r="AO244" s="28"/>
      <c r="AP244" s="28"/>
      <c r="AQ244" s="28"/>
      <c r="AR244" s="28"/>
      <c r="AS244" s="28"/>
      <c r="AT244" s="28"/>
      <c r="AU244" s="28"/>
      <c r="AV244" s="28"/>
      <c r="AW244" s="28"/>
      <c r="AX244" s="28"/>
      <c r="AY244" s="28"/>
      <c r="AZ244" s="28"/>
      <c r="BA244" s="28"/>
      <c r="BB244" s="28"/>
      <c r="BC244" s="28"/>
      <c r="BD244" s="28"/>
      <c r="BE244" s="28"/>
      <c r="BF244" s="28"/>
      <c r="BG244" s="28"/>
      <c r="BH244" s="28"/>
      <c r="BI244" s="28"/>
      <c r="BJ244" s="28"/>
      <c r="BK244" s="28"/>
      <c r="BL244" s="28"/>
      <c r="BM244" s="28"/>
      <c r="BN244" s="28"/>
      <c r="BO244" s="28"/>
      <c r="BP244" s="28"/>
    </row>
    <row r="245" spans="4:68" ht="10.35" hidden="1" customHeight="1" outlineLevel="1" x14ac:dyDescent="0.2">
      <c r="D245" s="433" t="s">
        <v>102</v>
      </c>
      <c r="E245" s="80"/>
      <c r="F245" s="511"/>
      <c r="G245" s="511"/>
      <c r="H245" s="511"/>
      <c r="I245" s="511"/>
      <c r="J245" s="511"/>
      <c r="K245" s="80"/>
      <c r="L245" s="412"/>
      <c r="M245" s="413"/>
      <c r="N245" s="80"/>
      <c r="O245" s="80"/>
      <c r="P245" s="80"/>
      <c r="Q245" s="80"/>
      <c r="R245" s="28"/>
      <c r="S245" s="28"/>
      <c r="T245" s="28"/>
      <c r="U245" s="28"/>
      <c r="V245" s="28"/>
      <c r="W245" s="28"/>
      <c r="X245" s="28"/>
      <c r="Y245" s="28"/>
      <c r="Z245" s="28"/>
      <c r="AA245" s="28"/>
      <c r="AB245" s="28"/>
      <c r="AC245" s="28"/>
      <c r="AD245" s="28"/>
      <c r="AE245" s="28"/>
      <c r="AF245" s="28"/>
      <c r="AG245" s="28"/>
      <c r="AH245" s="28"/>
      <c r="AI245" s="28"/>
      <c r="AJ245" s="28"/>
      <c r="AK245" s="28"/>
      <c r="AL245" s="28"/>
      <c r="AM245" s="28"/>
      <c r="AN245" s="28"/>
      <c r="AO245" s="28"/>
      <c r="AP245" s="28"/>
      <c r="AQ245" s="28"/>
      <c r="AR245" s="28"/>
      <c r="AS245" s="28"/>
      <c r="AT245" s="28"/>
      <c r="AU245" s="28"/>
      <c r="AV245" s="28"/>
      <c r="AW245" s="28"/>
      <c r="AX245" s="28"/>
      <c r="AY245" s="28"/>
      <c r="AZ245" s="28"/>
      <c r="BA245" s="28"/>
      <c r="BB245" s="28"/>
      <c r="BC245" s="28"/>
      <c r="BD245" s="28"/>
      <c r="BE245" s="28"/>
      <c r="BF245" s="28"/>
      <c r="BG245" s="28"/>
      <c r="BH245" s="28"/>
      <c r="BI245" s="28"/>
      <c r="BJ245" s="28"/>
      <c r="BK245" s="28"/>
      <c r="BL245" s="28"/>
      <c r="BM245" s="28"/>
      <c r="BN245" s="28"/>
      <c r="BO245" s="28"/>
      <c r="BP245" s="28"/>
    </row>
    <row r="246" spans="4:68" ht="10.35" hidden="1" customHeight="1" outlineLevel="1" x14ac:dyDescent="0.2">
      <c r="D246" s="433" t="s">
        <v>103</v>
      </c>
      <c r="E246" s="80"/>
      <c r="F246" s="511"/>
      <c r="G246" s="511"/>
      <c r="H246" s="511"/>
      <c r="I246" s="511"/>
      <c r="J246" s="511"/>
      <c r="K246" s="80"/>
      <c r="L246" s="412"/>
      <c r="M246" s="413"/>
      <c r="N246" s="80"/>
      <c r="O246" s="80"/>
      <c r="P246" s="80"/>
      <c r="Q246" s="80"/>
      <c r="R246" s="28"/>
      <c r="S246" s="28"/>
      <c r="T246" s="28"/>
      <c r="U246" s="28"/>
      <c r="V246" s="28"/>
      <c r="W246" s="28"/>
      <c r="X246" s="28"/>
      <c r="Y246" s="28"/>
      <c r="Z246" s="28"/>
      <c r="AA246" s="28"/>
      <c r="AB246" s="28"/>
      <c r="AC246" s="28"/>
      <c r="AD246" s="28"/>
      <c r="AE246" s="28"/>
      <c r="AF246" s="28"/>
      <c r="AG246" s="28"/>
      <c r="AH246" s="28"/>
      <c r="AI246" s="28"/>
      <c r="AJ246" s="28"/>
      <c r="AK246" s="28"/>
      <c r="AL246" s="28"/>
      <c r="AM246" s="28"/>
      <c r="AN246" s="28"/>
      <c r="AO246" s="28"/>
      <c r="AP246" s="28"/>
      <c r="AQ246" s="28"/>
      <c r="AR246" s="28"/>
      <c r="AS246" s="28"/>
      <c r="AT246" s="28"/>
      <c r="AU246" s="28"/>
      <c r="AV246" s="28"/>
      <c r="AW246" s="28"/>
      <c r="AX246" s="28"/>
      <c r="AY246" s="28"/>
      <c r="AZ246" s="28"/>
      <c r="BA246" s="28"/>
      <c r="BB246" s="28"/>
      <c r="BC246" s="28"/>
      <c r="BD246" s="28"/>
      <c r="BE246" s="28"/>
      <c r="BF246" s="28"/>
      <c r="BG246" s="28"/>
      <c r="BH246" s="28"/>
      <c r="BI246" s="28"/>
      <c r="BJ246" s="28"/>
      <c r="BK246" s="28"/>
      <c r="BL246" s="28"/>
      <c r="BM246" s="28"/>
      <c r="BN246" s="28"/>
      <c r="BO246" s="28"/>
      <c r="BP246" s="28"/>
    </row>
    <row r="247" spans="4:68" ht="10.35" hidden="1" customHeight="1" outlineLevel="1" x14ac:dyDescent="0.2">
      <c r="D247" s="433"/>
      <c r="E247" s="80"/>
      <c r="F247" s="83"/>
      <c r="G247" s="83"/>
      <c r="H247" s="83"/>
      <c r="I247" s="83"/>
      <c r="J247" s="83"/>
      <c r="K247" s="80"/>
      <c r="L247" s="412"/>
      <c r="M247" s="413"/>
      <c r="N247" s="80"/>
      <c r="O247" s="80"/>
      <c r="P247" s="80"/>
      <c r="Q247" s="80"/>
      <c r="R247" s="29"/>
      <c r="S247" s="29"/>
      <c r="T247" s="29"/>
      <c r="U247" s="29"/>
      <c r="V247" s="29"/>
      <c r="W247" s="29"/>
      <c r="X247" s="29"/>
      <c r="Y247" s="29"/>
      <c r="Z247" s="29"/>
      <c r="AA247" s="29"/>
      <c r="AB247" s="29"/>
      <c r="AC247" s="29"/>
      <c r="AD247" s="29"/>
      <c r="AE247" s="29"/>
      <c r="AF247" s="29"/>
      <c r="AG247" s="29"/>
      <c r="AH247" s="29"/>
      <c r="AI247" s="29"/>
      <c r="AJ247" s="29"/>
      <c r="AK247" s="29"/>
      <c r="AL247" s="29"/>
      <c r="AM247" s="29"/>
      <c r="AN247" s="29"/>
      <c r="AO247" s="29"/>
      <c r="AP247" s="29"/>
      <c r="AQ247" s="29"/>
      <c r="AR247" s="29"/>
      <c r="AS247" s="29"/>
      <c r="AT247" s="29"/>
      <c r="AU247" s="29"/>
      <c r="AV247" s="29"/>
      <c r="AW247" s="29"/>
      <c r="AX247" s="29"/>
      <c r="AY247" s="29"/>
      <c r="AZ247" s="29"/>
      <c r="BA247" s="29"/>
      <c r="BB247" s="29"/>
      <c r="BC247" s="29"/>
      <c r="BD247" s="29"/>
      <c r="BE247" s="29"/>
      <c r="BF247" s="29"/>
      <c r="BG247" s="29"/>
      <c r="BH247" s="29"/>
      <c r="BI247" s="29"/>
      <c r="BJ247" s="29"/>
      <c r="BK247" s="29"/>
      <c r="BL247" s="29"/>
      <c r="BM247" s="29"/>
      <c r="BN247" s="29"/>
      <c r="BO247" s="29"/>
      <c r="BP247" s="29"/>
    </row>
    <row r="248" spans="4:68" ht="10.35" hidden="1" customHeight="1" outlineLevel="1" x14ac:dyDescent="0.2">
      <c r="D248" s="99" t="s">
        <v>106</v>
      </c>
      <c r="E248" s="80"/>
      <c r="F248" s="511"/>
      <c r="G248" s="511"/>
      <c r="H248" s="511"/>
      <c r="I248" s="511"/>
      <c r="J248" s="511"/>
      <c r="K248" s="80"/>
      <c r="L248" s="412"/>
      <c r="M248" s="413"/>
      <c r="N248" s="80"/>
      <c r="O248" s="80"/>
      <c r="P248" s="80"/>
      <c r="Q248" s="80"/>
      <c r="R248" s="29">
        <f t="shared" ref="R248:AW248" si="22">SUM(R249:R253)</f>
        <v>0</v>
      </c>
      <c r="S248" s="29">
        <f t="shared" si="22"/>
        <v>0</v>
      </c>
      <c r="T248" s="29">
        <f t="shared" si="22"/>
        <v>0</v>
      </c>
      <c r="U248" s="29">
        <f t="shared" si="22"/>
        <v>0</v>
      </c>
      <c r="V248" s="29">
        <f t="shared" si="22"/>
        <v>0</v>
      </c>
      <c r="W248" s="29">
        <f t="shared" si="22"/>
        <v>0</v>
      </c>
      <c r="X248" s="29">
        <f t="shared" si="22"/>
        <v>0</v>
      </c>
      <c r="Y248" s="29">
        <f t="shared" si="22"/>
        <v>0</v>
      </c>
      <c r="Z248" s="29">
        <f t="shared" si="22"/>
        <v>0</v>
      </c>
      <c r="AA248" s="29">
        <f t="shared" si="22"/>
        <v>0</v>
      </c>
      <c r="AB248" s="29">
        <f t="shared" si="22"/>
        <v>0</v>
      </c>
      <c r="AC248" s="29">
        <f t="shared" si="22"/>
        <v>0</v>
      </c>
      <c r="AD248" s="29">
        <f t="shared" si="22"/>
        <v>0</v>
      </c>
      <c r="AE248" s="29">
        <f t="shared" si="22"/>
        <v>0</v>
      </c>
      <c r="AF248" s="29">
        <f t="shared" si="22"/>
        <v>0</v>
      </c>
      <c r="AG248" s="29">
        <f t="shared" si="22"/>
        <v>0</v>
      </c>
      <c r="AH248" s="29">
        <f t="shared" si="22"/>
        <v>0</v>
      </c>
      <c r="AI248" s="29">
        <f t="shared" si="22"/>
        <v>0</v>
      </c>
      <c r="AJ248" s="29">
        <f t="shared" si="22"/>
        <v>0</v>
      </c>
      <c r="AK248" s="29">
        <f t="shared" si="22"/>
        <v>0</v>
      </c>
      <c r="AL248" s="29">
        <f t="shared" si="22"/>
        <v>0</v>
      </c>
      <c r="AM248" s="29">
        <f t="shared" si="22"/>
        <v>0</v>
      </c>
      <c r="AN248" s="29">
        <f t="shared" si="22"/>
        <v>0</v>
      </c>
      <c r="AO248" s="29">
        <f t="shared" si="22"/>
        <v>0</v>
      </c>
      <c r="AP248" s="29">
        <f t="shared" si="22"/>
        <v>0</v>
      </c>
      <c r="AQ248" s="29">
        <f t="shared" si="22"/>
        <v>0</v>
      </c>
      <c r="AR248" s="29">
        <f t="shared" si="22"/>
        <v>0</v>
      </c>
      <c r="AS248" s="29">
        <f t="shared" si="22"/>
        <v>0</v>
      </c>
      <c r="AT248" s="29">
        <f t="shared" si="22"/>
        <v>0</v>
      </c>
      <c r="AU248" s="29">
        <f t="shared" si="22"/>
        <v>0</v>
      </c>
      <c r="AV248" s="29">
        <f t="shared" si="22"/>
        <v>0</v>
      </c>
      <c r="AW248" s="29">
        <f t="shared" si="22"/>
        <v>0</v>
      </c>
      <c r="AX248" s="29">
        <f t="shared" ref="AX248:BP248" si="23">SUM(AX249:AX253)</f>
        <v>0</v>
      </c>
      <c r="AY248" s="29">
        <f t="shared" si="23"/>
        <v>0</v>
      </c>
      <c r="AZ248" s="29">
        <f t="shared" si="23"/>
        <v>0</v>
      </c>
      <c r="BA248" s="29">
        <f t="shared" si="23"/>
        <v>0</v>
      </c>
      <c r="BB248" s="29">
        <f t="shared" si="23"/>
        <v>0</v>
      </c>
      <c r="BC248" s="29">
        <f t="shared" si="23"/>
        <v>0</v>
      </c>
      <c r="BD248" s="29">
        <f t="shared" si="23"/>
        <v>0</v>
      </c>
      <c r="BE248" s="29">
        <f t="shared" si="23"/>
        <v>0</v>
      </c>
      <c r="BF248" s="29">
        <f t="shared" si="23"/>
        <v>0</v>
      </c>
      <c r="BG248" s="29">
        <f t="shared" si="23"/>
        <v>0</v>
      </c>
      <c r="BH248" s="29">
        <f t="shared" si="23"/>
        <v>0</v>
      </c>
      <c r="BI248" s="29">
        <f t="shared" si="23"/>
        <v>0</v>
      </c>
      <c r="BJ248" s="29">
        <f t="shared" si="23"/>
        <v>0</v>
      </c>
      <c r="BK248" s="29">
        <f t="shared" si="23"/>
        <v>0</v>
      </c>
      <c r="BL248" s="29">
        <f t="shared" si="23"/>
        <v>0</v>
      </c>
      <c r="BM248" s="29">
        <f t="shared" si="23"/>
        <v>0</v>
      </c>
      <c r="BN248" s="29">
        <f t="shared" si="23"/>
        <v>0</v>
      </c>
      <c r="BO248" s="29">
        <f t="shared" si="23"/>
        <v>0</v>
      </c>
      <c r="BP248" s="29">
        <f t="shared" si="23"/>
        <v>0</v>
      </c>
    </row>
    <row r="249" spans="4:68" ht="10.35" hidden="1" customHeight="1" outlineLevel="1" x14ac:dyDescent="0.2">
      <c r="D249" s="433" t="s">
        <v>99</v>
      </c>
      <c r="E249" s="80"/>
      <c r="F249" s="511"/>
      <c r="G249" s="511"/>
      <c r="H249" s="511"/>
      <c r="I249" s="511"/>
      <c r="J249" s="511"/>
      <c r="K249" s="80"/>
      <c r="L249" s="412"/>
      <c r="M249" s="413"/>
      <c r="N249" s="80"/>
      <c r="O249" s="80"/>
      <c r="P249" s="80"/>
      <c r="Q249" s="80"/>
      <c r="R249" s="28"/>
      <c r="S249" s="28"/>
      <c r="T249" s="28"/>
      <c r="U249" s="28"/>
      <c r="V249" s="28"/>
      <c r="W249" s="28"/>
      <c r="X249" s="28"/>
      <c r="Y249" s="28"/>
      <c r="Z249" s="28"/>
      <c r="AA249" s="28"/>
      <c r="AB249" s="28"/>
      <c r="AC249" s="28"/>
      <c r="AD249" s="28"/>
      <c r="AE249" s="28"/>
      <c r="AF249" s="28"/>
      <c r="AG249" s="28"/>
      <c r="AH249" s="28"/>
      <c r="AI249" s="28"/>
      <c r="AJ249" s="28"/>
      <c r="AK249" s="28"/>
      <c r="AL249" s="28"/>
      <c r="AM249" s="28"/>
      <c r="AN249" s="28"/>
      <c r="AO249" s="28"/>
      <c r="AP249" s="28"/>
      <c r="AQ249" s="28"/>
      <c r="AR249" s="28"/>
      <c r="AS249" s="28"/>
      <c r="AT249" s="28"/>
      <c r="AU249" s="28"/>
      <c r="AV249" s="28"/>
      <c r="AW249" s="28"/>
      <c r="AX249" s="28"/>
      <c r="AY249" s="28"/>
      <c r="AZ249" s="28"/>
      <c r="BA249" s="28"/>
      <c r="BB249" s="28"/>
      <c r="BC249" s="28"/>
      <c r="BD249" s="28"/>
      <c r="BE249" s="28"/>
      <c r="BF249" s="28"/>
      <c r="BG249" s="28"/>
      <c r="BH249" s="28"/>
      <c r="BI249" s="28"/>
      <c r="BJ249" s="28"/>
      <c r="BK249" s="28"/>
      <c r="BL249" s="28"/>
      <c r="BM249" s="28"/>
      <c r="BN249" s="28"/>
      <c r="BO249" s="28"/>
      <c r="BP249" s="28"/>
    </row>
    <row r="250" spans="4:68" ht="10.35" hidden="1" customHeight="1" outlineLevel="1" x14ac:dyDescent="0.2">
      <c r="D250" s="433" t="s">
        <v>100</v>
      </c>
      <c r="E250" s="80"/>
      <c r="F250" s="511"/>
      <c r="G250" s="511"/>
      <c r="H250" s="511"/>
      <c r="I250" s="511"/>
      <c r="J250" s="511"/>
      <c r="K250" s="80"/>
      <c r="L250" s="412"/>
      <c r="M250" s="413"/>
      <c r="N250" s="80"/>
      <c r="O250" s="80"/>
      <c r="P250" s="80"/>
      <c r="Q250" s="80"/>
      <c r="R250" s="28"/>
      <c r="S250" s="28"/>
      <c r="T250" s="28"/>
      <c r="U250" s="28"/>
      <c r="V250" s="28"/>
      <c r="W250" s="28"/>
      <c r="X250" s="28"/>
      <c r="Y250" s="28"/>
      <c r="Z250" s="28"/>
      <c r="AA250" s="28"/>
      <c r="AB250" s="28"/>
      <c r="AC250" s="28"/>
      <c r="AD250" s="28"/>
      <c r="AE250" s="28"/>
      <c r="AF250" s="28"/>
      <c r="AG250" s="28"/>
      <c r="AH250" s="28"/>
      <c r="AI250" s="28"/>
      <c r="AJ250" s="28"/>
      <c r="AK250" s="28"/>
      <c r="AL250" s="28"/>
      <c r="AM250" s="28"/>
      <c r="AN250" s="28"/>
      <c r="AO250" s="28"/>
      <c r="AP250" s="28"/>
      <c r="AQ250" s="28"/>
      <c r="AR250" s="28"/>
      <c r="AS250" s="28"/>
      <c r="AT250" s="28"/>
      <c r="AU250" s="28"/>
      <c r="AV250" s="28"/>
      <c r="AW250" s="28"/>
      <c r="AX250" s="28"/>
      <c r="AY250" s="28"/>
      <c r="AZ250" s="28"/>
      <c r="BA250" s="28"/>
      <c r="BB250" s="28"/>
      <c r="BC250" s="28"/>
      <c r="BD250" s="28"/>
      <c r="BE250" s="28"/>
      <c r="BF250" s="28"/>
      <c r="BG250" s="28"/>
      <c r="BH250" s="28"/>
      <c r="BI250" s="28"/>
      <c r="BJ250" s="28"/>
      <c r="BK250" s="28"/>
      <c r="BL250" s="28"/>
      <c r="BM250" s="28"/>
      <c r="BN250" s="28"/>
      <c r="BO250" s="28"/>
      <c r="BP250" s="28"/>
    </row>
    <row r="251" spans="4:68" ht="10.35" hidden="1" customHeight="1" outlineLevel="1" x14ac:dyDescent="0.2">
      <c r="D251" s="433" t="s">
        <v>101</v>
      </c>
      <c r="E251" s="80"/>
      <c r="F251" s="511"/>
      <c r="G251" s="511"/>
      <c r="H251" s="511"/>
      <c r="I251" s="511"/>
      <c r="J251" s="511"/>
      <c r="K251" s="80"/>
      <c r="L251" s="412"/>
      <c r="M251" s="413"/>
      <c r="N251" s="80"/>
      <c r="O251" s="80"/>
      <c r="P251" s="80"/>
      <c r="Q251" s="80"/>
      <c r="R251" s="28"/>
      <c r="S251" s="28"/>
      <c r="T251" s="28"/>
      <c r="U251" s="28"/>
      <c r="V251" s="28"/>
      <c r="W251" s="28"/>
      <c r="X251" s="28"/>
      <c r="Y251" s="28"/>
      <c r="Z251" s="28"/>
      <c r="AA251" s="28"/>
      <c r="AB251" s="28"/>
      <c r="AC251" s="28"/>
      <c r="AD251" s="28"/>
      <c r="AE251" s="28"/>
      <c r="AF251" s="28"/>
      <c r="AG251" s="28"/>
      <c r="AH251" s="28"/>
      <c r="AI251" s="28"/>
      <c r="AJ251" s="28"/>
      <c r="AK251" s="28"/>
      <c r="AL251" s="28"/>
      <c r="AM251" s="28"/>
      <c r="AN251" s="28"/>
      <c r="AO251" s="28"/>
      <c r="AP251" s="28"/>
      <c r="AQ251" s="28"/>
      <c r="AR251" s="28"/>
      <c r="AS251" s="28"/>
      <c r="AT251" s="28"/>
      <c r="AU251" s="28"/>
      <c r="AV251" s="28"/>
      <c r="AW251" s="28"/>
      <c r="AX251" s="28"/>
      <c r="AY251" s="28"/>
      <c r="AZ251" s="28"/>
      <c r="BA251" s="28"/>
      <c r="BB251" s="28"/>
      <c r="BC251" s="28"/>
      <c r="BD251" s="28"/>
      <c r="BE251" s="28"/>
      <c r="BF251" s="28"/>
      <c r="BG251" s="28"/>
      <c r="BH251" s="28"/>
      <c r="BI251" s="28"/>
      <c r="BJ251" s="28"/>
      <c r="BK251" s="28"/>
      <c r="BL251" s="28"/>
      <c r="BM251" s="28"/>
      <c r="BN251" s="28"/>
      <c r="BO251" s="28"/>
      <c r="BP251" s="28"/>
    </row>
    <row r="252" spans="4:68" ht="10.35" hidden="1" customHeight="1" outlineLevel="1" x14ac:dyDescent="0.2">
      <c r="D252" s="433" t="s">
        <v>102</v>
      </c>
      <c r="E252" s="80"/>
      <c r="F252" s="511"/>
      <c r="G252" s="511"/>
      <c r="H252" s="511"/>
      <c r="I252" s="511"/>
      <c r="J252" s="511"/>
      <c r="K252" s="80"/>
      <c r="L252" s="412"/>
      <c r="M252" s="413"/>
      <c r="N252" s="80"/>
      <c r="O252" s="80"/>
      <c r="P252" s="80"/>
      <c r="Q252" s="80"/>
      <c r="R252" s="28"/>
      <c r="S252" s="28"/>
      <c r="T252" s="28"/>
      <c r="U252" s="28"/>
      <c r="V252" s="28"/>
      <c r="W252" s="28"/>
      <c r="X252" s="28"/>
      <c r="Y252" s="28"/>
      <c r="Z252" s="28"/>
      <c r="AA252" s="28"/>
      <c r="AB252" s="28"/>
      <c r="AC252" s="28"/>
      <c r="AD252" s="28"/>
      <c r="AE252" s="28"/>
      <c r="AF252" s="28"/>
      <c r="AG252" s="28"/>
      <c r="AH252" s="28"/>
      <c r="AI252" s="28"/>
      <c r="AJ252" s="28"/>
      <c r="AK252" s="28"/>
      <c r="AL252" s="28"/>
      <c r="AM252" s="28"/>
      <c r="AN252" s="28"/>
      <c r="AO252" s="28"/>
      <c r="AP252" s="28"/>
      <c r="AQ252" s="28"/>
      <c r="AR252" s="28"/>
      <c r="AS252" s="28"/>
      <c r="AT252" s="28"/>
      <c r="AU252" s="28"/>
      <c r="AV252" s="28"/>
      <c r="AW252" s="28"/>
      <c r="AX252" s="28"/>
      <c r="AY252" s="28"/>
      <c r="AZ252" s="28"/>
      <c r="BA252" s="28"/>
      <c r="BB252" s="28"/>
      <c r="BC252" s="28"/>
      <c r="BD252" s="28"/>
      <c r="BE252" s="28"/>
      <c r="BF252" s="28"/>
      <c r="BG252" s="28"/>
      <c r="BH252" s="28"/>
      <c r="BI252" s="28"/>
      <c r="BJ252" s="28"/>
      <c r="BK252" s="28"/>
      <c r="BL252" s="28"/>
      <c r="BM252" s="28"/>
      <c r="BN252" s="28"/>
      <c r="BO252" s="28"/>
      <c r="BP252" s="28"/>
    </row>
    <row r="253" spans="4:68" ht="10.35" hidden="1" customHeight="1" outlineLevel="1" x14ac:dyDescent="0.2">
      <c r="D253" s="433" t="s">
        <v>103</v>
      </c>
      <c r="E253" s="80"/>
      <c r="F253" s="511"/>
      <c r="G253" s="511"/>
      <c r="H253" s="511"/>
      <c r="I253" s="511"/>
      <c r="J253" s="511"/>
      <c r="K253" s="80"/>
      <c r="L253" s="412"/>
      <c r="M253" s="413"/>
      <c r="N253" s="80"/>
      <c r="O253" s="80"/>
      <c r="P253" s="80"/>
      <c r="Q253" s="80"/>
      <c r="R253" s="28"/>
      <c r="S253" s="28"/>
      <c r="T253" s="28"/>
      <c r="U253" s="28"/>
      <c r="V253" s="28"/>
      <c r="W253" s="28"/>
      <c r="X253" s="28"/>
      <c r="Y253" s="28"/>
      <c r="Z253" s="28"/>
      <c r="AA253" s="28"/>
      <c r="AB253" s="28"/>
      <c r="AC253" s="28"/>
      <c r="AD253" s="28"/>
      <c r="AE253" s="28"/>
      <c r="AF253" s="28"/>
      <c r="AG253" s="28"/>
      <c r="AH253" s="28"/>
      <c r="AI253" s="28"/>
      <c r="AJ253" s="28"/>
      <c r="AK253" s="28"/>
      <c r="AL253" s="28"/>
      <c r="AM253" s="28"/>
      <c r="AN253" s="28"/>
      <c r="AO253" s="28"/>
      <c r="AP253" s="28"/>
      <c r="AQ253" s="28"/>
      <c r="AR253" s="28"/>
      <c r="AS253" s="28"/>
      <c r="AT253" s="28"/>
      <c r="AU253" s="28"/>
      <c r="AV253" s="28"/>
      <c r="AW253" s="28"/>
      <c r="AX253" s="28"/>
      <c r="AY253" s="28"/>
      <c r="AZ253" s="28"/>
      <c r="BA253" s="28"/>
      <c r="BB253" s="28"/>
      <c r="BC253" s="28"/>
      <c r="BD253" s="28"/>
      <c r="BE253" s="28"/>
      <c r="BF253" s="28"/>
      <c r="BG253" s="28"/>
      <c r="BH253" s="28"/>
      <c r="BI253" s="28"/>
      <c r="BJ253" s="28"/>
      <c r="BK253" s="28"/>
      <c r="BL253" s="28"/>
      <c r="BM253" s="28"/>
      <c r="BN253" s="28"/>
      <c r="BO253" s="28"/>
      <c r="BP253" s="28"/>
    </row>
    <row r="254" spans="4:68" ht="10.35" hidden="1" customHeight="1" outlineLevel="1" x14ac:dyDescent="0.2">
      <c r="D254" s="433"/>
      <c r="E254" s="80"/>
      <c r="F254" s="83"/>
      <c r="G254" s="83"/>
      <c r="H254" s="83"/>
      <c r="I254" s="83"/>
      <c r="J254" s="83"/>
      <c r="K254" s="80"/>
      <c r="L254" s="412"/>
      <c r="M254" s="413"/>
      <c r="N254" s="80"/>
      <c r="O254" s="80"/>
      <c r="P254" s="80"/>
      <c r="Q254" s="80"/>
      <c r="R254" s="29"/>
      <c r="S254" s="29"/>
      <c r="T254" s="29"/>
      <c r="U254" s="29"/>
      <c r="V254" s="29"/>
      <c r="W254" s="29"/>
      <c r="X254" s="29"/>
      <c r="Y254" s="29"/>
      <c r="Z254" s="29"/>
      <c r="AA254" s="29"/>
      <c r="AB254" s="29"/>
      <c r="AC254" s="29"/>
      <c r="AD254" s="29"/>
      <c r="AE254" s="29"/>
      <c r="AF254" s="29"/>
      <c r="AG254" s="29"/>
      <c r="AH254" s="29"/>
      <c r="AI254" s="29"/>
      <c r="AJ254" s="29"/>
      <c r="AK254" s="29"/>
      <c r="AL254" s="29"/>
      <c r="AM254" s="29"/>
      <c r="AN254" s="29"/>
      <c r="AO254" s="29"/>
      <c r="AP254" s="29"/>
      <c r="AQ254" s="29"/>
      <c r="AR254" s="29"/>
      <c r="AS254" s="29"/>
      <c r="AT254" s="29"/>
      <c r="AU254" s="29"/>
      <c r="AV254" s="29"/>
      <c r="AW254" s="29"/>
      <c r="AX254" s="29"/>
      <c r="AY254" s="29"/>
      <c r="AZ254" s="29"/>
      <c r="BA254" s="29"/>
      <c r="BB254" s="29"/>
      <c r="BC254" s="29"/>
      <c r="BD254" s="29"/>
      <c r="BE254" s="29"/>
      <c r="BF254" s="29"/>
      <c r="BG254" s="29"/>
      <c r="BH254" s="29"/>
      <c r="BI254" s="29"/>
      <c r="BJ254" s="29"/>
      <c r="BK254" s="29"/>
      <c r="BL254" s="29"/>
      <c r="BM254" s="29"/>
      <c r="BN254" s="29"/>
      <c r="BO254" s="29"/>
      <c r="BP254" s="29"/>
    </row>
    <row r="255" spans="4:68" ht="10.35" hidden="1" customHeight="1" outlineLevel="1" x14ac:dyDescent="0.2">
      <c r="D255" s="99" t="s">
        <v>107</v>
      </c>
      <c r="E255" s="80"/>
      <c r="F255" s="511"/>
      <c r="G255" s="511"/>
      <c r="H255" s="511"/>
      <c r="I255" s="511"/>
      <c r="J255" s="511"/>
      <c r="K255" s="80"/>
      <c r="L255" s="412"/>
      <c r="M255" s="413"/>
      <c r="N255" s="80"/>
      <c r="O255" s="80"/>
      <c r="P255" s="80"/>
      <c r="Q255" s="80"/>
      <c r="R255" s="29">
        <f t="shared" ref="R255:AW255" si="24">SUM(R256:R260)</f>
        <v>0</v>
      </c>
      <c r="S255" s="29">
        <f t="shared" si="24"/>
        <v>0</v>
      </c>
      <c r="T255" s="29">
        <f t="shared" si="24"/>
        <v>0</v>
      </c>
      <c r="U255" s="29">
        <f t="shared" si="24"/>
        <v>0</v>
      </c>
      <c r="V255" s="29">
        <f t="shared" si="24"/>
        <v>0</v>
      </c>
      <c r="W255" s="29">
        <f t="shared" si="24"/>
        <v>0</v>
      </c>
      <c r="X255" s="29">
        <f t="shared" si="24"/>
        <v>0</v>
      </c>
      <c r="Y255" s="29">
        <f t="shared" si="24"/>
        <v>0</v>
      </c>
      <c r="Z255" s="29">
        <f t="shared" si="24"/>
        <v>0</v>
      </c>
      <c r="AA255" s="29">
        <f t="shared" si="24"/>
        <v>0</v>
      </c>
      <c r="AB255" s="29">
        <f t="shared" si="24"/>
        <v>0</v>
      </c>
      <c r="AC255" s="29">
        <f t="shared" si="24"/>
        <v>0</v>
      </c>
      <c r="AD255" s="29">
        <f t="shared" si="24"/>
        <v>0</v>
      </c>
      <c r="AE255" s="29">
        <f t="shared" si="24"/>
        <v>0</v>
      </c>
      <c r="AF255" s="29">
        <f t="shared" si="24"/>
        <v>0</v>
      </c>
      <c r="AG255" s="29">
        <f t="shared" si="24"/>
        <v>0</v>
      </c>
      <c r="AH255" s="29">
        <f t="shared" si="24"/>
        <v>0</v>
      </c>
      <c r="AI255" s="29">
        <f t="shared" si="24"/>
        <v>0</v>
      </c>
      <c r="AJ255" s="29">
        <f t="shared" si="24"/>
        <v>0</v>
      </c>
      <c r="AK255" s="29">
        <f t="shared" si="24"/>
        <v>0</v>
      </c>
      <c r="AL255" s="29">
        <f t="shared" si="24"/>
        <v>0</v>
      </c>
      <c r="AM255" s="29">
        <f t="shared" si="24"/>
        <v>0</v>
      </c>
      <c r="AN255" s="29">
        <f t="shared" si="24"/>
        <v>0</v>
      </c>
      <c r="AO255" s="29">
        <f t="shared" si="24"/>
        <v>0</v>
      </c>
      <c r="AP255" s="29">
        <f t="shared" si="24"/>
        <v>0</v>
      </c>
      <c r="AQ255" s="29">
        <f t="shared" si="24"/>
        <v>0</v>
      </c>
      <c r="AR255" s="29">
        <f t="shared" si="24"/>
        <v>0</v>
      </c>
      <c r="AS255" s="29">
        <f t="shared" si="24"/>
        <v>0</v>
      </c>
      <c r="AT255" s="29">
        <f t="shared" si="24"/>
        <v>0</v>
      </c>
      <c r="AU255" s="29">
        <f t="shared" si="24"/>
        <v>0</v>
      </c>
      <c r="AV255" s="29">
        <f t="shared" si="24"/>
        <v>0</v>
      </c>
      <c r="AW255" s="29">
        <f t="shared" si="24"/>
        <v>0</v>
      </c>
      <c r="AX255" s="29">
        <f t="shared" ref="AX255:BP255" si="25">SUM(AX256:AX260)</f>
        <v>0</v>
      </c>
      <c r="AY255" s="29">
        <f t="shared" si="25"/>
        <v>0</v>
      </c>
      <c r="AZ255" s="29">
        <f t="shared" si="25"/>
        <v>0</v>
      </c>
      <c r="BA255" s="29">
        <f t="shared" si="25"/>
        <v>0</v>
      </c>
      <c r="BB255" s="29">
        <f t="shared" si="25"/>
        <v>0</v>
      </c>
      <c r="BC255" s="29">
        <f t="shared" si="25"/>
        <v>0</v>
      </c>
      <c r="BD255" s="29">
        <f t="shared" si="25"/>
        <v>0</v>
      </c>
      <c r="BE255" s="29">
        <f t="shared" si="25"/>
        <v>0</v>
      </c>
      <c r="BF255" s="29">
        <f t="shared" si="25"/>
        <v>0</v>
      </c>
      <c r="BG255" s="29">
        <f t="shared" si="25"/>
        <v>0</v>
      </c>
      <c r="BH255" s="29">
        <f t="shared" si="25"/>
        <v>0</v>
      </c>
      <c r="BI255" s="29">
        <f t="shared" si="25"/>
        <v>0</v>
      </c>
      <c r="BJ255" s="29">
        <f t="shared" si="25"/>
        <v>0</v>
      </c>
      <c r="BK255" s="29">
        <f t="shared" si="25"/>
        <v>0</v>
      </c>
      <c r="BL255" s="29">
        <f t="shared" si="25"/>
        <v>0</v>
      </c>
      <c r="BM255" s="29">
        <f t="shared" si="25"/>
        <v>0</v>
      </c>
      <c r="BN255" s="29">
        <f t="shared" si="25"/>
        <v>0</v>
      </c>
      <c r="BO255" s="29">
        <f t="shared" si="25"/>
        <v>0</v>
      </c>
      <c r="BP255" s="29">
        <f t="shared" si="25"/>
        <v>0</v>
      </c>
    </row>
    <row r="256" spans="4:68" ht="10.35" hidden="1" customHeight="1" outlineLevel="1" x14ac:dyDescent="0.2">
      <c r="D256" s="433" t="s">
        <v>99</v>
      </c>
      <c r="E256" s="80"/>
      <c r="F256" s="511"/>
      <c r="G256" s="511"/>
      <c r="H256" s="511"/>
      <c r="I256" s="511"/>
      <c r="J256" s="511"/>
      <c r="K256" s="80"/>
      <c r="L256" s="412"/>
      <c r="M256" s="413"/>
      <c r="N256" s="80"/>
      <c r="O256" s="80"/>
      <c r="P256" s="80"/>
      <c r="Q256" s="80"/>
      <c r="R256" s="28"/>
      <c r="S256" s="28"/>
      <c r="T256" s="28"/>
      <c r="U256" s="28"/>
      <c r="V256" s="28"/>
      <c r="W256" s="28"/>
      <c r="X256" s="28"/>
      <c r="Y256" s="28"/>
      <c r="Z256" s="28"/>
      <c r="AA256" s="28"/>
      <c r="AB256" s="28"/>
      <c r="AC256" s="28"/>
      <c r="AD256" s="28"/>
      <c r="AE256" s="28"/>
      <c r="AF256" s="28"/>
      <c r="AG256" s="28"/>
      <c r="AH256" s="28"/>
      <c r="AI256" s="28"/>
      <c r="AJ256" s="28"/>
      <c r="AK256" s="28"/>
      <c r="AL256" s="28"/>
      <c r="AM256" s="28"/>
      <c r="AN256" s="28"/>
      <c r="AO256" s="28"/>
      <c r="AP256" s="28"/>
      <c r="AQ256" s="28"/>
      <c r="AR256" s="28"/>
      <c r="AS256" s="28"/>
      <c r="AT256" s="28"/>
      <c r="AU256" s="28"/>
      <c r="AV256" s="28"/>
      <c r="AW256" s="28"/>
      <c r="AX256" s="28"/>
      <c r="AY256" s="28"/>
      <c r="AZ256" s="28"/>
      <c r="BA256" s="28"/>
      <c r="BB256" s="28"/>
      <c r="BC256" s="28"/>
      <c r="BD256" s="28"/>
      <c r="BE256" s="28"/>
      <c r="BF256" s="28"/>
      <c r="BG256" s="28"/>
      <c r="BH256" s="28"/>
      <c r="BI256" s="28"/>
      <c r="BJ256" s="28"/>
      <c r="BK256" s="28"/>
      <c r="BL256" s="28"/>
      <c r="BM256" s="28"/>
      <c r="BN256" s="28"/>
      <c r="BO256" s="28"/>
      <c r="BP256" s="28"/>
    </row>
    <row r="257" spans="3:68" ht="10.35" hidden="1" customHeight="1" outlineLevel="1" x14ac:dyDescent="0.2">
      <c r="C257" s="80"/>
      <c r="D257" s="433" t="s">
        <v>100</v>
      </c>
      <c r="E257" s="80"/>
      <c r="F257" s="511"/>
      <c r="G257" s="511"/>
      <c r="H257" s="511"/>
      <c r="I257" s="511"/>
      <c r="J257" s="511"/>
      <c r="K257" s="80"/>
      <c r="L257" s="412"/>
      <c r="M257" s="413"/>
      <c r="N257" s="80"/>
      <c r="O257" s="80"/>
      <c r="P257" s="80"/>
      <c r="Q257" s="80"/>
      <c r="R257" s="28"/>
      <c r="S257" s="28"/>
      <c r="T257" s="28"/>
      <c r="U257" s="28"/>
      <c r="V257" s="28"/>
      <c r="W257" s="28"/>
      <c r="X257" s="28"/>
      <c r="Y257" s="28"/>
      <c r="Z257" s="28"/>
      <c r="AA257" s="28"/>
      <c r="AB257" s="28"/>
      <c r="AC257" s="28"/>
      <c r="AD257" s="28"/>
      <c r="AE257" s="28"/>
      <c r="AF257" s="28"/>
      <c r="AG257" s="28"/>
      <c r="AH257" s="28"/>
      <c r="AI257" s="28"/>
      <c r="AJ257" s="28"/>
      <c r="AK257" s="28"/>
      <c r="AL257" s="28"/>
      <c r="AM257" s="28"/>
      <c r="AN257" s="28"/>
      <c r="AO257" s="28"/>
      <c r="AP257" s="28"/>
      <c r="AQ257" s="28"/>
      <c r="AR257" s="28"/>
      <c r="AS257" s="28"/>
      <c r="AT257" s="28"/>
      <c r="AU257" s="28"/>
      <c r="AV257" s="28"/>
      <c r="AW257" s="28"/>
      <c r="AX257" s="28"/>
      <c r="AY257" s="28"/>
      <c r="AZ257" s="28"/>
      <c r="BA257" s="28"/>
      <c r="BB257" s="28"/>
      <c r="BC257" s="28"/>
      <c r="BD257" s="28"/>
      <c r="BE257" s="28"/>
      <c r="BF257" s="28"/>
      <c r="BG257" s="28"/>
      <c r="BH257" s="28"/>
      <c r="BI257" s="28"/>
      <c r="BJ257" s="28"/>
      <c r="BK257" s="28"/>
      <c r="BL257" s="28"/>
      <c r="BM257" s="28"/>
      <c r="BN257" s="28"/>
      <c r="BO257" s="28"/>
      <c r="BP257" s="28"/>
    </row>
    <row r="258" spans="3:68" ht="10.35" hidden="1" customHeight="1" outlineLevel="1" x14ac:dyDescent="0.2">
      <c r="C258" s="80"/>
      <c r="D258" s="433" t="s">
        <v>101</v>
      </c>
      <c r="E258" s="80"/>
      <c r="F258" s="511"/>
      <c r="G258" s="511"/>
      <c r="H258" s="511"/>
      <c r="I258" s="511"/>
      <c r="J258" s="511"/>
      <c r="K258" s="80"/>
      <c r="L258" s="412"/>
      <c r="M258" s="413"/>
      <c r="N258" s="80"/>
      <c r="O258" s="80"/>
      <c r="P258" s="80"/>
      <c r="Q258" s="80"/>
      <c r="R258" s="28"/>
      <c r="S258" s="28"/>
      <c r="T258" s="28"/>
      <c r="U258" s="28"/>
      <c r="V258" s="28"/>
      <c r="W258" s="28"/>
      <c r="X258" s="28"/>
      <c r="Y258" s="28"/>
      <c r="Z258" s="28"/>
      <c r="AA258" s="28"/>
      <c r="AB258" s="28"/>
      <c r="AC258" s="28"/>
      <c r="AD258" s="28"/>
      <c r="AE258" s="28"/>
      <c r="AF258" s="28"/>
      <c r="AG258" s="28"/>
      <c r="AH258" s="28"/>
      <c r="AI258" s="28"/>
      <c r="AJ258" s="28"/>
      <c r="AK258" s="28"/>
      <c r="AL258" s="28"/>
      <c r="AM258" s="28"/>
      <c r="AN258" s="28"/>
      <c r="AO258" s="28"/>
      <c r="AP258" s="28"/>
      <c r="AQ258" s="28"/>
      <c r="AR258" s="28"/>
      <c r="AS258" s="28"/>
      <c r="AT258" s="28"/>
      <c r="AU258" s="28"/>
      <c r="AV258" s="28"/>
      <c r="AW258" s="28"/>
      <c r="AX258" s="28"/>
      <c r="AY258" s="28"/>
      <c r="AZ258" s="28"/>
      <c r="BA258" s="28"/>
      <c r="BB258" s="28"/>
      <c r="BC258" s="28"/>
      <c r="BD258" s="28"/>
      <c r="BE258" s="28"/>
      <c r="BF258" s="28"/>
      <c r="BG258" s="28"/>
      <c r="BH258" s="28"/>
      <c r="BI258" s="28"/>
      <c r="BJ258" s="28"/>
      <c r="BK258" s="28"/>
      <c r="BL258" s="28"/>
      <c r="BM258" s="28"/>
      <c r="BN258" s="28"/>
      <c r="BO258" s="28"/>
      <c r="BP258" s="28"/>
    </row>
    <row r="259" spans="3:68" ht="10.35" hidden="1" customHeight="1" outlineLevel="1" x14ac:dyDescent="0.2">
      <c r="C259" s="80"/>
      <c r="D259" s="433" t="s">
        <v>102</v>
      </c>
      <c r="E259" s="80"/>
      <c r="F259" s="511"/>
      <c r="G259" s="511"/>
      <c r="H259" s="511"/>
      <c r="I259" s="511"/>
      <c r="J259" s="511"/>
      <c r="K259" s="80"/>
      <c r="L259" s="412"/>
      <c r="M259" s="413"/>
      <c r="N259" s="80"/>
      <c r="O259" s="80"/>
      <c r="P259" s="80"/>
      <c r="Q259" s="80"/>
      <c r="R259" s="28"/>
      <c r="S259" s="28"/>
      <c r="T259" s="28"/>
      <c r="U259" s="28"/>
      <c r="V259" s="28"/>
      <c r="W259" s="28"/>
      <c r="X259" s="28"/>
      <c r="Y259" s="28"/>
      <c r="Z259" s="28"/>
      <c r="AA259" s="28"/>
      <c r="AB259" s="28"/>
      <c r="AC259" s="28"/>
      <c r="AD259" s="28"/>
      <c r="AE259" s="28"/>
      <c r="AF259" s="28"/>
      <c r="AG259" s="28"/>
      <c r="AH259" s="28"/>
      <c r="AI259" s="28"/>
      <c r="AJ259" s="28"/>
      <c r="AK259" s="28"/>
      <c r="AL259" s="28"/>
      <c r="AM259" s="28"/>
      <c r="AN259" s="28"/>
      <c r="AO259" s="28"/>
      <c r="AP259" s="28"/>
      <c r="AQ259" s="28"/>
      <c r="AR259" s="28"/>
      <c r="AS259" s="28"/>
      <c r="AT259" s="28"/>
      <c r="AU259" s="28"/>
      <c r="AV259" s="28"/>
      <c r="AW259" s="28"/>
      <c r="AX259" s="28"/>
      <c r="AY259" s="28"/>
      <c r="AZ259" s="28"/>
      <c r="BA259" s="28"/>
      <c r="BB259" s="28"/>
      <c r="BC259" s="28"/>
      <c r="BD259" s="28"/>
      <c r="BE259" s="28"/>
      <c r="BF259" s="28"/>
      <c r="BG259" s="28"/>
      <c r="BH259" s="28"/>
      <c r="BI259" s="28"/>
      <c r="BJ259" s="28"/>
      <c r="BK259" s="28"/>
      <c r="BL259" s="28"/>
      <c r="BM259" s="28"/>
      <c r="BN259" s="28"/>
      <c r="BO259" s="28"/>
      <c r="BP259" s="28"/>
    </row>
    <row r="260" spans="3:68" ht="10.35" hidden="1" customHeight="1" outlineLevel="1" x14ac:dyDescent="0.2">
      <c r="C260" s="80"/>
      <c r="D260" s="433" t="s">
        <v>103</v>
      </c>
      <c r="E260" s="80"/>
      <c r="F260" s="512" t="s">
        <v>104</v>
      </c>
      <c r="G260" s="512"/>
      <c r="H260" s="512"/>
      <c r="I260" s="512"/>
      <c r="J260" s="512"/>
      <c r="K260" s="80"/>
      <c r="L260" s="412"/>
      <c r="M260" s="413"/>
      <c r="N260" s="80"/>
      <c r="O260" s="80"/>
      <c r="P260" s="80"/>
      <c r="Q260" s="80"/>
      <c r="R260" s="28">
        <f>QuickCalc!E29</f>
        <v>0</v>
      </c>
      <c r="S260" s="28">
        <f>QuickCalc!F29</f>
        <v>0</v>
      </c>
      <c r="T260" s="28">
        <f>QuickCalc!G29</f>
        <v>0</v>
      </c>
      <c r="U260" s="28">
        <f>QuickCalc!H29</f>
        <v>0</v>
      </c>
      <c r="V260" s="28">
        <f>QuickCalc!I29</f>
        <v>0</v>
      </c>
      <c r="W260" s="28">
        <f>QuickCalc!J29</f>
        <v>0</v>
      </c>
      <c r="X260" s="28">
        <f>QuickCalc!K29</f>
        <v>0</v>
      </c>
      <c r="Y260" s="28">
        <f>QuickCalc!L29</f>
        <v>0</v>
      </c>
      <c r="Z260" s="28">
        <f>QuickCalc!M29</f>
        <v>0</v>
      </c>
      <c r="AA260" s="28">
        <f>QuickCalc!N29</f>
        <v>0</v>
      </c>
      <c r="AB260" s="28">
        <f>QuickCalc!O29</f>
        <v>0</v>
      </c>
      <c r="AC260" s="28">
        <f>QuickCalc!P29</f>
        <v>0</v>
      </c>
      <c r="AD260" s="28">
        <f>QuickCalc!Q29</f>
        <v>0</v>
      </c>
      <c r="AE260" s="28">
        <f>QuickCalc!R29</f>
        <v>0</v>
      </c>
      <c r="AF260" s="28">
        <f>QuickCalc!S29</f>
        <v>0</v>
      </c>
      <c r="AG260" s="28">
        <f>QuickCalc!T29</f>
        <v>0</v>
      </c>
      <c r="AH260" s="28">
        <f>QuickCalc!U29</f>
        <v>0</v>
      </c>
      <c r="AI260" s="28">
        <f>QuickCalc!V29</f>
        <v>0</v>
      </c>
      <c r="AJ260" s="28">
        <f>QuickCalc!W29</f>
        <v>0</v>
      </c>
      <c r="AK260" s="28">
        <f>QuickCalc!X29</f>
        <v>0</v>
      </c>
      <c r="AL260" s="28">
        <f>QuickCalc!Y29</f>
        <v>0</v>
      </c>
      <c r="AM260" s="28">
        <f>QuickCalc!Z29</f>
        <v>0</v>
      </c>
      <c r="AN260" s="28">
        <f>QuickCalc!AA29</f>
        <v>0</v>
      </c>
      <c r="AO260" s="28">
        <f>QuickCalc!AB29</f>
        <v>0</v>
      </c>
      <c r="AP260" s="28">
        <f>QuickCalc!AC29</f>
        <v>0</v>
      </c>
      <c r="AQ260" s="28">
        <f>QuickCalc!AD29</f>
        <v>0</v>
      </c>
      <c r="AR260" s="28">
        <f>QuickCalc!AE29</f>
        <v>0</v>
      </c>
      <c r="AS260" s="28">
        <f>QuickCalc!AF29</f>
        <v>0</v>
      </c>
      <c r="AT260" s="28">
        <f>QuickCalc!AG29</f>
        <v>0</v>
      </c>
      <c r="AU260" s="28">
        <f>QuickCalc!AH29</f>
        <v>0</v>
      </c>
      <c r="AV260" s="28">
        <f>QuickCalc!AI29</f>
        <v>0</v>
      </c>
      <c r="AW260" s="28">
        <f>QuickCalc!AJ29</f>
        <v>0</v>
      </c>
      <c r="AX260" s="28">
        <f>QuickCalc!AK29</f>
        <v>0</v>
      </c>
      <c r="AY260" s="28">
        <f>QuickCalc!AL29</f>
        <v>0</v>
      </c>
      <c r="AZ260" s="28">
        <f>QuickCalc!AM29</f>
        <v>0</v>
      </c>
      <c r="BA260" s="28">
        <f>QuickCalc!AN29</f>
        <v>0</v>
      </c>
      <c r="BB260" s="28">
        <f>QuickCalc!AO29</f>
        <v>0</v>
      </c>
      <c r="BC260" s="28">
        <f>QuickCalc!AP29</f>
        <v>0</v>
      </c>
      <c r="BD260" s="28">
        <f>QuickCalc!AQ29</f>
        <v>0</v>
      </c>
      <c r="BE260" s="28">
        <f>QuickCalc!AR29</f>
        <v>0</v>
      </c>
      <c r="BF260" s="28">
        <f>QuickCalc!AS29</f>
        <v>0</v>
      </c>
      <c r="BG260" s="28">
        <f>QuickCalc!AT29</f>
        <v>0</v>
      </c>
      <c r="BH260" s="28">
        <f>QuickCalc!AU29</f>
        <v>0</v>
      </c>
      <c r="BI260" s="28">
        <f>QuickCalc!AV29</f>
        <v>0</v>
      </c>
      <c r="BJ260" s="28">
        <f>QuickCalc!AW29</f>
        <v>0</v>
      </c>
      <c r="BK260" s="28">
        <f>QuickCalc!AX29</f>
        <v>0</v>
      </c>
      <c r="BL260" s="28">
        <f>QuickCalc!AY29</f>
        <v>0</v>
      </c>
      <c r="BM260" s="28">
        <f>QuickCalc!AZ29</f>
        <v>0</v>
      </c>
      <c r="BN260" s="28">
        <f>QuickCalc!BA29</f>
        <v>0</v>
      </c>
      <c r="BO260" s="28">
        <f>QuickCalc!BB29</f>
        <v>0</v>
      </c>
      <c r="BP260" s="28">
        <f>QuickCalc!BC29</f>
        <v>0</v>
      </c>
    </row>
    <row r="261" spans="3:68" ht="10.35" hidden="1" customHeight="1" outlineLevel="1" x14ac:dyDescent="0.2">
      <c r="C261" s="80"/>
      <c r="D261" s="80"/>
      <c r="E261" s="80"/>
      <c r="F261" s="80"/>
      <c r="G261" s="80"/>
      <c r="H261" s="80"/>
      <c r="I261" s="80"/>
      <c r="J261" s="80"/>
      <c r="K261" s="80"/>
      <c r="L261" s="412"/>
      <c r="M261" s="413"/>
      <c r="N261" s="80"/>
      <c r="O261" s="80"/>
      <c r="P261" s="80"/>
      <c r="Q261" s="80"/>
      <c r="R261" s="29"/>
      <c r="S261" s="29"/>
      <c r="T261" s="29"/>
      <c r="U261" s="29"/>
      <c r="V261" s="29"/>
      <c r="W261" s="29"/>
      <c r="X261" s="29"/>
      <c r="Y261" s="29"/>
      <c r="Z261" s="29"/>
      <c r="AA261" s="29"/>
      <c r="AB261" s="29"/>
      <c r="AC261" s="29"/>
      <c r="AD261" s="29"/>
      <c r="AE261" s="29"/>
      <c r="AF261" s="29"/>
      <c r="AG261" s="29"/>
      <c r="AH261" s="29"/>
      <c r="AI261" s="29"/>
      <c r="AJ261" s="29"/>
      <c r="AK261" s="29"/>
      <c r="AL261" s="29"/>
      <c r="AM261" s="29"/>
      <c r="AN261" s="29"/>
      <c r="AO261" s="29"/>
      <c r="AP261" s="29"/>
      <c r="AQ261" s="29"/>
      <c r="AR261" s="29"/>
      <c r="AS261" s="29"/>
      <c r="AT261" s="29"/>
      <c r="AU261" s="29"/>
      <c r="AV261" s="29"/>
      <c r="AW261" s="29"/>
      <c r="AX261" s="29"/>
      <c r="AY261" s="29"/>
      <c r="AZ261" s="29"/>
      <c r="BA261" s="29"/>
      <c r="BB261" s="29"/>
      <c r="BC261" s="29"/>
      <c r="BD261" s="29"/>
      <c r="BE261" s="29"/>
      <c r="BF261" s="29"/>
      <c r="BG261" s="29"/>
      <c r="BH261" s="29"/>
      <c r="BI261" s="29"/>
      <c r="BJ261" s="29"/>
      <c r="BK261" s="29"/>
      <c r="BL261" s="29"/>
      <c r="BM261" s="29"/>
      <c r="BN261" s="29"/>
      <c r="BO261" s="29"/>
      <c r="BP261" s="29"/>
    </row>
    <row r="262" spans="3:68" s="18" customFormat="1" ht="10.35" customHeight="1" collapsed="1" x14ac:dyDescent="0.2">
      <c r="C262" s="19" t="s">
        <v>140</v>
      </c>
      <c r="D262" s="426"/>
      <c r="E262" s="426"/>
      <c r="F262" s="426"/>
      <c r="G262" s="426"/>
      <c r="H262" s="426"/>
      <c r="I262" s="426"/>
      <c r="J262" s="426"/>
      <c r="K262" s="426"/>
      <c r="L262" s="428"/>
      <c r="M262" s="429"/>
      <c r="N262" s="426"/>
      <c r="O262" s="426"/>
      <c r="P262" s="426"/>
      <c r="Q262" s="426"/>
      <c r="R262" s="30"/>
      <c r="S262" s="30"/>
      <c r="T262" s="30"/>
      <c r="U262" s="30"/>
      <c r="V262" s="30"/>
      <c r="W262" s="30"/>
      <c r="X262" s="30"/>
      <c r="Y262" s="30"/>
      <c r="Z262" s="30"/>
      <c r="AA262" s="30"/>
      <c r="AB262" s="30"/>
      <c r="AC262" s="30"/>
      <c r="AD262" s="30"/>
      <c r="AE262" s="30"/>
      <c r="AF262" s="30"/>
      <c r="AG262" s="30"/>
      <c r="AH262" s="30"/>
      <c r="AI262" s="30"/>
      <c r="AJ262" s="30"/>
      <c r="AK262" s="30"/>
      <c r="AL262" s="30"/>
      <c r="AM262" s="30"/>
      <c r="AN262" s="30"/>
      <c r="AO262" s="30"/>
      <c r="AP262" s="30"/>
      <c r="AQ262" s="30"/>
      <c r="AR262" s="30"/>
      <c r="AS262" s="30"/>
      <c r="AT262" s="30"/>
      <c r="AU262" s="30"/>
      <c r="AV262" s="30"/>
      <c r="AW262" s="30"/>
      <c r="AX262" s="30"/>
      <c r="AY262" s="30"/>
      <c r="AZ262" s="30"/>
      <c r="BA262" s="30"/>
      <c r="BB262" s="30"/>
      <c r="BC262" s="30"/>
      <c r="BD262" s="30"/>
      <c r="BE262" s="30"/>
      <c r="BF262" s="30"/>
      <c r="BG262" s="30"/>
      <c r="BH262" s="30"/>
      <c r="BI262" s="30"/>
      <c r="BJ262" s="30"/>
      <c r="BK262" s="30"/>
      <c r="BL262" s="30"/>
      <c r="BM262" s="30"/>
      <c r="BN262" s="30"/>
      <c r="BO262" s="30"/>
      <c r="BP262" s="30"/>
    </row>
    <row r="263" spans="3:68" ht="10.35" hidden="1" customHeight="1" outlineLevel="1" x14ac:dyDescent="0.2">
      <c r="C263" s="80"/>
      <c r="D263" s="80"/>
      <c r="E263" s="80"/>
      <c r="F263" s="80"/>
      <c r="G263" s="80"/>
      <c r="H263" s="80"/>
      <c r="I263" s="80"/>
      <c r="J263" s="80"/>
      <c r="K263" s="80"/>
      <c r="L263" s="412"/>
      <c r="M263" s="413"/>
      <c r="N263" s="80"/>
      <c r="O263" s="80"/>
      <c r="P263" s="80"/>
      <c r="Q263" s="80"/>
      <c r="R263" s="29"/>
      <c r="S263" s="29"/>
      <c r="T263" s="29"/>
      <c r="U263" s="29"/>
      <c r="V263" s="29"/>
      <c r="W263" s="29"/>
      <c r="X263" s="29"/>
      <c r="Y263" s="29"/>
      <c r="Z263" s="29"/>
      <c r="AA263" s="29"/>
      <c r="AB263" s="29"/>
      <c r="AC263" s="29"/>
      <c r="AD263" s="29"/>
      <c r="AE263" s="29"/>
      <c r="AF263" s="29"/>
      <c r="AG263" s="29"/>
      <c r="AH263" s="29"/>
      <c r="AI263" s="29"/>
      <c r="AJ263" s="29"/>
      <c r="AK263" s="29"/>
      <c r="AL263" s="29"/>
      <c r="AM263" s="29"/>
      <c r="AN263" s="29"/>
      <c r="AO263" s="29"/>
      <c r="AP263" s="29"/>
      <c r="AQ263" s="29"/>
      <c r="AR263" s="29"/>
      <c r="AS263" s="29"/>
      <c r="AT263" s="29"/>
      <c r="AU263" s="29"/>
      <c r="AV263" s="29"/>
      <c r="AW263" s="29"/>
      <c r="AX263" s="29"/>
      <c r="AY263" s="29"/>
      <c r="AZ263" s="29"/>
      <c r="BA263" s="29"/>
      <c r="BB263" s="29"/>
      <c r="BC263" s="29"/>
      <c r="BD263" s="29"/>
      <c r="BE263" s="29"/>
      <c r="BF263" s="29"/>
      <c r="BG263" s="29"/>
      <c r="BH263" s="29"/>
      <c r="BI263" s="29"/>
      <c r="BJ263" s="29"/>
      <c r="BK263" s="29"/>
      <c r="BL263" s="29"/>
      <c r="BM263" s="29"/>
      <c r="BN263" s="29"/>
      <c r="BO263" s="29"/>
      <c r="BP263" s="29"/>
    </row>
    <row r="264" spans="3:68" ht="10.35" hidden="1" customHeight="1" outlineLevel="1" x14ac:dyDescent="0.2">
      <c r="C264" s="80"/>
      <c r="D264" s="80"/>
      <c r="E264" s="80"/>
      <c r="F264" s="80"/>
      <c r="G264" s="80"/>
      <c r="H264" s="80"/>
      <c r="I264" s="80"/>
      <c r="J264" s="80"/>
      <c r="K264" s="80"/>
      <c r="L264" s="412"/>
      <c r="M264" s="413"/>
      <c r="N264" s="80"/>
      <c r="O264" s="80"/>
      <c r="P264" s="80"/>
      <c r="Q264" s="80"/>
      <c r="R264" s="29"/>
      <c r="S264" s="29"/>
      <c r="T264" s="29"/>
      <c r="U264" s="29"/>
      <c r="V264" s="29"/>
      <c r="W264" s="29"/>
      <c r="X264" s="29"/>
      <c r="Y264" s="29"/>
      <c r="Z264" s="29"/>
      <c r="AA264" s="29"/>
      <c r="AB264" s="29"/>
      <c r="AC264" s="29"/>
      <c r="AD264" s="29"/>
      <c r="AE264" s="29"/>
      <c r="AF264" s="29"/>
      <c r="AG264" s="29"/>
      <c r="AH264" s="29"/>
      <c r="AI264" s="29"/>
      <c r="AJ264" s="29"/>
      <c r="AK264" s="29"/>
      <c r="AL264" s="29"/>
      <c r="AM264" s="29"/>
      <c r="AN264" s="29"/>
      <c r="AO264" s="29"/>
      <c r="AP264" s="29"/>
      <c r="AQ264" s="29"/>
      <c r="AR264" s="29"/>
      <c r="AS264" s="29"/>
      <c r="AT264" s="29"/>
      <c r="AU264" s="29"/>
      <c r="AV264" s="29"/>
      <c r="AW264" s="29"/>
      <c r="AX264" s="29"/>
      <c r="AY264" s="29"/>
      <c r="AZ264" s="29"/>
      <c r="BA264" s="29"/>
      <c r="BB264" s="29"/>
      <c r="BC264" s="29"/>
      <c r="BD264" s="29"/>
      <c r="BE264" s="29"/>
      <c r="BF264" s="29"/>
      <c r="BG264" s="29"/>
      <c r="BH264" s="29"/>
      <c r="BI264" s="29"/>
      <c r="BJ264" s="29"/>
      <c r="BK264" s="29"/>
      <c r="BL264" s="29"/>
      <c r="BM264" s="29"/>
      <c r="BN264" s="29"/>
      <c r="BO264" s="29"/>
      <c r="BP264" s="29"/>
    </row>
    <row r="265" spans="3:68" ht="10.35" hidden="1" customHeight="1" outlineLevel="1" x14ac:dyDescent="0.2">
      <c r="C265" s="80"/>
      <c r="D265" s="80"/>
      <c r="E265" s="80"/>
      <c r="F265" s="80"/>
      <c r="G265" s="80"/>
      <c r="H265" s="80"/>
      <c r="I265" s="80"/>
      <c r="J265" s="80"/>
      <c r="K265" s="80"/>
      <c r="L265" s="412"/>
      <c r="M265" s="413"/>
      <c r="N265" s="80"/>
      <c r="O265" s="80"/>
      <c r="P265" s="80"/>
      <c r="Q265" s="80"/>
      <c r="R265" s="29"/>
      <c r="S265" s="29"/>
      <c r="T265" s="29"/>
      <c r="U265" s="29"/>
      <c r="V265" s="29"/>
      <c r="W265" s="29"/>
      <c r="X265" s="29"/>
      <c r="Y265" s="29"/>
      <c r="Z265" s="29"/>
      <c r="AA265" s="29"/>
      <c r="AB265" s="29"/>
      <c r="AC265" s="29"/>
      <c r="AD265" s="29"/>
      <c r="AE265" s="29"/>
      <c r="AF265" s="29"/>
      <c r="AG265" s="29"/>
      <c r="AH265" s="29"/>
      <c r="AI265" s="29"/>
      <c r="AJ265" s="29"/>
      <c r="AK265" s="29"/>
      <c r="AL265" s="29"/>
      <c r="AM265" s="29"/>
      <c r="AN265" s="29"/>
      <c r="AO265" s="29"/>
      <c r="AP265" s="29"/>
      <c r="AQ265" s="29"/>
      <c r="AR265" s="29"/>
      <c r="AS265" s="29"/>
      <c r="AT265" s="29"/>
      <c r="AU265" s="29"/>
      <c r="AV265" s="29"/>
      <c r="AW265" s="29"/>
      <c r="AX265" s="29"/>
      <c r="AY265" s="29"/>
      <c r="AZ265" s="29"/>
      <c r="BA265" s="29"/>
      <c r="BB265" s="29"/>
      <c r="BC265" s="29"/>
      <c r="BD265" s="29"/>
      <c r="BE265" s="29"/>
      <c r="BF265" s="29"/>
      <c r="BG265" s="29"/>
      <c r="BH265" s="29"/>
      <c r="BI265" s="29"/>
      <c r="BJ265" s="29"/>
      <c r="BK265" s="29"/>
      <c r="BL265" s="29"/>
      <c r="BM265" s="29"/>
      <c r="BN265" s="29"/>
      <c r="BO265" s="29"/>
      <c r="BP265" s="29"/>
    </row>
    <row r="266" spans="3:68" ht="10.35" hidden="1" customHeight="1" outlineLevel="1" x14ac:dyDescent="0.2">
      <c r="C266" s="80"/>
      <c r="D266" s="80"/>
      <c r="E266" s="80"/>
      <c r="F266" s="80"/>
      <c r="G266" s="80"/>
      <c r="H266" s="80"/>
      <c r="I266" s="80"/>
      <c r="J266" s="80"/>
      <c r="K266" s="80"/>
      <c r="L266" s="412"/>
      <c r="M266" s="413"/>
      <c r="N266" s="80"/>
      <c r="O266" s="80"/>
      <c r="P266" s="80"/>
      <c r="Q266" s="80"/>
      <c r="R266" s="29"/>
      <c r="S266" s="29"/>
      <c r="T266" s="29"/>
      <c r="U266" s="29"/>
      <c r="V266" s="29"/>
      <c r="W266" s="29"/>
      <c r="X266" s="29"/>
      <c r="Y266" s="29"/>
      <c r="Z266" s="29"/>
      <c r="AA266" s="29"/>
      <c r="AB266" s="29"/>
      <c r="AC266" s="29"/>
      <c r="AD266" s="29"/>
      <c r="AE266" s="29"/>
      <c r="AF266" s="29"/>
      <c r="AG266" s="29"/>
      <c r="AH266" s="29"/>
      <c r="AI266" s="29"/>
      <c r="AJ266" s="29"/>
      <c r="AK266" s="29"/>
      <c r="AL266" s="29"/>
      <c r="AM266" s="29"/>
      <c r="AN266" s="29"/>
      <c r="AO266" s="29"/>
      <c r="AP266" s="29"/>
      <c r="AQ266" s="29"/>
      <c r="AR266" s="29"/>
      <c r="AS266" s="29"/>
      <c r="AT266" s="29"/>
      <c r="AU266" s="29"/>
      <c r="AV266" s="29"/>
      <c r="AW266" s="29"/>
      <c r="AX266" s="29"/>
      <c r="AY266" s="29"/>
      <c r="AZ266" s="29"/>
      <c r="BA266" s="29"/>
      <c r="BB266" s="29"/>
      <c r="BC266" s="29"/>
      <c r="BD266" s="29"/>
      <c r="BE266" s="29"/>
      <c r="BF266" s="29"/>
      <c r="BG266" s="29"/>
      <c r="BH266" s="29"/>
      <c r="BI266" s="29"/>
      <c r="BJ266" s="29"/>
      <c r="BK266" s="29"/>
      <c r="BL266" s="29"/>
      <c r="BM266" s="29"/>
      <c r="BN266" s="29"/>
      <c r="BO266" s="29"/>
      <c r="BP266" s="29"/>
    </row>
    <row r="267" spans="3:68" ht="10.35" hidden="1" customHeight="1" outlineLevel="1" x14ac:dyDescent="0.2">
      <c r="C267" s="80"/>
      <c r="D267" s="80"/>
      <c r="E267" s="80"/>
      <c r="F267" s="80"/>
      <c r="G267" s="80"/>
      <c r="H267" s="80"/>
      <c r="I267" s="80"/>
      <c r="J267" s="80"/>
      <c r="K267" s="80"/>
      <c r="L267" s="412"/>
      <c r="M267" s="413"/>
      <c r="N267" s="80"/>
      <c r="O267" s="80"/>
      <c r="P267" s="80"/>
      <c r="Q267" s="80"/>
      <c r="R267" s="29"/>
      <c r="S267" s="29"/>
      <c r="T267" s="29"/>
      <c r="U267" s="29"/>
      <c r="V267" s="29"/>
      <c r="W267" s="29"/>
      <c r="X267" s="29"/>
      <c r="Y267" s="29"/>
      <c r="Z267" s="29"/>
      <c r="AA267" s="29"/>
      <c r="AB267" s="29"/>
      <c r="AC267" s="29"/>
      <c r="AD267" s="29"/>
      <c r="AE267" s="29"/>
      <c r="AF267" s="29"/>
      <c r="AG267" s="29"/>
      <c r="AH267" s="29"/>
      <c r="AI267" s="29"/>
      <c r="AJ267" s="29"/>
      <c r="AK267" s="29"/>
      <c r="AL267" s="29"/>
      <c r="AM267" s="29"/>
      <c r="AN267" s="29"/>
      <c r="AO267" s="29"/>
      <c r="AP267" s="29"/>
      <c r="AQ267" s="29"/>
      <c r="AR267" s="29"/>
      <c r="AS267" s="29"/>
      <c r="AT267" s="29"/>
      <c r="AU267" s="29"/>
      <c r="AV267" s="29"/>
      <c r="AW267" s="29"/>
      <c r="AX267" s="29"/>
      <c r="AY267" s="29"/>
      <c r="AZ267" s="29"/>
      <c r="BA267" s="29"/>
      <c r="BB267" s="29"/>
      <c r="BC267" s="29"/>
      <c r="BD267" s="29"/>
      <c r="BE267" s="29"/>
      <c r="BF267" s="29"/>
      <c r="BG267" s="29"/>
      <c r="BH267" s="29"/>
      <c r="BI267" s="29"/>
      <c r="BJ267" s="29"/>
      <c r="BK267" s="29"/>
      <c r="BL267" s="29"/>
      <c r="BM267" s="29"/>
      <c r="BN267" s="29"/>
      <c r="BO267" s="29"/>
      <c r="BP267" s="29"/>
    </row>
    <row r="268" spans="3:68" ht="10.35" hidden="1" customHeight="1" outlineLevel="1" x14ac:dyDescent="0.2">
      <c r="C268" s="80"/>
      <c r="D268" s="80"/>
      <c r="E268" s="80"/>
      <c r="F268" s="80"/>
      <c r="G268" s="80"/>
      <c r="H268" s="80"/>
      <c r="I268" s="80"/>
      <c r="J268" s="80"/>
      <c r="K268" s="80"/>
      <c r="L268" s="412"/>
      <c r="M268" s="413"/>
      <c r="N268" s="80"/>
      <c r="O268" s="80"/>
      <c r="P268" s="80"/>
      <c r="Q268" s="80"/>
      <c r="R268" s="29"/>
      <c r="S268" s="29"/>
      <c r="T268" s="29"/>
      <c r="U268" s="29"/>
      <c r="V268" s="29"/>
      <c r="W268" s="29"/>
      <c r="X268" s="29"/>
      <c r="Y268" s="29"/>
      <c r="Z268" s="29"/>
      <c r="AA268" s="29"/>
      <c r="AB268" s="29"/>
      <c r="AC268" s="29"/>
      <c r="AD268" s="29"/>
      <c r="AE268" s="29"/>
      <c r="AF268" s="29"/>
      <c r="AG268" s="29"/>
      <c r="AH268" s="29"/>
      <c r="AI268" s="29"/>
      <c r="AJ268" s="29"/>
      <c r="AK268" s="29"/>
      <c r="AL268" s="29"/>
      <c r="AM268" s="29"/>
      <c r="AN268" s="29"/>
      <c r="AO268" s="29"/>
      <c r="AP268" s="29"/>
      <c r="AQ268" s="29"/>
      <c r="AR268" s="29"/>
      <c r="AS268" s="29"/>
      <c r="AT268" s="29"/>
      <c r="AU268" s="29"/>
      <c r="AV268" s="29"/>
      <c r="AW268" s="29"/>
      <c r="AX268" s="29"/>
      <c r="AY268" s="29"/>
      <c r="AZ268" s="29"/>
      <c r="BA268" s="29"/>
      <c r="BB268" s="29"/>
      <c r="BC268" s="29"/>
      <c r="BD268" s="29"/>
      <c r="BE268" s="29"/>
      <c r="BF268" s="29"/>
      <c r="BG268" s="29"/>
      <c r="BH268" s="29"/>
      <c r="BI268" s="29"/>
      <c r="BJ268" s="29"/>
      <c r="BK268" s="29"/>
      <c r="BL268" s="29"/>
      <c r="BM268" s="29"/>
      <c r="BN268" s="29"/>
      <c r="BO268" s="29"/>
      <c r="BP268" s="29"/>
    </row>
    <row r="269" spans="3:68" ht="10.35" hidden="1" customHeight="1" outlineLevel="1" x14ac:dyDescent="0.2">
      <c r="C269" s="80"/>
      <c r="D269" s="80"/>
      <c r="E269" s="80"/>
      <c r="F269" s="80"/>
      <c r="G269" s="80"/>
      <c r="H269" s="80"/>
      <c r="I269" s="80"/>
      <c r="J269" s="80"/>
      <c r="K269" s="80"/>
      <c r="L269" s="412"/>
      <c r="M269" s="413"/>
      <c r="N269" s="80"/>
      <c r="O269" s="80"/>
      <c r="P269" s="80"/>
      <c r="Q269" s="80"/>
      <c r="R269" s="29"/>
      <c r="S269" s="29"/>
      <c r="T269" s="29"/>
      <c r="U269" s="29"/>
      <c r="V269" s="29"/>
      <c r="W269" s="29"/>
      <c r="X269" s="29"/>
      <c r="Y269" s="29"/>
      <c r="Z269" s="29"/>
      <c r="AA269" s="29"/>
      <c r="AB269" s="29"/>
      <c r="AC269" s="29"/>
      <c r="AD269" s="29"/>
      <c r="AE269" s="29"/>
      <c r="AF269" s="29"/>
      <c r="AG269" s="29"/>
      <c r="AH269" s="29"/>
      <c r="AI269" s="29"/>
      <c r="AJ269" s="29"/>
      <c r="AK269" s="29"/>
      <c r="AL269" s="29"/>
      <c r="AM269" s="29"/>
      <c r="AN269" s="29"/>
      <c r="AO269" s="29"/>
      <c r="AP269" s="29"/>
      <c r="AQ269" s="29"/>
      <c r="AR269" s="29"/>
      <c r="AS269" s="29"/>
      <c r="AT269" s="29"/>
      <c r="AU269" s="29"/>
      <c r="AV269" s="29"/>
      <c r="AW269" s="29"/>
      <c r="AX269" s="29"/>
      <c r="AY269" s="29"/>
      <c r="AZ269" s="29"/>
      <c r="BA269" s="29"/>
      <c r="BB269" s="29"/>
      <c r="BC269" s="29"/>
      <c r="BD269" s="29"/>
      <c r="BE269" s="29"/>
      <c r="BF269" s="29"/>
      <c r="BG269" s="29"/>
      <c r="BH269" s="29"/>
      <c r="BI269" s="29"/>
      <c r="BJ269" s="29"/>
      <c r="BK269" s="29"/>
      <c r="BL269" s="29"/>
      <c r="BM269" s="29"/>
      <c r="BN269" s="29"/>
      <c r="BO269" s="29"/>
      <c r="BP269" s="29"/>
    </row>
    <row r="270" spans="3:68" ht="10.35" hidden="1" customHeight="1" outlineLevel="1" x14ac:dyDescent="0.2">
      <c r="C270" s="80"/>
      <c r="D270" s="80"/>
      <c r="E270" s="80"/>
      <c r="F270" s="80"/>
      <c r="G270" s="80"/>
      <c r="H270" s="80"/>
      <c r="I270" s="80"/>
      <c r="J270" s="80"/>
      <c r="K270" s="80"/>
      <c r="L270" s="412"/>
      <c r="M270" s="413"/>
      <c r="N270" s="80"/>
      <c r="O270" s="80"/>
      <c r="P270" s="80"/>
      <c r="Q270" s="80"/>
      <c r="R270" s="29"/>
      <c r="S270" s="29"/>
      <c r="T270" s="29"/>
      <c r="U270" s="29"/>
      <c r="V270" s="29"/>
      <c r="W270" s="29"/>
      <c r="X270" s="29"/>
      <c r="Y270" s="29"/>
      <c r="Z270" s="29"/>
      <c r="AA270" s="29"/>
      <c r="AB270" s="29"/>
      <c r="AC270" s="29"/>
      <c r="AD270" s="29"/>
      <c r="AE270" s="29"/>
      <c r="AF270" s="29"/>
      <c r="AG270" s="29"/>
      <c r="AH270" s="29"/>
      <c r="AI270" s="29"/>
      <c r="AJ270" s="29"/>
      <c r="AK270" s="29"/>
      <c r="AL270" s="29"/>
      <c r="AM270" s="29"/>
      <c r="AN270" s="29"/>
      <c r="AO270" s="29"/>
      <c r="AP270" s="29"/>
      <c r="AQ270" s="29"/>
      <c r="AR270" s="29"/>
      <c r="AS270" s="29"/>
      <c r="AT270" s="29"/>
      <c r="AU270" s="29"/>
      <c r="AV270" s="29"/>
      <c r="AW270" s="29"/>
      <c r="AX270" s="29"/>
      <c r="AY270" s="29"/>
      <c r="AZ270" s="29"/>
      <c r="BA270" s="29"/>
      <c r="BB270" s="29"/>
      <c r="BC270" s="29"/>
      <c r="BD270" s="29"/>
      <c r="BE270" s="29"/>
      <c r="BF270" s="29"/>
      <c r="BG270" s="29"/>
      <c r="BH270" s="29"/>
      <c r="BI270" s="29"/>
      <c r="BJ270" s="29"/>
      <c r="BK270" s="29"/>
      <c r="BL270" s="29"/>
      <c r="BM270" s="29"/>
      <c r="BN270" s="29"/>
      <c r="BO270" s="29"/>
      <c r="BP270" s="29"/>
    </row>
    <row r="271" spans="3:68" ht="10.35" hidden="1" customHeight="1" outlineLevel="1" x14ac:dyDescent="0.2">
      <c r="C271" s="80"/>
      <c r="D271" s="80"/>
      <c r="E271" s="80"/>
      <c r="F271" s="80"/>
      <c r="G271" s="80"/>
      <c r="H271" s="80"/>
      <c r="I271" s="80"/>
      <c r="J271" s="80"/>
      <c r="K271" s="80"/>
      <c r="L271" s="412"/>
      <c r="M271" s="413"/>
      <c r="N271" s="80"/>
      <c r="O271" s="80"/>
      <c r="P271" s="80"/>
      <c r="Q271" s="80"/>
      <c r="R271" s="29"/>
      <c r="S271" s="29"/>
      <c r="T271" s="29"/>
      <c r="U271" s="29"/>
      <c r="V271" s="29"/>
      <c r="W271" s="29"/>
      <c r="X271" s="29"/>
      <c r="Y271" s="29"/>
      <c r="Z271" s="29"/>
      <c r="AA271" s="29"/>
      <c r="AB271" s="29"/>
      <c r="AC271" s="29"/>
      <c r="AD271" s="29"/>
      <c r="AE271" s="29"/>
      <c r="AF271" s="29"/>
      <c r="AG271" s="29"/>
      <c r="AH271" s="29"/>
      <c r="AI271" s="29"/>
      <c r="AJ271" s="29"/>
      <c r="AK271" s="29"/>
      <c r="AL271" s="29"/>
      <c r="AM271" s="29"/>
      <c r="AN271" s="29"/>
      <c r="AO271" s="29"/>
      <c r="AP271" s="29"/>
      <c r="AQ271" s="29"/>
      <c r="AR271" s="29"/>
      <c r="AS271" s="29"/>
      <c r="AT271" s="29"/>
      <c r="AU271" s="29"/>
      <c r="AV271" s="29"/>
      <c r="AW271" s="29"/>
      <c r="AX271" s="29"/>
      <c r="AY271" s="29"/>
      <c r="AZ271" s="29"/>
      <c r="BA271" s="29"/>
      <c r="BB271" s="29"/>
      <c r="BC271" s="29"/>
      <c r="BD271" s="29"/>
      <c r="BE271" s="29"/>
      <c r="BF271" s="29"/>
      <c r="BG271" s="29"/>
      <c r="BH271" s="29"/>
      <c r="BI271" s="29"/>
      <c r="BJ271" s="29"/>
      <c r="BK271" s="29"/>
      <c r="BL271" s="29"/>
      <c r="BM271" s="29"/>
      <c r="BN271" s="29"/>
      <c r="BO271" s="29"/>
      <c r="BP271" s="29"/>
    </row>
    <row r="272" spans="3:68" ht="10.35" hidden="1" customHeight="1" outlineLevel="1" x14ac:dyDescent="0.2">
      <c r="C272" s="80"/>
      <c r="D272" s="80"/>
      <c r="E272" s="80"/>
      <c r="F272" s="80"/>
      <c r="G272" s="80"/>
      <c r="H272" s="80"/>
      <c r="I272" s="80"/>
      <c r="J272" s="80"/>
      <c r="K272" s="80"/>
      <c r="L272" s="412"/>
      <c r="M272" s="413"/>
      <c r="N272" s="80"/>
      <c r="O272" s="80"/>
      <c r="P272" s="80"/>
      <c r="Q272" s="80"/>
      <c r="R272" s="29"/>
      <c r="S272" s="29"/>
      <c r="T272" s="29"/>
      <c r="U272" s="29"/>
      <c r="V272" s="29"/>
      <c r="W272" s="29"/>
      <c r="X272" s="29"/>
      <c r="Y272" s="29"/>
      <c r="Z272" s="29"/>
      <c r="AA272" s="29"/>
      <c r="AB272" s="29"/>
      <c r="AC272" s="29"/>
      <c r="AD272" s="29"/>
      <c r="AE272" s="29"/>
      <c r="AF272" s="29"/>
      <c r="AG272" s="29"/>
      <c r="AH272" s="29"/>
      <c r="AI272" s="29"/>
      <c r="AJ272" s="29"/>
      <c r="AK272" s="29"/>
      <c r="AL272" s="29"/>
      <c r="AM272" s="29"/>
      <c r="AN272" s="29"/>
      <c r="AO272" s="29"/>
      <c r="AP272" s="29"/>
      <c r="AQ272" s="29"/>
      <c r="AR272" s="29"/>
      <c r="AS272" s="29"/>
      <c r="AT272" s="29"/>
      <c r="AU272" s="29"/>
      <c r="AV272" s="29"/>
      <c r="AW272" s="29"/>
      <c r="AX272" s="29"/>
      <c r="AY272" s="29"/>
      <c r="AZ272" s="29"/>
      <c r="BA272" s="29"/>
      <c r="BB272" s="29"/>
      <c r="BC272" s="29"/>
      <c r="BD272" s="29"/>
      <c r="BE272" s="29"/>
      <c r="BF272" s="29"/>
      <c r="BG272" s="29"/>
      <c r="BH272" s="29"/>
      <c r="BI272" s="29"/>
      <c r="BJ272" s="29"/>
      <c r="BK272" s="29"/>
      <c r="BL272" s="29"/>
      <c r="BM272" s="29"/>
      <c r="BN272" s="29"/>
      <c r="BO272" s="29"/>
      <c r="BP272" s="29"/>
    </row>
    <row r="273" spans="4:68" ht="10.35" hidden="1" customHeight="1" outlineLevel="1" x14ac:dyDescent="0.2">
      <c r="D273" s="80"/>
      <c r="E273" s="80"/>
      <c r="F273" s="80"/>
      <c r="G273" s="80"/>
      <c r="H273" s="80"/>
      <c r="I273" s="80"/>
      <c r="J273" s="80"/>
      <c r="K273" s="80"/>
      <c r="L273" s="412"/>
      <c r="M273" s="413"/>
      <c r="N273" s="80"/>
      <c r="O273" s="80"/>
      <c r="P273" s="80"/>
      <c r="Q273" s="80"/>
      <c r="R273" s="29"/>
      <c r="S273" s="29"/>
      <c r="T273" s="29"/>
      <c r="U273" s="29"/>
      <c r="V273" s="29"/>
      <c r="W273" s="29"/>
      <c r="X273" s="29"/>
      <c r="Y273" s="29"/>
      <c r="Z273" s="29"/>
      <c r="AA273" s="29"/>
      <c r="AB273" s="29"/>
      <c r="AC273" s="29"/>
      <c r="AD273" s="29"/>
      <c r="AE273" s="29"/>
      <c r="AF273" s="29"/>
      <c r="AG273" s="29"/>
      <c r="AH273" s="29"/>
      <c r="AI273" s="29"/>
      <c r="AJ273" s="29"/>
      <c r="AK273" s="29"/>
      <c r="AL273" s="29"/>
      <c r="AM273" s="29"/>
      <c r="AN273" s="29"/>
      <c r="AO273" s="29"/>
      <c r="AP273" s="29"/>
      <c r="AQ273" s="29"/>
      <c r="AR273" s="29"/>
      <c r="AS273" s="29"/>
      <c r="AT273" s="29"/>
      <c r="AU273" s="29"/>
      <c r="AV273" s="29"/>
      <c r="AW273" s="29"/>
      <c r="AX273" s="29"/>
      <c r="AY273" s="29"/>
      <c r="AZ273" s="29"/>
      <c r="BA273" s="29"/>
      <c r="BB273" s="29"/>
      <c r="BC273" s="29"/>
      <c r="BD273" s="29"/>
      <c r="BE273" s="29"/>
      <c r="BF273" s="29"/>
      <c r="BG273" s="29"/>
      <c r="BH273" s="29"/>
      <c r="BI273" s="29"/>
      <c r="BJ273" s="29"/>
      <c r="BK273" s="29"/>
      <c r="BL273" s="29"/>
      <c r="BM273" s="29"/>
      <c r="BN273" s="29"/>
      <c r="BO273" s="29"/>
      <c r="BP273" s="29"/>
    </row>
    <row r="274" spans="4:68" ht="10.35" hidden="1" customHeight="1" outlineLevel="1" x14ac:dyDescent="0.2">
      <c r="D274" s="80"/>
      <c r="E274" s="80"/>
      <c r="F274" s="80"/>
      <c r="G274" s="80"/>
      <c r="H274" s="80"/>
      <c r="I274" s="80"/>
      <c r="J274" s="80"/>
      <c r="K274" s="80"/>
      <c r="L274" s="412"/>
      <c r="M274" s="413"/>
      <c r="N274" s="80"/>
      <c r="O274" s="80"/>
      <c r="P274" s="80"/>
      <c r="Q274" s="80"/>
      <c r="R274" s="29"/>
      <c r="S274" s="29"/>
      <c r="T274" s="29"/>
      <c r="U274" s="29"/>
      <c r="V274" s="29"/>
      <c r="W274" s="29"/>
      <c r="X274" s="29"/>
      <c r="Y274" s="29"/>
      <c r="Z274" s="29"/>
      <c r="AA274" s="29"/>
      <c r="AB274" s="29"/>
      <c r="AC274" s="29"/>
      <c r="AD274" s="29"/>
      <c r="AE274" s="29"/>
      <c r="AF274" s="29"/>
      <c r="AG274" s="29"/>
      <c r="AH274" s="29"/>
      <c r="AI274" s="29"/>
      <c r="AJ274" s="29"/>
      <c r="AK274" s="29"/>
      <c r="AL274" s="29"/>
      <c r="AM274" s="29"/>
      <c r="AN274" s="29"/>
      <c r="AO274" s="29"/>
      <c r="AP274" s="29"/>
      <c r="AQ274" s="29"/>
      <c r="AR274" s="29"/>
      <c r="AS274" s="29"/>
      <c r="AT274" s="29"/>
      <c r="AU274" s="29"/>
      <c r="AV274" s="29"/>
      <c r="AW274" s="29"/>
      <c r="AX274" s="29"/>
      <c r="AY274" s="29"/>
      <c r="AZ274" s="29"/>
      <c r="BA274" s="29"/>
      <c r="BB274" s="29"/>
      <c r="BC274" s="29"/>
      <c r="BD274" s="29"/>
      <c r="BE274" s="29"/>
      <c r="BF274" s="29"/>
      <c r="BG274" s="29"/>
      <c r="BH274" s="29"/>
      <c r="BI274" s="29"/>
      <c r="BJ274" s="29"/>
      <c r="BK274" s="29"/>
      <c r="BL274" s="29"/>
      <c r="BM274" s="29"/>
      <c r="BN274" s="29"/>
      <c r="BO274" s="29"/>
      <c r="BP274" s="29"/>
    </row>
    <row r="275" spans="4:68" ht="10.35" hidden="1" customHeight="1" outlineLevel="1" x14ac:dyDescent="0.2">
      <c r="D275" s="80"/>
      <c r="E275" s="80"/>
      <c r="F275" s="80"/>
      <c r="G275" s="80"/>
      <c r="H275" s="80"/>
      <c r="I275" s="80"/>
      <c r="J275" s="80"/>
      <c r="K275" s="80"/>
      <c r="L275" s="412"/>
      <c r="M275" s="413"/>
      <c r="N275" s="80"/>
      <c r="O275" s="80"/>
      <c r="P275" s="80"/>
      <c r="Q275" s="80"/>
      <c r="R275" s="29"/>
      <c r="S275" s="29"/>
      <c r="T275" s="29"/>
      <c r="U275" s="29"/>
      <c r="V275" s="29"/>
      <c r="W275" s="29"/>
      <c r="X275" s="29"/>
      <c r="Y275" s="29"/>
      <c r="Z275" s="29"/>
      <c r="AA275" s="29"/>
      <c r="AB275" s="29"/>
      <c r="AC275" s="29"/>
      <c r="AD275" s="29"/>
      <c r="AE275" s="29"/>
      <c r="AF275" s="29"/>
      <c r="AG275" s="29"/>
      <c r="AH275" s="29"/>
      <c r="AI275" s="29"/>
      <c r="AJ275" s="29"/>
      <c r="AK275" s="29"/>
      <c r="AL275" s="29"/>
      <c r="AM275" s="29"/>
      <c r="AN275" s="29"/>
      <c r="AO275" s="29"/>
      <c r="AP275" s="29"/>
      <c r="AQ275" s="29"/>
      <c r="AR275" s="29"/>
      <c r="AS275" s="29"/>
      <c r="AT275" s="29"/>
      <c r="AU275" s="29"/>
      <c r="AV275" s="29"/>
      <c r="AW275" s="29"/>
      <c r="AX275" s="29"/>
      <c r="AY275" s="29"/>
      <c r="AZ275" s="29"/>
      <c r="BA275" s="29"/>
      <c r="BB275" s="29"/>
      <c r="BC275" s="29"/>
      <c r="BD275" s="29"/>
      <c r="BE275" s="29"/>
      <c r="BF275" s="29"/>
      <c r="BG275" s="29"/>
      <c r="BH275" s="29"/>
      <c r="BI275" s="29"/>
      <c r="BJ275" s="29"/>
      <c r="BK275" s="29"/>
      <c r="BL275" s="29"/>
      <c r="BM275" s="29"/>
      <c r="BN275" s="29"/>
      <c r="BO275" s="29"/>
      <c r="BP275" s="29"/>
    </row>
    <row r="276" spans="4:68" ht="10.35" hidden="1" customHeight="1" outlineLevel="1" x14ac:dyDescent="0.2">
      <c r="D276" s="10"/>
      <c r="E276" s="80"/>
      <c r="F276" s="10" t="s">
        <v>96</v>
      </c>
      <c r="G276" s="80"/>
      <c r="H276" s="80"/>
      <c r="I276" s="80"/>
      <c r="J276" s="80"/>
      <c r="K276" s="17"/>
      <c r="L276" s="104"/>
      <c r="M276" s="113"/>
      <c r="N276"/>
      <c r="O276"/>
      <c r="P276"/>
      <c r="Q276"/>
      <c r="R276" s="24" t="str">
        <f>"FY"&amp;RIGHT(Assumptions!$L$19+R68,2)</f>
        <v>FY22</v>
      </c>
      <c r="S276" s="24" t="str">
        <f>"FY"&amp;RIGHT(Assumptions!$L$19+S68,2)</f>
        <v>FY23</v>
      </c>
      <c r="T276" s="24" t="str">
        <f>"FY"&amp;RIGHT(Assumptions!$L$19+T68,2)</f>
        <v>FY24</v>
      </c>
      <c r="U276" s="24" t="str">
        <f>"FY"&amp;RIGHT(Assumptions!$L$19+U68,2)</f>
        <v>FY25</v>
      </c>
      <c r="V276" s="24" t="str">
        <f>"FY"&amp;RIGHT(Assumptions!$L$19+V68,2)</f>
        <v>FY26</v>
      </c>
      <c r="W276" s="24" t="str">
        <f>"FY"&amp;RIGHT(Assumptions!$L$19+W68,2)</f>
        <v>FY27</v>
      </c>
      <c r="X276" s="24" t="str">
        <f>"FY"&amp;RIGHT(Assumptions!$L$19+X68,2)</f>
        <v>FY28</v>
      </c>
      <c r="Y276" s="24" t="str">
        <f>"FY"&amp;RIGHT(Assumptions!$L$19+Y68,2)</f>
        <v>FY29</v>
      </c>
      <c r="Z276" s="24" t="str">
        <f>"FY"&amp;RIGHT(Assumptions!$L$19+Z68,2)</f>
        <v>FY30</v>
      </c>
      <c r="AA276" s="24" t="str">
        <f>"FY"&amp;RIGHT(Assumptions!$L$19+AA68,2)</f>
        <v>FY31</v>
      </c>
      <c r="AB276" s="24" t="str">
        <f>"FY"&amp;RIGHT(Assumptions!$L$19+AB68,2)</f>
        <v>FY32</v>
      </c>
      <c r="AC276" s="24" t="str">
        <f>"FY"&amp;RIGHT(Assumptions!$L$19+AC68,2)</f>
        <v>FY33</v>
      </c>
      <c r="AD276" s="24" t="str">
        <f>"FY"&amp;RIGHT(Assumptions!$L$19+AD68,2)</f>
        <v>FY34</v>
      </c>
      <c r="AE276" s="24" t="str">
        <f>"FY"&amp;RIGHT(Assumptions!$L$19+AE68,2)</f>
        <v>FY35</v>
      </c>
      <c r="AF276" s="24" t="str">
        <f>"FY"&amp;RIGHT(Assumptions!$L$19+AF68,2)</f>
        <v>FY36</v>
      </c>
      <c r="AG276" s="24" t="str">
        <f>"FY"&amp;RIGHT(Assumptions!$L$19+AG68,2)</f>
        <v>FY37</v>
      </c>
      <c r="AH276" s="24" t="str">
        <f>"FY"&amp;RIGHT(Assumptions!$L$19+AH68,2)</f>
        <v>FY38</v>
      </c>
      <c r="AI276" s="24" t="str">
        <f>"FY"&amp;RIGHT(Assumptions!$L$19+AI68,2)</f>
        <v>FY39</v>
      </c>
      <c r="AJ276" s="24" t="str">
        <f>"FY"&amp;RIGHT(Assumptions!$L$19+AJ68,2)</f>
        <v>FY40</v>
      </c>
      <c r="AK276" s="24" t="str">
        <f>"FY"&amp;RIGHT(Assumptions!$L$19+AK68,2)</f>
        <v>FY41</v>
      </c>
      <c r="AL276" s="24" t="str">
        <f>"FY"&amp;RIGHT(Assumptions!$L$19+AL68,2)</f>
        <v>FY42</v>
      </c>
      <c r="AM276" s="24" t="str">
        <f>"FY"&amp;RIGHT(Assumptions!$L$19+AM68,2)</f>
        <v>FY43</v>
      </c>
      <c r="AN276" s="24" t="str">
        <f>"FY"&amp;RIGHT(Assumptions!$L$19+AN68,2)</f>
        <v>FY44</v>
      </c>
      <c r="AO276" s="24" t="str">
        <f>"FY"&amp;RIGHT(Assumptions!$L$19+AO68,2)</f>
        <v>FY45</v>
      </c>
      <c r="AP276" s="24" t="str">
        <f>"FY"&amp;RIGHT(Assumptions!$L$19+AP68,2)</f>
        <v>FY46</v>
      </c>
      <c r="AQ276" s="24" t="str">
        <f>"FY"&amp;RIGHT(Assumptions!$L$19+AQ68,2)</f>
        <v>FY47</v>
      </c>
      <c r="AR276" s="24" t="str">
        <f>"FY"&amp;RIGHT(Assumptions!$L$19+AR68,2)</f>
        <v>FY48</v>
      </c>
      <c r="AS276" s="24" t="str">
        <f>"FY"&amp;RIGHT(Assumptions!$L$19+AS68,2)</f>
        <v>FY49</v>
      </c>
      <c r="AT276" s="24" t="str">
        <f>"FY"&amp;RIGHT(Assumptions!$L$19+AT68,2)</f>
        <v>FY50</v>
      </c>
      <c r="AU276" s="24" t="str">
        <f>"FY"&amp;RIGHT(Assumptions!$L$19+AU68,2)</f>
        <v>FY51</v>
      </c>
      <c r="AV276" s="24" t="str">
        <f>"FY"&amp;RIGHT(Assumptions!$L$19+AV68,2)</f>
        <v>FY52</v>
      </c>
      <c r="AW276" s="24" t="str">
        <f>"FY"&amp;RIGHT(Assumptions!$L$19+AW68,2)</f>
        <v>FY53</v>
      </c>
      <c r="AX276" s="24" t="str">
        <f>"FY"&amp;RIGHT(Assumptions!$L$19+AX68,2)</f>
        <v>FY54</v>
      </c>
      <c r="AY276" s="24" t="str">
        <f>"FY"&amp;RIGHT(Assumptions!$L$19+AY68,2)</f>
        <v>FY55</v>
      </c>
      <c r="AZ276" s="24" t="str">
        <f>"FY"&amp;RIGHT(Assumptions!$L$19+AZ68,2)</f>
        <v>FY56</v>
      </c>
      <c r="BA276" s="24" t="str">
        <f>"FY"&amp;RIGHT(Assumptions!$L$19+BA68,2)</f>
        <v>FY57</v>
      </c>
      <c r="BB276" s="24" t="str">
        <f>"FY"&amp;RIGHT(Assumptions!$L$19+BB68,2)</f>
        <v>FY58</v>
      </c>
      <c r="BC276" s="24" t="str">
        <f>"FY"&amp;RIGHT(Assumptions!$L$19+BC68,2)</f>
        <v>FY59</v>
      </c>
      <c r="BD276" s="24" t="str">
        <f>"FY"&amp;RIGHT(Assumptions!$L$19+BD68,2)</f>
        <v>FY60</v>
      </c>
      <c r="BE276" s="24" t="str">
        <f>"FY"&amp;RIGHT(Assumptions!$L$19+BE68,2)</f>
        <v>FY61</v>
      </c>
      <c r="BF276" s="24" t="str">
        <f>"FY"&amp;RIGHT(Assumptions!$L$19+BF68,2)</f>
        <v>FY62</v>
      </c>
      <c r="BG276" s="24" t="str">
        <f>"FY"&amp;RIGHT(Assumptions!$L$19+BG68,2)</f>
        <v>FY63</v>
      </c>
      <c r="BH276" s="24" t="str">
        <f>"FY"&amp;RIGHT(Assumptions!$L$19+BH68,2)</f>
        <v>FY64</v>
      </c>
      <c r="BI276" s="24" t="str">
        <f>"FY"&amp;RIGHT(Assumptions!$L$19+BI68,2)</f>
        <v>FY65</v>
      </c>
      <c r="BJ276" s="24" t="str">
        <f>"FY"&amp;RIGHT(Assumptions!$L$19+BJ68,2)</f>
        <v>FY66</v>
      </c>
      <c r="BK276" s="24" t="str">
        <f>"FY"&amp;RIGHT(Assumptions!$L$19+BK68,2)</f>
        <v>FY67</v>
      </c>
      <c r="BL276" s="24" t="str">
        <f>"FY"&amp;RIGHT(Assumptions!$L$19+BL68,2)</f>
        <v>FY68</v>
      </c>
      <c r="BM276" s="24" t="str">
        <f>"FY"&amp;RIGHT(Assumptions!$L$19+BM68,2)</f>
        <v>FY69</v>
      </c>
      <c r="BN276" s="24" t="str">
        <f>"FY"&amp;RIGHT(Assumptions!$L$19+BN68,2)</f>
        <v>FY70</v>
      </c>
      <c r="BO276" s="24" t="str">
        <f>"FY"&amp;RIGHT(Assumptions!$L$19+BO68,2)</f>
        <v>FY71</v>
      </c>
      <c r="BP276" s="24" t="str">
        <f>"FY"&amp;RIGHT(Assumptions!$L$19+BP68,2)</f>
        <v>FY72</v>
      </c>
    </row>
    <row r="277" spans="4:68" ht="10.35" hidden="1" customHeight="1" outlineLevel="1" x14ac:dyDescent="0.2">
      <c r="D277" s="80"/>
      <c r="E277" s="80"/>
      <c r="F277" s="80"/>
      <c r="G277" s="80"/>
      <c r="H277" s="80"/>
      <c r="I277" s="80"/>
      <c r="J277" s="80"/>
      <c r="K277" s="80"/>
      <c r="L277" s="412"/>
      <c r="M277" s="113"/>
      <c r="N277"/>
      <c r="O277"/>
      <c r="P277"/>
      <c r="Q277"/>
      <c r="R277" s="29"/>
      <c r="S277" s="29"/>
      <c r="T277" s="29"/>
      <c r="U277" s="29"/>
      <c r="V277" s="29"/>
      <c r="W277" s="29"/>
      <c r="X277" s="29"/>
      <c r="Y277" s="29"/>
      <c r="Z277" s="29"/>
      <c r="AA277" s="29"/>
      <c r="AB277" s="29"/>
      <c r="AC277" s="29"/>
      <c r="AD277" s="29"/>
      <c r="AE277" s="29"/>
      <c r="AF277" s="29"/>
      <c r="AG277" s="29"/>
      <c r="AH277" s="29"/>
      <c r="AI277" s="29"/>
      <c r="AJ277" s="29"/>
      <c r="AK277" s="29"/>
      <c r="AL277" s="29"/>
      <c r="AM277" s="29"/>
      <c r="AN277" s="29"/>
      <c r="AO277" s="29"/>
      <c r="AP277" s="29"/>
      <c r="AQ277" s="29"/>
      <c r="AR277" s="29"/>
      <c r="AS277" s="29"/>
      <c r="AT277" s="29"/>
      <c r="AU277" s="29"/>
      <c r="AV277" s="29"/>
      <c r="AW277" s="29"/>
      <c r="AX277" s="29"/>
      <c r="AY277" s="29"/>
      <c r="AZ277" s="29"/>
      <c r="BA277" s="29"/>
      <c r="BB277" s="29"/>
      <c r="BC277" s="29"/>
      <c r="BD277" s="29"/>
      <c r="BE277" s="29"/>
      <c r="BF277" s="29"/>
      <c r="BG277" s="29"/>
      <c r="BH277" s="29"/>
      <c r="BI277" s="29"/>
      <c r="BJ277" s="29"/>
      <c r="BK277" s="29"/>
      <c r="BL277" s="29"/>
      <c r="BM277" s="29"/>
      <c r="BN277" s="29"/>
      <c r="BO277" s="29"/>
      <c r="BP277" s="29"/>
    </row>
    <row r="278" spans="4:68" ht="10.35" hidden="1" customHeight="1" outlineLevel="1" x14ac:dyDescent="0.2">
      <c r="D278" s="10" t="s">
        <v>35</v>
      </c>
      <c r="E278" s="80"/>
      <c r="F278" s="512" t="s">
        <v>104</v>
      </c>
      <c r="G278" s="512"/>
      <c r="H278" s="512"/>
      <c r="I278" s="512"/>
      <c r="J278" s="512"/>
      <c r="K278" s="80"/>
      <c r="L278" s="412"/>
      <c r="M278" s="113"/>
      <c r="N278"/>
      <c r="O278"/>
      <c r="P278"/>
      <c r="Q278"/>
      <c r="R278" s="28">
        <f>QuickCalc!E31</f>
        <v>0</v>
      </c>
      <c r="S278" s="28">
        <f>QuickCalc!F31</f>
        <v>0</v>
      </c>
      <c r="T278" s="28">
        <f>QuickCalc!G31</f>
        <v>0</v>
      </c>
      <c r="U278" s="28">
        <f>QuickCalc!H31</f>
        <v>4357421.4794582743</v>
      </c>
      <c r="V278" s="28">
        <f>QuickCalc!I31</f>
        <v>4421187.5671172729</v>
      </c>
      <c r="W278" s="28">
        <f>QuickCalc!J31</f>
        <v>4451034.2730616657</v>
      </c>
      <c r="X278" s="28">
        <f>QuickCalc!K31</f>
        <v>4454116.4275256703</v>
      </c>
      <c r="Y278" s="28">
        <f>QuickCalc!L31</f>
        <v>4521292.9927943535</v>
      </c>
      <c r="Z278" s="28">
        <f>QuickCalc!M31</f>
        <v>2345953.9113555606</v>
      </c>
      <c r="AA278" s="28">
        <f>QuickCalc!N31</f>
        <v>0</v>
      </c>
      <c r="AB278" s="28">
        <f>QuickCalc!O31</f>
        <v>0</v>
      </c>
      <c r="AC278" s="28">
        <f>QuickCalc!P31</f>
        <v>0</v>
      </c>
      <c r="AD278" s="28">
        <f>QuickCalc!Q31</f>
        <v>0</v>
      </c>
      <c r="AE278" s="28">
        <f>QuickCalc!R31</f>
        <v>0</v>
      </c>
      <c r="AF278" s="28">
        <f>QuickCalc!S31</f>
        <v>0</v>
      </c>
      <c r="AG278" s="28">
        <f>QuickCalc!T31</f>
        <v>0</v>
      </c>
      <c r="AH278" s="28">
        <f>QuickCalc!U31</f>
        <v>0</v>
      </c>
      <c r="AI278" s="28">
        <f>QuickCalc!V31</f>
        <v>0</v>
      </c>
      <c r="AJ278" s="28">
        <f>QuickCalc!W31</f>
        <v>0</v>
      </c>
      <c r="AK278" s="28">
        <f>QuickCalc!X31</f>
        <v>0</v>
      </c>
      <c r="AL278" s="28">
        <f>QuickCalc!Y31</f>
        <v>0</v>
      </c>
      <c r="AM278" s="28">
        <f>QuickCalc!Z31</f>
        <v>0</v>
      </c>
      <c r="AN278" s="28">
        <f>QuickCalc!AA31</f>
        <v>0</v>
      </c>
      <c r="AO278" s="28">
        <f>QuickCalc!AB31</f>
        <v>0</v>
      </c>
      <c r="AP278" s="28">
        <f>QuickCalc!AC31</f>
        <v>0</v>
      </c>
      <c r="AQ278" s="28">
        <f>QuickCalc!AD31</f>
        <v>0</v>
      </c>
      <c r="AR278" s="28">
        <f>QuickCalc!AE31</f>
        <v>0</v>
      </c>
      <c r="AS278" s="28">
        <f>QuickCalc!AF31</f>
        <v>0</v>
      </c>
      <c r="AT278" s="28">
        <f>QuickCalc!AG31</f>
        <v>0</v>
      </c>
      <c r="AU278" s="28">
        <f>QuickCalc!AH31</f>
        <v>0</v>
      </c>
      <c r="AV278" s="28">
        <f>QuickCalc!AI31</f>
        <v>0</v>
      </c>
      <c r="AW278" s="28">
        <f>QuickCalc!AJ31</f>
        <v>0</v>
      </c>
      <c r="AX278" s="28">
        <f>QuickCalc!AK31</f>
        <v>0</v>
      </c>
      <c r="AY278" s="28">
        <f>QuickCalc!AL31</f>
        <v>0</v>
      </c>
      <c r="AZ278" s="28">
        <f>QuickCalc!AM31</f>
        <v>0</v>
      </c>
      <c r="BA278" s="28">
        <f>QuickCalc!AN31</f>
        <v>0</v>
      </c>
      <c r="BB278" s="28">
        <f>QuickCalc!AO31</f>
        <v>0</v>
      </c>
      <c r="BC278" s="28">
        <f>QuickCalc!AP31</f>
        <v>0</v>
      </c>
      <c r="BD278" s="28">
        <f>QuickCalc!AQ31</f>
        <v>0</v>
      </c>
      <c r="BE278" s="28">
        <f>QuickCalc!AR31</f>
        <v>0</v>
      </c>
      <c r="BF278" s="28">
        <f>QuickCalc!AS31</f>
        <v>0</v>
      </c>
      <c r="BG278" s="28">
        <f>QuickCalc!AT31</f>
        <v>0</v>
      </c>
      <c r="BH278" s="28">
        <f>QuickCalc!AU31</f>
        <v>0</v>
      </c>
      <c r="BI278" s="28">
        <f>QuickCalc!AV31</f>
        <v>0</v>
      </c>
      <c r="BJ278" s="28">
        <f>QuickCalc!AW31</f>
        <v>0</v>
      </c>
      <c r="BK278" s="28">
        <f>QuickCalc!AX31</f>
        <v>0</v>
      </c>
      <c r="BL278" s="28">
        <f>QuickCalc!AY31</f>
        <v>0</v>
      </c>
      <c r="BM278" s="28">
        <f>QuickCalc!AZ31</f>
        <v>0</v>
      </c>
      <c r="BN278" s="28">
        <f>QuickCalc!BA31</f>
        <v>0</v>
      </c>
      <c r="BO278" s="28">
        <f>QuickCalc!BB31</f>
        <v>0</v>
      </c>
      <c r="BP278" s="28">
        <f>QuickCalc!BC31</f>
        <v>0</v>
      </c>
    </row>
    <row r="279" spans="4:68" ht="10.35" hidden="1" customHeight="1" outlineLevel="1" x14ac:dyDescent="0.2">
      <c r="D279" s="10" t="s">
        <v>36</v>
      </c>
      <c r="E279" s="80"/>
      <c r="F279" s="512" t="s">
        <v>104</v>
      </c>
      <c r="G279" s="512"/>
      <c r="H279" s="512"/>
      <c r="I279" s="512"/>
      <c r="J279" s="512"/>
      <c r="K279" s="80"/>
      <c r="L279" s="412"/>
      <c r="M279" s="113"/>
      <c r="N279"/>
      <c r="O279"/>
      <c r="P279"/>
      <c r="Q279"/>
      <c r="R279" s="28">
        <f>QuickCalc!E32</f>
        <v>0</v>
      </c>
      <c r="S279" s="28">
        <f>QuickCalc!F32</f>
        <v>0</v>
      </c>
      <c r="T279" s="28">
        <f>QuickCalc!G32</f>
        <v>0</v>
      </c>
      <c r="U279" s="28">
        <f>QuickCalc!H32</f>
        <v>0</v>
      </c>
      <c r="V279" s="28">
        <f>QuickCalc!I32</f>
        <v>0</v>
      </c>
      <c r="W279" s="28">
        <f>QuickCalc!J32</f>
        <v>0</v>
      </c>
      <c r="X279" s="28">
        <f>QuickCalc!K32</f>
        <v>0</v>
      </c>
      <c r="Y279" s="28">
        <f>QuickCalc!L32</f>
        <v>0</v>
      </c>
      <c r="Z279" s="28">
        <f>QuickCalc!M32</f>
        <v>0</v>
      </c>
      <c r="AA279" s="28">
        <f>QuickCalc!N32</f>
        <v>0</v>
      </c>
      <c r="AB279" s="28">
        <f>QuickCalc!O32</f>
        <v>0</v>
      </c>
      <c r="AC279" s="28">
        <f>QuickCalc!P32</f>
        <v>0</v>
      </c>
      <c r="AD279" s="28">
        <f>QuickCalc!Q32</f>
        <v>0</v>
      </c>
      <c r="AE279" s="28">
        <f>QuickCalc!R32</f>
        <v>0</v>
      </c>
      <c r="AF279" s="28">
        <f>QuickCalc!S32</f>
        <v>0</v>
      </c>
      <c r="AG279" s="28">
        <f>QuickCalc!T32</f>
        <v>0</v>
      </c>
      <c r="AH279" s="28">
        <f>QuickCalc!U32</f>
        <v>0</v>
      </c>
      <c r="AI279" s="28">
        <f>QuickCalc!V32</f>
        <v>0</v>
      </c>
      <c r="AJ279" s="28">
        <f>QuickCalc!W32</f>
        <v>0</v>
      </c>
      <c r="AK279" s="28">
        <f>QuickCalc!X32</f>
        <v>0</v>
      </c>
      <c r="AL279" s="28">
        <f>QuickCalc!Y32</f>
        <v>0</v>
      </c>
      <c r="AM279" s="28">
        <f>QuickCalc!Z32</f>
        <v>0</v>
      </c>
      <c r="AN279" s="28">
        <f>QuickCalc!AA32</f>
        <v>0</v>
      </c>
      <c r="AO279" s="28">
        <f>QuickCalc!AB32</f>
        <v>0</v>
      </c>
      <c r="AP279" s="28">
        <f>QuickCalc!AC32</f>
        <v>0</v>
      </c>
      <c r="AQ279" s="28">
        <f>QuickCalc!AD32</f>
        <v>0</v>
      </c>
      <c r="AR279" s="28">
        <f>QuickCalc!AE32</f>
        <v>0</v>
      </c>
      <c r="AS279" s="28">
        <f>QuickCalc!AF32</f>
        <v>0</v>
      </c>
      <c r="AT279" s="28">
        <f>QuickCalc!AG32</f>
        <v>0</v>
      </c>
      <c r="AU279" s="28">
        <f>QuickCalc!AH32</f>
        <v>0</v>
      </c>
      <c r="AV279" s="28">
        <f>QuickCalc!AI32</f>
        <v>0</v>
      </c>
      <c r="AW279" s="28">
        <f>QuickCalc!AJ32</f>
        <v>0</v>
      </c>
      <c r="AX279" s="28">
        <f>QuickCalc!AK32</f>
        <v>0</v>
      </c>
      <c r="AY279" s="28">
        <f>QuickCalc!AL32</f>
        <v>0</v>
      </c>
      <c r="AZ279" s="28">
        <f>QuickCalc!AM32</f>
        <v>0</v>
      </c>
      <c r="BA279" s="28">
        <f>QuickCalc!AN32</f>
        <v>0</v>
      </c>
      <c r="BB279" s="28">
        <f>QuickCalc!AO32</f>
        <v>0</v>
      </c>
      <c r="BC279" s="28">
        <f>QuickCalc!AP32</f>
        <v>0</v>
      </c>
      <c r="BD279" s="28">
        <f>QuickCalc!AQ32</f>
        <v>0</v>
      </c>
      <c r="BE279" s="28">
        <f>QuickCalc!AR32</f>
        <v>0</v>
      </c>
      <c r="BF279" s="28">
        <f>QuickCalc!AS32</f>
        <v>0</v>
      </c>
      <c r="BG279" s="28">
        <f>QuickCalc!AT32</f>
        <v>0</v>
      </c>
      <c r="BH279" s="28">
        <f>QuickCalc!AU32</f>
        <v>0</v>
      </c>
      <c r="BI279" s="28">
        <f>QuickCalc!AV32</f>
        <v>0</v>
      </c>
      <c r="BJ279" s="28">
        <f>QuickCalc!AW32</f>
        <v>0</v>
      </c>
      <c r="BK279" s="28">
        <f>QuickCalc!AX32</f>
        <v>0</v>
      </c>
      <c r="BL279" s="28">
        <f>QuickCalc!AY32</f>
        <v>0</v>
      </c>
      <c r="BM279" s="28">
        <f>QuickCalc!AZ32</f>
        <v>0</v>
      </c>
      <c r="BN279" s="28">
        <f>QuickCalc!BA32</f>
        <v>0</v>
      </c>
      <c r="BO279" s="28">
        <f>QuickCalc!BB32</f>
        <v>0</v>
      </c>
      <c r="BP279" s="28">
        <f>QuickCalc!BC32</f>
        <v>0</v>
      </c>
    </row>
    <row r="280" spans="4:68" ht="10.35" hidden="1" customHeight="1" outlineLevel="1" x14ac:dyDescent="0.2">
      <c r="D280" s="10" t="s">
        <v>37</v>
      </c>
      <c r="E280" s="80"/>
      <c r="F280" s="512" t="s">
        <v>104</v>
      </c>
      <c r="G280" s="512"/>
      <c r="H280" s="512"/>
      <c r="I280" s="512"/>
      <c r="J280" s="512"/>
      <c r="K280" s="80"/>
      <c r="L280" s="412"/>
      <c r="M280" s="113"/>
      <c r="N280"/>
      <c r="O280"/>
      <c r="P280"/>
      <c r="Q280"/>
      <c r="R280" s="28">
        <f>QuickCalc!E33</f>
        <v>0</v>
      </c>
      <c r="S280" s="28">
        <f>QuickCalc!F33</f>
        <v>0</v>
      </c>
      <c r="T280" s="28">
        <f>QuickCalc!G33</f>
        <v>0</v>
      </c>
      <c r="U280" s="28">
        <f>QuickCalc!H33</f>
        <v>0</v>
      </c>
      <c r="V280" s="28">
        <f>QuickCalc!I33</f>
        <v>0</v>
      </c>
      <c r="W280" s="28">
        <f>QuickCalc!J33</f>
        <v>0</v>
      </c>
      <c r="X280" s="28">
        <f>QuickCalc!K33</f>
        <v>0</v>
      </c>
      <c r="Y280" s="28">
        <f>QuickCalc!L33</f>
        <v>0</v>
      </c>
      <c r="Z280" s="28">
        <f>QuickCalc!M33</f>
        <v>0</v>
      </c>
      <c r="AA280" s="28">
        <f>QuickCalc!N33</f>
        <v>0</v>
      </c>
      <c r="AB280" s="28">
        <f>QuickCalc!O33</f>
        <v>0</v>
      </c>
      <c r="AC280" s="28">
        <f>QuickCalc!P33</f>
        <v>0</v>
      </c>
      <c r="AD280" s="28">
        <f>QuickCalc!Q33</f>
        <v>0</v>
      </c>
      <c r="AE280" s="28">
        <f>QuickCalc!R33</f>
        <v>0</v>
      </c>
      <c r="AF280" s="28">
        <f>QuickCalc!S33</f>
        <v>0</v>
      </c>
      <c r="AG280" s="28">
        <f>QuickCalc!T33</f>
        <v>0</v>
      </c>
      <c r="AH280" s="28">
        <f>QuickCalc!U33</f>
        <v>0</v>
      </c>
      <c r="AI280" s="28">
        <f>QuickCalc!V33</f>
        <v>0</v>
      </c>
      <c r="AJ280" s="28">
        <f>QuickCalc!W33</f>
        <v>0</v>
      </c>
      <c r="AK280" s="28">
        <f>QuickCalc!X33</f>
        <v>0</v>
      </c>
      <c r="AL280" s="28">
        <f>QuickCalc!Y33</f>
        <v>0</v>
      </c>
      <c r="AM280" s="28">
        <f>QuickCalc!Z33</f>
        <v>0</v>
      </c>
      <c r="AN280" s="28">
        <f>QuickCalc!AA33</f>
        <v>0</v>
      </c>
      <c r="AO280" s="28">
        <f>QuickCalc!AB33</f>
        <v>0</v>
      </c>
      <c r="AP280" s="28">
        <f>QuickCalc!AC33</f>
        <v>0</v>
      </c>
      <c r="AQ280" s="28">
        <f>QuickCalc!AD33</f>
        <v>0</v>
      </c>
      <c r="AR280" s="28">
        <f>QuickCalc!AE33</f>
        <v>0</v>
      </c>
      <c r="AS280" s="28">
        <f>QuickCalc!AF33</f>
        <v>0</v>
      </c>
      <c r="AT280" s="28">
        <f>QuickCalc!AG33</f>
        <v>0</v>
      </c>
      <c r="AU280" s="28">
        <f>QuickCalc!AH33</f>
        <v>0</v>
      </c>
      <c r="AV280" s="28">
        <f>QuickCalc!AI33</f>
        <v>0</v>
      </c>
      <c r="AW280" s="28">
        <f>QuickCalc!AJ33</f>
        <v>0</v>
      </c>
      <c r="AX280" s="28">
        <f>QuickCalc!AK33</f>
        <v>0</v>
      </c>
      <c r="AY280" s="28">
        <f>QuickCalc!AL33</f>
        <v>0</v>
      </c>
      <c r="AZ280" s="28">
        <f>QuickCalc!AM33</f>
        <v>0</v>
      </c>
      <c r="BA280" s="28">
        <f>QuickCalc!AN33</f>
        <v>0</v>
      </c>
      <c r="BB280" s="28">
        <f>QuickCalc!AO33</f>
        <v>0</v>
      </c>
      <c r="BC280" s="28">
        <f>QuickCalc!AP33</f>
        <v>0</v>
      </c>
      <c r="BD280" s="28">
        <f>QuickCalc!AQ33</f>
        <v>0</v>
      </c>
      <c r="BE280" s="28">
        <f>QuickCalc!AR33</f>
        <v>0</v>
      </c>
      <c r="BF280" s="28">
        <f>QuickCalc!AS33</f>
        <v>0</v>
      </c>
      <c r="BG280" s="28">
        <f>QuickCalc!AT33</f>
        <v>0</v>
      </c>
      <c r="BH280" s="28">
        <f>QuickCalc!AU33</f>
        <v>0</v>
      </c>
      <c r="BI280" s="28">
        <f>QuickCalc!AV33</f>
        <v>0</v>
      </c>
      <c r="BJ280" s="28">
        <f>QuickCalc!AW33</f>
        <v>0</v>
      </c>
      <c r="BK280" s="28">
        <f>QuickCalc!AX33</f>
        <v>0</v>
      </c>
      <c r="BL280" s="28">
        <f>QuickCalc!AY33</f>
        <v>0</v>
      </c>
      <c r="BM280" s="28">
        <f>QuickCalc!AZ33</f>
        <v>0</v>
      </c>
      <c r="BN280" s="28">
        <f>QuickCalc!BA33</f>
        <v>0</v>
      </c>
      <c r="BO280" s="28">
        <f>QuickCalc!BB33</f>
        <v>0</v>
      </c>
      <c r="BP280" s="28">
        <f>QuickCalc!BC33</f>
        <v>0</v>
      </c>
    </row>
    <row r="281" spans="4:68" ht="10.35" hidden="1" customHeight="1" outlineLevel="1" x14ac:dyDescent="0.2">
      <c r="D281" s="10" t="s">
        <v>38</v>
      </c>
      <c r="E281" s="80"/>
      <c r="F281" s="512" t="s">
        <v>104</v>
      </c>
      <c r="G281" s="512"/>
      <c r="H281" s="512"/>
      <c r="I281" s="512"/>
      <c r="J281" s="512"/>
      <c r="K281" s="80"/>
      <c r="L281" s="412"/>
      <c r="M281" s="113"/>
      <c r="N281"/>
      <c r="O281"/>
      <c r="P281"/>
      <c r="Q281"/>
      <c r="R281" s="28">
        <f>QuickCalc!E34</f>
        <v>0</v>
      </c>
      <c r="S281" s="28">
        <f>QuickCalc!F34</f>
        <v>0</v>
      </c>
      <c r="T281" s="28">
        <f>QuickCalc!G34</f>
        <v>0</v>
      </c>
      <c r="U281" s="28">
        <f>QuickCalc!H34</f>
        <v>1601352.3937009159</v>
      </c>
      <c r="V281" s="28">
        <f>QuickCalc!I34</f>
        <v>1624786.4309155978</v>
      </c>
      <c r="W281" s="28">
        <f>QuickCalc!J34</f>
        <v>1635755.0953501621</v>
      </c>
      <c r="X281" s="28">
        <f>QuickCalc!K34</f>
        <v>1636887.7871156838</v>
      </c>
      <c r="Y281" s="28">
        <f>QuickCalc!L34</f>
        <v>1661575.1748519249</v>
      </c>
      <c r="Z281" s="28">
        <f>QuickCalc!M34</f>
        <v>830787.58742596244</v>
      </c>
      <c r="AA281" s="28">
        <f>QuickCalc!N34</f>
        <v>830787.58742596244</v>
      </c>
      <c r="AB281" s="28">
        <f>QuickCalc!O34</f>
        <v>830787.58742596244</v>
      </c>
      <c r="AC281" s="28">
        <f>QuickCalc!P34</f>
        <v>0</v>
      </c>
      <c r="AD281" s="28">
        <f>QuickCalc!Q34</f>
        <v>0</v>
      </c>
      <c r="AE281" s="28">
        <f>QuickCalc!R34</f>
        <v>0</v>
      </c>
      <c r="AF281" s="28">
        <f>QuickCalc!S34</f>
        <v>0</v>
      </c>
      <c r="AG281" s="28">
        <f>QuickCalc!T34</f>
        <v>0</v>
      </c>
      <c r="AH281" s="28">
        <f>QuickCalc!U34</f>
        <v>0</v>
      </c>
      <c r="AI281" s="28">
        <f>QuickCalc!V34</f>
        <v>0</v>
      </c>
      <c r="AJ281" s="28">
        <f>QuickCalc!W34</f>
        <v>0</v>
      </c>
      <c r="AK281" s="28">
        <f>QuickCalc!X34</f>
        <v>0</v>
      </c>
      <c r="AL281" s="28">
        <f>QuickCalc!Y34</f>
        <v>0</v>
      </c>
      <c r="AM281" s="28">
        <f>QuickCalc!Z34</f>
        <v>0</v>
      </c>
      <c r="AN281" s="28">
        <f>QuickCalc!AA34</f>
        <v>0</v>
      </c>
      <c r="AO281" s="28">
        <f>QuickCalc!AB34</f>
        <v>0</v>
      </c>
      <c r="AP281" s="28">
        <f>QuickCalc!AC34</f>
        <v>0</v>
      </c>
      <c r="AQ281" s="28">
        <f>QuickCalc!AD34</f>
        <v>0</v>
      </c>
      <c r="AR281" s="28">
        <f>QuickCalc!AE34</f>
        <v>0</v>
      </c>
      <c r="AS281" s="28">
        <f>QuickCalc!AF34</f>
        <v>0</v>
      </c>
      <c r="AT281" s="28">
        <f>QuickCalc!AG34</f>
        <v>0</v>
      </c>
      <c r="AU281" s="28">
        <f>QuickCalc!AH34</f>
        <v>0</v>
      </c>
      <c r="AV281" s="28">
        <f>QuickCalc!AI34</f>
        <v>0</v>
      </c>
      <c r="AW281" s="28">
        <f>QuickCalc!AJ34</f>
        <v>0</v>
      </c>
      <c r="AX281" s="28">
        <f>QuickCalc!AK34</f>
        <v>0</v>
      </c>
      <c r="AY281" s="28">
        <f>QuickCalc!AL34</f>
        <v>0</v>
      </c>
      <c r="AZ281" s="28">
        <f>QuickCalc!AM34</f>
        <v>0</v>
      </c>
      <c r="BA281" s="28">
        <f>QuickCalc!AN34</f>
        <v>0</v>
      </c>
      <c r="BB281" s="28">
        <f>QuickCalc!AO34</f>
        <v>0</v>
      </c>
      <c r="BC281" s="28">
        <f>QuickCalc!AP34</f>
        <v>0</v>
      </c>
      <c r="BD281" s="28">
        <f>QuickCalc!AQ34</f>
        <v>0</v>
      </c>
      <c r="BE281" s="28">
        <f>QuickCalc!AR34</f>
        <v>0</v>
      </c>
      <c r="BF281" s="28">
        <f>QuickCalc!AS34</f>
        <v>0</v>
      </c>
      <c r="BG281" s="28">
        <f>QuickCalc!AT34</f>
        <v>0</v>
      </c>
      <c r="BH281" s="28">
        <f>QuickCalc!AU34</f>
        <v>0</v>
      </c>
      <c r="BI281" s="28">
        <f>QuickCalc!AV34</f>
        <v>0</v>
      </c>
      <c r="BJ281" s="28">
        <f>QuickCalc!AW34</f>
        <v>0</v>
      </c>
      <c r="BK281" s="28">
        <f>QuickCalc!AX34</f>
        <v>0</v>
      </c>
      <c r="BL281" s="28">
        <f>QuickCalc!AY34</f>
        <v>0</v>
      </c>
      <c r="BM281" s="28">
        <f>QuickCalc!AZ34</f>
        <v>0</v>
      </c>
      <c r="BN281" s="28">
        <f>QuickCalc!BA34</f>
        <v>0</v>
      </c>
      <c r="BO281" s="28">
        <f>QuickCalc!BB34</f>
        <v>0</v>
      </c>
      <c r="BP281" s="28">
        <f>QuickCalc!BC34</f>
        <v>0</v>
      </c>
    </row>
    <row r="282" spans="4:68" ht="10.35" hidden="1" customHeight="1" outlineLevel="1" x14ac:dyDescent="0.2">
      <c r="D282" s="32" t="s">
        <v>39</v>
      </c>
      <c r="E282" s="80"/>
      <c r="F282" s="512" t="s">
        <v>104</v>
      </c>
      <c r="G282" s="512"/>
      <c r="H282" s="512"/>
      <c r="I282" s="512"/>
      <c r="J282" s="512"/>
      <c r="K282" s="80"/>
      <c r="L282" s="412"/>
      <c r="M282" s="113"/>
      <c r="N282"/>
      <c r="O282"/>
      <c r="P282"/>
      <c r="Q282"/>
      <c r="R282" s="28">
        <f>QuickCalc!E35</f>
        <v>0</v>
      </c>
      <c r="S282" s="28">
        <f>QuickCalc!F35</f>
        <v>0</v>
      </c>
      <c r="T282" s="28">
        <f>QuickCalc!G35</f>
        <v>0</v>
      </c>
      <c r="U282" s="28">
        <f>QuickCalc!H35</f>
        <v>0</v>
      </c>
      <c r="V282" s="28">
        <f>QuickCalc!I35</f>
        <v>0</v>
      </c>
      <c r="W282" s="28">
        <f>QuickCalc!J35</f>
        <v>0</v>
      </c>
      <c r="X282" s="28">
        <f>QuickCalc!K35</f>
        <v>0</v>
      </c>
      <c r="Y282" s="28">
        <f>QuickCalc!L35</f>
        <v>0</v>
      </c>
      <c r="Z282" s="28">
        <f>QuickCalc!M35</f>
        <v>0</v>
      </c>
      <c r="AA282" s="28">
        <f>QuickCalc!N35</f>
        <v>0</v>
      </c>
      <c r="AB282" s="28">
        <f>QuickCalc!O35</f>
        <v>0</v>
      </c>
      <c r="AC282" s="28">
        <f>QuickCalc!P35</f>
        <v>0</v>
      </c>
      <c r="AD282" s="28">
        <f>QuickCalc!Q35</f>
        <v>0</v>
      </c>
      <c r="AE282" s="28">
        <f>QuickCalc!R35</f>
        <v>0</v>
      </c>
      <c r="AF282" s="28">
        <f>QuickCalc!S35</f>
        <v>0</v>
      </c>
      <c r="AG282" s="28">
        <f>QuickCalc!T35</f>
        <v>0</v>
      </c>
      <c r="AH282" s="28">
        <f>QuickCalc!U35</f>
        <v>0</v>
      </c>
      <c r="AI282" s="28">
        <f>QuickCalc!V35</f>
        <v>0</v>
      </c>
      <c r="AJ282" s="28">
        <f>QuickCalc!W35</f>
        <v>0</v>
      </c>
      <c r="AK282" s="28">
        <f>QuickCalc!X35</f>
        <v>0</v>
      </c>
      <c r="AL282" s="28">
        <f>QuickCalc!Y35</f>
        <v>0</v>
      </c>
      <c r="AM282" s="28">
        <f>QuickCalc!Z35</f>
        <v>0</v>
      </c>
      <c r="AN282" s="28">
        <f>QuickCalc!AA35</f>
        <v>0</v>
      </c>
      <c r="AO282" s="28">
        <f>QuickCalc!AB35</f>
        <v>0</v>
      </c>
      <c r="AP282" s="28">
        <f>QuickCalc!AC35</f>
        <v>0</v>
      </c>
      <c r="AQ282" s="28">
        <f>QuickCalc!AD35</f>
        <v>0</v>
      </c>
      <c r="AR282" s="28">
        <f>QuickCalc!AE35</f>
        <v>0</v>
      </c>
      <c r="AS282" s="28">
        <f>QuickCalc!AF35</f>
        <v>0</v>
      </c>
      <c r="AT282" s="28">
        <f>QuickCalc!AG35</f>
        <v>0</v>
      </c>
      <c r="AU282" s="28">
        <f>QuickCalc!AH35</f>
        <v>0</v>
      </c>
      <c r="AV282" s="28">
        <f>QuickCalc!AI35</f>
        <v>0</v>
      </c>
      <c r="AW282" s="28">
        <f>QuickCalc!AJ35</f>
        <v>0</v>
      </c>
      <c r="AX282" s="28">
        <f>QuickCalc!AK35</f>
        <v>0</v>
      </c>
      <c r="AY282" s="28">
        <f>QuickCalc!AL35</f>
        <v>0</v>
      </c>
      <c r="AZ282" s="28">
        <f>QuickCalc!AM35</f>
        <v>0</v>
      </c>
      <c r="BA282" s="28">
        <f>QuickCalc!AN35</f>
        <v>0</v>
      </c>
      <c r="BB282" s="28">
        <f>QuickCalc!AO35</f>
        <v>0</v>
      </c>
      <c r="BC282" s="28">
        <f>QuickCalc!AP35</f>
        <v>0</v>
      </c>
      <c r="BD282" s="28">
        <f>QuickCalc!AQ35</f>
        <v>0</v>
      </c>
      <c r="BE282" s="28">
        <f>QuickCalc!AR35</f>
        <v>0</v>
      </c>
      <c r="BF282" s="28">
        <f>QuickCalc!AS35</f>
        <v>0</v>
      </c>
      <c r="BG282" s="28">
        <f>QuickCalc!AT35</f>
        <v>0</v>
      </c>
      <c r="BH282" s="28">
        <f>QuickCalc!AU35</f>
        <v>0</v>
      </c>
      <c r="BI282" s="28">
        <f>QuickCalc!AV35</f>
        <v>0</v>
      </c>
      <c r="BJ282" s="28">
        <f>QuickCalc!AW35</f>
        <v>0</v>
      </c>
      <c r="BK282" s="28">
        <f>QuickCalc!AX35</f>
        <v>0</v>
      </c>
      <c r="BL282" s="28">
        <f>QuickCalc!AY35</f>
        <v>0</v>
      </c>
      <c r="BM282" s="28">
        <f>QuickCalc!AZ35</f>
        <v>0</v>
      </c>
      <c r="BN282" s="28">
        <f>QuickCalc!BA35</f>
        <v>0</v>
      </c>
      <c r="BO282" s="28">
        <f>QuickCalc!BB35</f>
        <v>0</v>
      </c>
      <c r="BP282" s="28">
        <f>QuickCalc!BC35</f>
        <v>0</v>
      </c>
    </row>
    <row r="283" spans="4:68" ht="10.35" hidden="1" customHeight="1" outlineLevel="1" x14ac:dyDescent="0.2">
      <c r="D283" s="32" t="s">
        <v>40</v>
      </c>
      <c r="E283" s="80"/>
      <c r="F283" s="512" t="s">
        <v>104</v>
      </c>
      <c r="G283" s="512"/>
      <c r="H283" s="512"/>
      <c r="I283" s="512"/>
      <c r="J283" s="512"/>
      <c r="K283" s="80"/>
      <c r="L283" s="412"/>
      <c r="M283" s="113"/>
      <c r="N283"/>
      <c r="O283"/>
      <c r="P283"/>
      <c r="Q283"/>
      <c r="R283" s="28">
        <f>QuickCalc!E36</f>
        <v>0</v>
      </c>
      <c r="S283" s="28">
        <f>QuickCalc!F36</f>
        <v>0</v>
      </c>
      <c r="T283" s="28">
        <f>QuickCalc!G36</f>
        <v>0</v>
      </c>
      <c r="U283" s="28">
        <f>QuickCalc!H36</f>
        <v>0</v>
      </c>
      <c r="V283" s="28">
        <f>QuickCalc!I36</f>
        <v>0</v>
      </c>
      <c r="W283" s="28">
        <f>QuickCalc!J36</f>
        <v>0</v>
      </c>
      <c r="X283" s="28">
        <f>QuickCalc!K36</f>
        <v>0</v>
      </c>
      <c r="Y283" s="28">
        <f>QuickCalc!L36</f>
        <v>0</v>
      </c>
      <c r="Z283" s="28">
        <f>QuickCalc!M36</f>
        <v>0</v>
      </c>
      <c r="AA283" s="28">
        <f>QuickCalc!N36</f>
        <v>0</v>
      </c>
      <c r="AB283" s="28">
        <f>QuickCalc!O36</f>
        <v>0</v>
      </c>
      <c r="AC283" s="28">
        <f>QuickCalc!P36</f>
        <v>0</v>
      </c>
      <c r="AD283" s="28">
        <f>QuickCalc!Q36</f>
        <v>0</v>
      </c>
      <c r="AE283" s="28">
        <f>QuickCalc!R36</f>
        <v>0</v>
      </c>
      <c r="AF283" s="28">
        <f>QuickCalc!S36</f>
        <v>0</v>
      </c>
      <c r="AG283" s="28">
        <f>QuickCalc!T36</f>
        <v>0</v>
      </c>
      <c r="AH283" s="28">
        <f>QuickCalc!U36</f>
        <v>0</v>
      </c>
      <c r="AI283" s="28">
        <f>QuickCalc!V36</f>
        <v>0</v>
      </c>
      <c r="AJ283" s="28">
        <f>QuickCalc!W36</f>
        <v>0</v>
      </c>
      <c r="AK283" s="28">
        <f>QuickCalc!X36</f>
        <v>0</v>
      </c>
      <c r="AL283" s="28">
        <f>QuickCalc!Y36</f>
        <v>0</v>
      </c>
      <c r="AM283" s="28">
        <f>QuickCalc!Z36</f>
        <v>0</v>
      </c>
      <c r="AN283" s="28">
        <f>QuickCalc!AA36</f>
        <v>0</v>
      </c>
      <c r="AO283" s="28">
        <f>QuickCalc!AB36</f>
        <v>0</v>
      </c>
      <c r="AP283" s="28">
        <f>QuickCalc!AC36</f>
        <v>0</v>
      </c>
      <c r="AQ283" s="28">
        <f>QuickCalc!AD36</f>
        <v>0</v>
      </c>
      <c r="AR283" s="28">
        <f>QuickCalc!AE36</f>
        <v>0</v>
      </c>
      <c r="AS283" s="28">
        <f>QuickCalc!AF36</f>
        <v>0</v>
      </c>
      <c r="AT283" s="28">
        <f>QuickCalc!AG36</f>
        <v>0</v>
      </c>
      <c r="AU283" s="28">
        <f>QuickCalc!AH36</f>
        <v>0</v>
      </c>
      <c r="AV283" s="28">
        <f>QuickCalc!AI36</f>
        <v>0</v>
      </c>
      <c r="AW283" s="28">
        <f>QuickCalc!AJ36</f>
        <v>0</v>
      </c>
      <c r="AX283" s="28">
        <f>QuickCalc!AK36</f>
        <v>0</v>
      </c>
      <c r="AY283" s="28">
        <f>QuickCalc!AL36</f>
        <v>0</v>
      </c>
      <c r="AZ283" s="28">
        <f>QuickCalc!AM36</f>
        <v>0</v>
      </c>
      <c r="BA283" s="28">
        <f>QuickCalc!AN36</f>
        <v>0</v>
      </c>
      <c r="BB283" s="28">
        <f>QuickCalc!AO36</f>
        <v>0</v>
      </c>
      <c r="BC283" s="28">
        <f>QuickCalc!AP36</f>
        <v>0</v>
      </c>
      <c r="BD283" s="28">
        <f>QuickCalc!AQ36</f>
        <v>0</v>
      </c>
      <c r="BE283" s="28">
        <f>QuickCalc!AR36</f>
        <v>0</v>
      </c>
      <c r="BF283" s="28">
        <f>QuickCalc!AS36</f>
        <v>0</v>
      </c>
      <c r="BG283" s="28">
        <f>QuickCalc!AT36</f>
        <v>0</v>
      </c>
      <c r="BH283" s="28">
        <f>QuickCalc!AU36</f>
        <v>0</v>
      </c>
      <c r="BI283" s="28">
        <f>QuickCalc!AV36</f>
        <v>0</v>
      </c>
      <c r="BJ283" s="28">
        <f>QuickCalc!AW36</f>
        <v>0</v>
      </c>
      <c r="BK283" s="28">
        <f>QuickCalc!AX36</f>
        <v>0</v>
      </c>
      <c r="BL283" s="28">
        <f>QuickCalc!AY36</f>
        <v>0</v>
      </c>
      <c r="BM283" s="28">
        <f>QuickCalc!AZ36</f>
        <v>0</v>
      </c>
      <c r="BN283" s="28">
        <f>QuickCalc!BA36</f>
        <v>0</v>
      </c>
      <c r="BO283" s="28">
        <f>QuickCalc!BB36</f>
        <v>0</v>
      </c>
      <c r="BP283" s="28">
        <f>QuickCalc!BC36</f>
        <v>0</v>
      </c>
    </row>
    <row r="284" spans="4:68" ht="10.35" hidden="1" customHeight="1" outlineLevel="1" x14ac:dyDescent="0.2">
      <c r="D284" s="10" t="s">
        <v>41</v>
      </c>
      <c r="E284" s="80"/>
      <c r="F284" s="512" t="s">
        <v>104</v>
      </c>
      <c r="G284" s="512"/>
      <c r="H284" s="512"/>
      <c r="I284" s="512"/>
      <c r="J284" s="512"/>
      <c r="K284" s="80"/>
      <c r="L284" s="412"/>
      <c r="M284" s="113"/>
      <c r="N284"/>
      <c r="O284"/>
      <c r="P284"/>
      <c r="Q284"/>
      <c r="R284" s="28">
        <f>QuickCalc!E37</f>
        <v>0</v>
      </c>
      <c r="S284" s="28">
        <f>QuickCalc!F37</f>
        <v>0</v>
      </c>
      <c r="T284" s="28">
        <f>QuickCalc!G37</f>
        <v>0</v>
      </c>
      <c r="U284" s="28">
        <f>QuickCalc!H37</f>
        <v>0</v>
      </c>
      <c r="V284" s="28">
        <f>QuickCalc!I37</f>
        <v>0</v>
      </c>
      <c r="W284" s="28">
        <f>QuickCalc!J37</f>
        <v>0</v>
      </c>
      <c r="X284" s="28">
        <f>QuickCalc!K37</f>
        <v>0</v>
      </c>
      <c r="Y284" s="28">
        <f>QuickCalc!L37</f>
        <v>0</v>
      </c>
      <c r="Z284" s="28">
        <f>QuickCalc!M37</f>
        <v>0</v>
      </c>
      <c r="AA284" s="28">
        <f>QuickCalc!N37</f>
        <v>0</v>
      </c>
      <c r="AB284" s="28">
        <f>QuickCalc!O37</f>
        <v>0</v>
      </c>
      <c r="AC284" s="28">
        <f>QuickCalc!P37</f>
        <v>0</v>
      </c>
      <c r="AD284" s="28">
        <f>QuickCalc!Q37</f>
        <v>0</v>
      </c>
      <c r="AE284" s="28">
        <f>QuickCalc!R37</f>
        <v>0</v>
      </c>
      <c r="AF284" s="28">
        <f>QuickCalc!S37</f>
        <v>0</v>
      </c>
      <c r="AG284" s="28">
        <f>QuickCalc!T37</f>
        <v>0</v>
      </c>
      <c r="AH284" s="28">
        <f>QuickCalc!U37</f>
        <v>0</v>
      </c>
      <c r="AI284" s="28">
        <f>QuickCalc!V37</f>
        <v>0</v>
      </c>
      <c r="AJ284" s="28">
        <f>QuickCalc!W37</f>
        <v>0</v>
      </c>
      <c r="AK284" s="28">
        <f>QuickCalc!X37</f>
        <v>0</v>
      </c>
      <c r="AL284" s="28">
        <f>QuickCalc!Y37</f>
        <v>0</v>
      </c>
      <c r="AM284" s="28">
        <f>QuickCalc!Z37</f>
        <v>0</v>
      </c>
      <c r="AN284" s="28">
        <f>QuickCalc!AA37</f>
        <v>0</v>
      </c>
      <c r="AO284" s="28">
        <f>QuickCalc!AB37</f>
        <v>0</v>
      </c>
      <c r="AP284" s="28">
        <f>QuickCalc!AC37</f>
        <v>0</v>
      </c>
      <c r="AQ284" s="28">
        <f>QuickCalc!AD37</f>
        <v>0</v>
      </c>
      <c r="AR284" s="28">
        <f>QuickCalc!AE37</f>
        <v>0</v>
      </c>
      <c r="AS284" s="28">
        <f>QuickCalc!AF37</f>
        <v>0</v>
      </c>
      <c r="AT284" s="28">
        <f>QuickCalc!AG37</f>
        <v>0</v>
      </c>
      <c r="AU284" s="28">
        <f>QuickCalc!AH37</f>
        <v>0</v>
      </c>
      <c r="AV284" s="28">
        <f>QuickCalc!AI37</f>
        <v>0</v>
      </c>
      <c r="AW284" s="28">
        <f>QuickCalc!AJ37</f>
        <v>0</v>
      </c>
      <c r="AX284" s="28">
        <f>QuickCalc!AK37</f>
        <v>0</v>
      </c>
      <c r="AY284" s="28">
        <f>QuickCalc!AL37</f>
        <v>0</v>
      </c>
      <c r="AZ284" s="28">
        <f>QuickCalc!AM37</f>
        <v>0</v>
      </c>
      <c r="BA284" s="28">
        <f>QuickCalc!AN37</f>
        <v>0</v>
      </c>
      <c r="BB284" s="28">
        <f>QuickCalc!AO37</f>
        <v>0</v>
      </c>
      <c r="BC284" s="28">
        <f>QuickCalc!AP37</f>
        <v>0</v>
      </c>
      <c r="BD284" s="28">
        <f>QuickCalc!AQ37</f>
        <v>0</v>
      </c>
      <c r="BE284" s="28">
        <f>QuickCalc!AR37</f>
        <v>0</v>
      </c>
      <c r="BF284" s="28">
        <f>QuickCalc!AS37</f>
        <v>0</v>
      </c>
      <c r="BG284" s="28">
        <f>QuickCalc!AT37</f>
        <v>0</v>
      </c>
      <c r="BH284" s="28">
        <f>QuickCalc!AU37</f>
        <v>0</v>
      </c>
      <c r="BI284" s="28">
        <f>QuickCalc!AV37</f>
        <v>0</v>
      </c>
      <c r="BJ284" s="28">
        <f>QuickCalc!AW37</f>
        <v>0</v>
      </c>
      <c r="BK284" s="28">
        <f>QuickCalc!AX37</f>
        <v>0</v>
      </c>
      <c r="BL284" s="28">
        <f>QuickCalc!AY37</f>
        <v>0</v>
      </c>
      <c r="BM284" s="28">
        <f>QuickCalc!AZ37</f>
        <v>0</v>
      </c>
      <c r="BN284" s="28">
        <f>QuickCalc!BA37</f>
        <v>0</v>
      </c>
      <c r="BO284" s="28">
        <f>QuickCalc!BB37</f>
        <v>0</v>
      </c>
      <c r="BP284" s="28">
        <f>QuickCalc!BC37</f>
        <v>0</v>
      </c>
    </row>
    <row r="285" spans="4:68" ht="10.35" hidden="1" customHeight="1" outlineLevel="1" x14ac:dyDescent="0.2">
      <c r="D285" s="10" t="s">
        <v>42</v>
      </c>
      <c r="E285" s="80"/>
      <c r="F285" s="512" t="s">
        <v>104</v>
      </c>
      <c r="G285" s="512"/>
      <c r="H285" s="512"/>
      <c r="I285" s="512"/>
      <c r="J285" s="512"/>
      <c r="K285" s="80"/>
      <c r="L285" s="412"/>
      <c r="M285" s="113"/>
      <c r="N285"/>
      <c r="O285"/>
      <c r="P285"/>
      <c r="Q285"/>
      <c r="R285" s="28">
        <f>QuickCalc!E38</f>
        <v>0</v>
      </c>
      <c r="S285" s="28">
        <f>QuickCalc!F38</f>
        <v>0</v>
      </c>
      <c r="T285" s="28">
        <f>QuickCalc!G38</f>
        <v>0</v>
      </c>
      <c r="U285" s="28">
        <f>QuickCalc!H38</f>
        <v>0</v>
      </c>
      <c r="V285" s="28">
        <f>QuickCalc!I38</f>
        <v>0</v>
      </c>
      <c r="W285" s="28">
        <f>QuickCalc!J38</f>
        <v>0</v>
      </c>
      <c r="X285" s="28">
        <f>QuickCalc!K38</f>
        <v>0</v>
      </c>
      <c r="Y285" s="28">
        <f>QuickCalc!L38</f>
        <v>0</v>
      </c>
      <c r="Z285" s="28">
        <f>QuickCalc!M38</f>
        <v>0</v>
      </c>
      <c r="AA285" s="28">
        <f>QuickCalc!N38</f>
        <v>0</v>
      </c>
      <c r="AB285" s="28">
        <f>QuickCalc!O38</f>
        <v>0</v>
      </c>
      <c r="AC285" s="28">
        <f>QuickCalc!P38</f>
        <v>0</v>
      </c>
      <c r="AD285" s="28">
        <f>QuickCalc!Q38</f>
        <v>0</v>
      </c>
      <c r="AE285" s="28">
        <f>QuickCalc!R38</f>
        <v>0</v>
      </c>
      <c r="AF285" s="28">
        <f>QuickCalc!S38</f>
        <v>0</v>
      </c>
      <c r="AG285" s="28">
        <f>QuickCalc!T38</f>
        <v>0</v>
      </c>
      <c r="AH285" s="28">
        <f>QuickCalc!U38</f>
        <v>0</v>
      </c>
      <c r="AI285" s="28">
        <f>QuickCalc!V38</f>
        <v>0</v>
      </c>
      <c r="AJ285" s="28">
        <f>QuickCalc!W38</f>
        <v>0</v>
      </c>
      <c r="AK285" s="28">
        <f>QuickCalc!X38</f>
        <v>0</v>
      </c>
      <c r="AL285" s="28">
        <f>QuickCalc!Y38</f>
        <v>0</v>
      </c>
      <c r="AM285" s="28">
        <f>QuickCalc!Z38</f>
        <v>0</v>
      </c>
      <c r="AN285" s="28">
        <f>QuickCalc!AA38</f>
        <v>0</v>
      </c>
      <c r="AO285" s="28">
        <f>QuickCalc!AB38</f>
        <v>0</v>
      </c>
      <c r="AP285" s="28">
        <f>QuickCalc!AC38</f>
        <v>0</v>
      </c>
      <c r="AQ285" s="28">
        <f>QuickCalc!AD38</f>
        <v>0</v>
      </c>
      <c r="AR285" s="28">
        <f>QuickCalc!AE38</f>
        <v>0</v>
      </c>
      <c r="AS285" s="28">
        <f>QuickCalc!AF38</f>
        <v>0</v>
      </c>
      <c r="AT285" s="28">
        <f>QuickCalc!AG38</f>
        <v>0</v>
      </c>
      <c r="AU285" s="28">
        <f>QuickCalc!AH38</f>
        <v>0</v>
      </c>
      <c r="AV285" s="28">
        <f>QuickCalc!AI38</f>
        <v>0</v>
      </c>
      <c r="AW285" s="28">
        <f>QuickCalc!AJ38</f>
        <v>0</v>
      </c>
      <c r="AX285" s="28">
        <f>QuickCalc!AK38</f>
        <v>0</v>
      </c>
      <c r="AY285" s="28">
        <f>QuickCalc!AL38</f>
        <v>0</v>
      </c>
      <c r="AZ285" s="28">
        <f>QuickCalc!AM38</f>
        <v>0</v>
      </c>
      <c r="BA285" s="28">
        <f>QuickCalc!AN38</f>
        <v>0</v>
      </c>
      <c r="BB285" s="28">
        <f>QuickCalc!AO38</f>
        <v>0</v>
      </c>
      <c r="BC285" s="28">
        <f>QuickCalc!AP38</f>
        <v>0</v>
      </c>
      <c r="BD285" s="28">
        <f>QuickCalc!AQ38</f>
        <v>0</v>
      </c>
      <c r="BE285" s="28">
        <f>QuickCalc!AR38</f>
        <v>0</v>
      </c>
      <c r="BF285" s="28">
        <f>QuickCalc!AS38</f>
        <v>0</v>
      </c>
      <c r="BG285" s="28">
        <f>QuickCalc!AT38</f>
        <v>0</v>
      </c>
      <c r="BH285" s="28">
        <f>QuickCalc!AU38</f>
        <v>0</v>
      </c>
      <c r="BI285" s="28">
        <f>QuickCalc!AV38</f>
        <v>0</v>
      </c>
      <c r="BJ285" s="28">
        <f>QuickCalc!AW38</f>
        <v>0</v>
      </c>
      <c r="BK285" s="28">
        <f>QuickCalc!AX38</f>
        <v>0</v>
      </c>
      <c r="BL285" s="28">
        <f>QuickCalc!AY38</f>
        <v>0</v>
      </c>
      <c r="BM285" s="28">
        <f>QuickCalc!AZ38</f>
        <v>0</v>
      </c>
      <c r="BN285" s="28">
        <f>QuickCalc!BA38</f>
        <v>0</v>
      </c>
      <c r="BO285" s="28">
        <f>QuickCalc!BB38</f>
        <v>0</v>
      </c>
      <c r="BP285" s="28">
        <f>QuickCalc!BC38</f>
        <v>0</v>
      </c>
    </row>
    <row r="286" spans="4:68" ht="10.35" hidden="1" customHeight="1" outlineLevel="1" x14ac:dyDescent="0.2">
      <c r="D286" s="32" t="s">
        <v>43</v>
      </c>
      <c r="E286" s="80"/>
      <c r="F286" s="513"/>
      <c r="G286" s="513"/>
      <c r="H286" s="513"/>
      <c r="I286" s="513"/>
      <c r="J286" s="513"/>
      <c r="K286" s="80"/>
      <c r="L286" s="412"/>
      <c r="M286" s="113"/>
      <c r="N286"/>
      <c r="O286"/>
      <c r="P286"/>
      <c r="Q286"/>
      <c r="R286" s="29"/>
      <c r="S286" s="29"/>
      <c r="T286" s="29"/>
      <c r="U286" s="29"/>
      <c r="V286" s="29"/>
      <c r="W286" s="29"/>
      <c r="X286" s="29"/>
      <c r="Y286" s="29"/>
      <c r="Z286" s="29"/>
      <c r="AA286" s="29"/>
      <c r="AB286" s="29"/>
      <c r="AC286" s="29"/>
      <c r="AD286" s="29"/>
      <c r="AE286" s="29"/>
      <c r="AF286" s="29"/>
      <c r="AG286" s="29"/>
      <c r="AH286" s="29"/>
      <c r="AI286" s="29"/>
      <c r="AJ286" s="29"/>
      <c r="AK286" s="29"/>
      <c r="AL286" s="29"/>
      <c r="AM286" s="29"/>
      <c r="AN286" s="29"/>
      <c r="AO286" s="29"/>
      <c r="AP286" s="29"/>
      <c r="AQ286" s="29"/>
      <c r="AR286" s="29"/>
      <c r="AS286" s="29"/>
      <c r="AT286" s="29"/>
      <c r="AU286" s="29"/>
      <c r="AV286" s="29"/>
      <c r="AW286" s="29"/>
      <c r="AX286" s="29"/>
      <c r="AY286" s="29"/>
      <c r="AZ286" s="29"/>
      <c r="BA286" s="29"/>
      <c r="BB286" s="29"/>
      <c r="BC286" s="29"/>
      <c r="BD286" s="29"/>
      <c r="BE286" s="29"/>
      <c r="BF286" s="29"/>
      <c r="BG286" s="29"/>
      <c r="BH286" s="29"/>
      <c r="BI286" s="29"/>
      <c r="BJ286" s="29"/>
      <c r="BK286" s="29"/>
      <c r="BL286" s="29"/>
      <c r="BM286" s="29"/>
      <c r="BN286" s="29"/>
      <c r="BO286" s="29"/>
      <c r="BP286" s="29"/>
    </row>
    <row r="287" spans="4:68" ht="10.35" hidden="1" customHeight="1" outlineLevel="1" x14ac:dyDescent="0.2">
      <c r="D287" s="81" t="s">
        <v>44</v>
      </c>
      <c r="E287" s="80"/>
      <c r="F287" s="512" t="s">
        <v>104</v>
      </c>
      <c r="G287" s="512"/>
      <c r="H287" s="512"/>
      <c r="I287" s="512"/>
      <c r="J287" s="512"/>
      <c r="K287" s="80"/>
      <c r="L287" s="412"/>
      <c r="M287" s="113"/>
      <c r="N287"/>
      <c r="O287"/>
      <c r="P287"/>
      <c r="Q287"/>
      <c r="R287" s="28">
        <f>QuickCalc!E40</f>
        <v>0</v>
      </c>
      <c r="S287" s="28">
        <f>QuickCalc!F40</f>
        <v>0</v>
      </c>
      <c r="T287" s="28">
        <f>QuickCalc!G40</f>
        <v>0</v>
      </c>
      <c r="U287" s="28">
        <f>QuickCalc!H40</f>
        <v>0</v>
      </c>
      <c r="V287" s="28">
        <f>QuickCalc!I40</f>
        <v>0</v>
      </c>
      <c r="W287" s="28">
        <f>QuickCalc!J40</f>
        <v>0</v>
      </c>
      <c r="X287" s="28">
        <f>QuickCalc!K40</f>
        <v>0</v>
      </c>
      <c r="Y287" s="28">
        <f>QuickCalc!L40</f>
        <v>0</v>
      </c>
      <c r="Z287" s="28">
        <f>QuickCalc!M40</f>
        <v>0</v>
      </c>
      <c r="AA287" s="28">
        <f>QuickCalc!N40</f>
        <v>0</v>
      </c>
      <c r="AB287" s="28">
        <f>QuickCalc!O40</f>
        <v>0</v>
      </c>
      <c r="AC287" s="28">
        <f>QuickCalc!P40</f>
        <v>0</v>
      </c>
      <c r="AD287" s="28">
        <f>QuickCalc!Q40</f>
        <v>0</v>
      </c>
      <c r="AE287" s="28">
        <f>QuickCalc!R40</f>
        <v>0</v>
      </c>
      <c r="AF287" s="28">
        <f>QuickCalc!S40</f>
        <v>0</v>
      </c>
      <c r="AG287" s="28">
        <f>QuickCalc!T40</f>
        <v>0</v>
      </c>
      <c r="AH287" s="28">
        <f>QuickCalc!U40</f>
        <v>0</v>
      </c>
      <c r="AI287" s="28">
        <f>QuickCalc!V40</f>
        <v>0</v>
      </c>
      <c r="AJ287" s="28">
        <f>QuickCalc!W40</f>
        <v>0</v>
      </c>
      <c r="AK287" s="28">
        <f>QuickCalc!X40</f>
        <v>0</v>
      </c>
      <c r="AL287" s="28">
        <f>QuickCalc!Y40</f>
        <v>0</v>
      </c>
      <c r="AM287" s="28">
        <f>QuickCalc!Z40</f>
        <v>0</v>
      </c>
      <c r="AN287" s="28">
        <f>QuickCalc!AA40</f>
        <v>0</v>
      </c>
      <c r="AO287" s="28">
        <f>QuickCalc!AB40</f>
        <v>0</v>
      </c>
      <c r="AP287" s="28">
        <f>QuickCalc!AC40</f>
        <v>0</v>
      </c>
      <c r="AQ287" s="28">
        <f>QuickCalc!AD40</f>
        <v>0</v>
      </c>
      <c r="AR287" s="28">
        <f>QuickCalc!AE40</f>
        <v>0</v>
      </c>
      <c r="AS287" s="28">
        <f>QuickCalc!AF40</f>
        <v>0</v>
      </c>
      <c r="AT287" s="28">
        <f>QuickCalc!AG40</f>
        <v>0</v>
      </c>
      <c r="AU287" s="28">
        <f>QuickCalc!AH40</f>
        <v>0</v>
      </c>
      <c r="AV287" s="28">
        <f>QuickCalc!AI40</f>
        <v>0</v>
      </c>
      <c r="AW287" s="28">
        <f>QuickCalc!AJ40</f>
        <v>0</v>
      </c>
      <c r="AX287" s="28">
        <f>QuickCalc!AK40</f>
        <v>0</v>
      </c>
      <c r="AY287" s="28">
        <f>QuickCalc!AL40</f>
        <v>0</v>
      </c>
      <c r="AZ287" s="28">
        <f>QuickCalc!AM40</f>
        <v>0</v>
      </c>
      <c r="BA287" s="28">
        <f>QuickCalc!AN40</f>
        <v>0</v>
      </c>
      <c r="BB287" s="28">
        <f>QuickCalc!AO40</f>
        <v>0</v>
      </c>
      <c r="BC287" s="28">
        <f>QuickCalc!AP40</f>
        <v>0</v>
      </c>
      <c r="BD287" s="28">
        <f>QuickCalc!AQ40</f>
        <v>0</v>
      </c>
      <c r="BE287" s="28">
        <f>QuickCalc!AR40</f>
        <v>0</v>
      </c>
      <c r="BF287" s="28">
        <f>QuickCalc!AS40</f>
        <v>0</v>
      </c>
      <c r="BG287" s="28">
        <f>QuickCalc!AT40</f>
        <v>0</v>
      </c>
      <c r="BH287" s="28">
        <f>QuickCalc!AU40</f>
        <v>0</v>
      </c>
      <c r="BI287" s="28">
        <f>QuickCalc!AV40</f>
        <v>0</v>
      </c>
      <c r="BJ287" s="28">
        <f>QuickCalc!AW40</f>
        <v>0</v>
      </c>
      <c r="BK287" s="28">
        <f>QuickCalc!AX40</f>
        <v>0</v>
      </c>
      <c r="BL287" s="28">
        <f>QuickCalc!AY40</f>
        <v>0</v>
      </c>
      <c r="BM287" s="28">
        <f>QuickCalc!AZ40</f>
        <v>0</v>
      </c>
      <c r="BN287" s="28">
        <f>QuickCalc!BA40</f>
        <v>0</v>
      </c>
      <c r="BO287" s="28">
        <f>QuickCalc!BB40</f>
        <v>0</v>
      </c>
      <c r="BP287" s="28">
        <f>QuickCalc!BC40</f>
        <v>0</v>
      </c>
    </row>
    <row r="288" spans="4:68" ht="10.35" hidden="1" customHeight="1" outlineLevel="1" x14ac:dyDescent="0.2">
      <c r="D288" s="81" t="s">
        <v>45</v>
      </c>
      <c r="E288" s="80"/>
      <c r="F288" s="513"/>
      <c r="G288" s="513"/>
      <c r="H288" s="513"/>
      <c r="I288" s="513"/>
      <c r="J288" s="513"/>
      <c r="K288" s="80"/>
      <c r="L288" s="412"/>
      <c r="M288" s="113"/>
      <c r="N288"/>
      <c r="O288"/>
      <c r="P288"/>
      <c r="Q288"/>
      <c r="R288" s="29"/>
      <c r="S288" s="29"/>
      <c r="T288" s="29"/>
      <c r="U288" s="29"/>
      <c r="V288" s="29"/>
      <c r="W288" s="29"/>
      <c r="X288" s="29"/>
      <c r="Y288" s="29"/>
      <c r="Z288" s="29"/>
      <c r="AA288" s="29"/>
      <c r="AB288" s="29"/>
      <c r="AC288" s="29"/>
      <c r="AD288" s="29"/>
      <c r="AE288" s="29"/>
      <c r="AF288" s="29"/>
      <c r="AG288" s="29"/>
      <c r="AH288" s="29"/>
      <c r="AI288" s="29"/>
      <c r="AJ288" s="29"/>
      <c r="AK288" s="29"/>
      <c r="AL288" s="29"/>
      <c r="AM288" s="29"/>
      <c r="AN288" s="29"/>
      <c r="AO288" s="29"/>
      <c r="AP288" s="29"/>
      <c r="AQ288" s="29"/>
      <c r="AR288" s="29"/>
      <c r="AS288" s="29"/>
      <c r="AT288" s="29"/>
      <c r="AU288" s="29"/>
      <c r="AV288" s="29"/>
      <c r="AW288" s="29"/>
      <c r="AX288" s="29"/>
      <c r="AY288" s="29"/>
      <c r="AZ288" s="29"/>
      <c r="BA288" s="29"/>
      <c r="BB288" s="29"/>
      <c r="BC288" s="29"/>
      <c r="BD288" s="29"/>
      <c r="BE288" s="29"/>
      <c r="BF288" s="29"/>
      <c r="BG288" s="29"/>
      <c r="BH288" s="29"/>
      <c r="BI288" s="29"/>
      <c r="BJ288" s="29"/>
      <c r="BK288" s="29"/>
      <c r="BL288" s="29"/>
      <c r="BM288" s="29"/>
      <c r="BN288" s="29"/>
      <c r="BO288" s="29"/>
      <c r="BP288" s="29"/>
    </row>
    <row r="289" spans="4:68" ht="10.35" hidden="1" customHeight="1" outlineLevel="1" x14ac:dyDescent="0.2">
      <c r="D289" s="402" t="s">
        <v>46</v>
      </c>
      <c r="E289" s="80"/>
      <c r="F289" s="512" t="s">
        <v>104</v>
      </c>
      <c r="G289" s="512"/>
      <c r="H289" s="512"/>
      <c r="I289" s="512"/>
      <c r="J289" s="512"/>
      <c r="K289" s="80"/>
      <c r="L289" s="412"/>
      <c r="M289" s="113"/>
      <c r="N289"/>
      <c r="O289"/>
      <c r="P289"/>
      <c r="Q289"/>
      <c r="R289" s="28">
        <f>QuickCalc!E42</f>
        <v>0</v>
      </c>
      <c r="S289" s="28">
        <f>QuickCalc!F42</f>
        <v>0</v>
      </c>
      <c r="T289" s="28">
        <f>QuickCalc!G42</f>
        <v>0</v>
      </c>
      <c r="U289" s="28">
        <f>QuickCalc!H42</f>
        <v>0</v>
      </c>
      <c r="V289" s="28">
        <f>QuickCalc!I42</f>
        <v>0</v>
      </c>
      <c r="W289" s="28">
        <f>QuickCalc!J42</f>
        <v>0</v>
      </c>
      <c r="X289" s="28">
        <f>QuickCalc!K42</f>
        <v>0</v>
      </c>
      <c r="Y289" s="28">
        <f>QuickCalc!L42</f>
        <v>0</v>
      </c>
      <c r="Z289" s="28">
        <f>QuickCalc!M42</f>
        <v>0</v>
      </c>
      <c r="AA289" s="28">
        <f>QuickCalc!N42</f>
        <v>0</v>
      </c>
      <c r="AB289" s="28">
        <f>QuickCalc!O42</f>
        <v>0</v>
      </c>
      <c r="AC289" s="28">
        <f>QuickCalc!P42</f>
        <v>0</v>
      </c>
      <c r="AD289" s="28">
        <f>QuickCalc!Q42</f>
        <v>0</v>
      </c>
      <c r="AE289" s="28">
        <f>QuickCalc!R42</f>
        <v>0</v>
      </c>
      <c r="AF289" s="28">
        <f>QuickCalc!S42</f>
        <v>0</v>
      </c>
      <c r="AG289" s="28">
        <f>QuickCalc!T42</f>
        <v>0</v>
      </c>
      <c r="AH289" s="28">
        <f>QuickCalc!U42</f>
        <v>0</v>
      </c>
      <c r="AI289" s="28">
        <f>QuickCalc!V42</f>
        <v>0</v>
      </c>
      <c r="AJ289" s="28">
        <f>QuickCalc!W42</f>
        <v>0</v>
      </c>
      <c r="AK289" s="28">
        <f>QuickCalc!X42</f>
        <v>0</v>
      </c>
      <c r="AL289" s="28">
        <f>QuickCalc!Y42</f>
        <v>0</v>
      </c>
      <c r="AM289" s="28">
        <f>QuickCalc!Z42</f>
        <v>0</v>
      </c>
      <c r="AN289" s="28">
        <f>QuickCalc!AA42</f>
        <v>0</v>
      </c>
      <c r="AO289" s="28">
        <f>QuickCalc!AB42</f>
        <v>0</v>
      </c>
      <c r="AP289" s="28">
        <f>QuickCalc!AC42</f>
        <v>0</v>
      </c>
      <c r="AQ289" s="28">
        <f>QuickCalc!AD42</f>
        <v>0</v>
      </c>
      <c r="AR289" s="28">
        <f>QuickCalc!AE42</f>
        <v>0</v>
      </c>
      <c r="AS289" s="28">
        <f>QuickCalc!AF42</f>
        <v>0</v>
      </c>
      <c r="AT289" s="28">
        <f>QuickCalc!AG42</f>
        <v>0</v>
      </c>
      <c r="AU289" s="28">
        <f>QuickCalc!AH42</f>
        <v>0</v>
      </c>
      <c r="AV289" s="28">
        <f>QuickCalc!AI42</f>
        <v>0</v>
      </c>
      <c r="AW289" s="28">
        <f>QuickCalc!AJ42</f>
        <v>0</v>
      </c>
      <c r="AX289" s="28">
        <f>QuickCalc!AK42</f>
        <v>0</v>
      </c>
      <c r="AY289" s="28">
        <f>QuickCalc!AL42</f>
        <v>0</v>
      </c>
      <c r="AZ289" s="28">
        <f>QuickCalc!AM42</f>
        <v>0</v>
      </c>
      <c r="BA289" s="28">
        <f>QuickCalc!AN42</f>
        <v>0</v>
      </c>
      <c r="BB289" s="28">
        <f>QuickCalc!AO42</f>
        <v>0</v>
      </c>
      <c r="BC289" s="28">
        <f>QuickCalc!AP42</f>
        <v>0</v>
      </c>
      <c r="BD289" s="28">
        <f>QuickCalc!AQ42</f>
        <v>0</v>
      </c>
      <c r="BE289" s="28">
        <f>QuickCalc!AR42</f>
        <v>0</v>
      </c>
      <c r="BF289" s="28">
        <f>QuickCalc!AS42</f>
        <v>0</v>
      </c>
      <c r="BG289" s="28">
        <f>QuickCalc!AT42</f>
        <v>0</v>
      </c>
      <c r="BH289" s="28">
        <f>QuickCalc!AU42</f>
        <v>0</v>
      </c>
      <c r="BI289" s="28">
        <f>QuickCalc!AV42</f>
        <v>0</v>
      </c>
      <c r="BJ289" s="28">
        <f>QuickCalc!AW42</f>
        <v>0</v>
      </c>
      <c r="BK289" s="28">
        <f>QuickCalc!AX42</f>
        <v>0</v>
      </c>
      <c r="BL289" s="28">
        <f>QuickCalc!AY42</f>
        <v>0</v>
      </c>
      <c r="BM289" s="28">
        <f>QuickCalc!AZ42</f>
        <v>0</v>
      </c>
      <c r="BN289" s="28">
        <f>QuickCalc!BA42</f>
        <v>0</v>
      </c>
      <c r="BO289" s="28">
        <f>QuickCalc!BB42</f>
        <v>0</v>
      </c>
      <c r="BP289" s="28">
        <f>QuickCalc!BC42</f>
        <v>0</v>
      </c>
    </row>
    <row r="290" spans="4:68" ht="10.35" hidden="1" customHeight="1" outlineLevel="1" x14ac:dyDescent="0.2">
      <c r="D290" s="402" t="s">
        <v>47</v>
      </c>
      <c r="E290" s="80"/>
      <c r="F290" s="512" t="s">
        <v>104</v>
      </c>
      <c r="G290" s="512"/>
      <c r="H290" s="512"/>
      <c r="I290" s="512"/>
      <c r="J290" s="512"/>
      <c r="K290" s="80"/>
      <c r="L290" s="412"/>
      <c r="M290" s="113"/>
      <c r="N290"/>
      <c r="O290"/>
      <c r="P290"/>
      <c r="Q290"/>
      <c r="R290" s="28">
        <f>QuickCalc!E43</f>
        <v>0</v>
      </c>
      <c r="S290" s="28">
        <f>QuickCalc!F43</f>
        <v>0</v>
      </c>
      <c r="T290" s="28">
        <f>QuickCalc!G43</f>
        <v>0</v>
      </c>
      <c r="U290" s="28">
        <f>QuickCalc!H43</f>
        <v>0</v>
      </c>
      <c r="V290" s="28">
        <f>QuickCalc!I43</f>
        <v>0</v>
      </c>
      <c r="W290" s="28">
        <f>QuickCalc!J43</f>
        <v>0</v>
      </c>
      <c r="X290" s="28">
        <f>QuickCalc!K43</f>
        <v>0</v>
      </c>
      <c r="Y290" s="28">
        <f>QuickCalc!L43</f>
        <v>0</v>
      </c>
      <c r="Z290" s="28">
        <f>QuickCalc!M43</f>
        <v>0</v>
      </c>
      <c r="AA290" s="28">
        <f>QuickCalc!N43</f>
        <v>0</v>
      </c>
      <c r="AB290" s="28">
        <f>QuickCalc!O43</f>
        <v>0</v>
      </c>
      <c r="AC290" s="28">
        <f>QuickCalc!P43</f>
        <v>0</v>
      </c>
      <c r="AD290" s="28">
        <f>QuickCalc!Q43</f>
        <v>0</v>
      </c>
      <c r="AE290" s="28">
        <f>QuickCalc!R43</f>
        <v>0</v>
      </c>
      <c r="AF290" s="28">
        <f>QuickCalc!S43</f>
        <v>0</v>
      </c>
      <c r="AG290" s="28">
        <f>QuickCalc!T43</f>
        <v>0</v>
      </c>
      <c r="AH290" s="28">
        <f>QuickCalc!U43</f>
        <v>0</v>
      </c>
      <c r="AI290" s="28">
        <f>QuickCalc!V43</f>
        <v>0</v>
      </c>
      <c r="AJ290" s="28">
        <f>QuickCalc!W43</f>
        <v>0</v>
      </c>
      <c r="AK290" s="28">
        <f>QuickCalc!X43</f>
        <v>0</v>
      </c>
      <c r="AL290" s="28">
        <f>QuickCalc!Y43</f>
        <v>0</v>
      </c>
      <c r="AM290" s="28">
        <f>QuickCalc!Z43</f>
        <v>0</v>
      </c>
      <c r="AN290" s="28">
        <f>QuickCalc!AA43</f>
        <v>0</v>
      </c>
      <c r="AO290" s="28">
        <f>QuickCalc!AB43</f>
        <v>0</v>
      </c>
      <c r="AP290" s="28">
        <f>QuickCalc!AC43</f>
        <v>0</v>
      </c>
      <c r="AQ290" s="28">
        <f>QuickCalc!AD43</f>
        <v>0</v>
      </c>
      <c r="AR290" s="28">
        <f>QuickCalc!AE43</f>
        <v>0</v>
      </c>
      <c r="AS290" s="28">
        <f>QuickCalc!AF43</f>
        <v>0</v>
      </c>
      <c r="AT290" s="28">
        <f>QuickCalc!AG43</f>
        <v>0</v>
      </c>
      <c r="AU290" s="28">
        <f>QuickCalc!AH43</f>
        <v>0</v>
      </c>
      <c r="AV290" s="28">
        <f>QuickCalc!AI43</f>
        <v>0</v>
      </c>
      <c r="AW290" s="28">
        <f>QuickCalc!AJ43</f>
        <v>0</v>
      </c>
      <c r="AX290" s="28">
        <f>QuickCalc!AK43</f>
        <v>0</v>
      </c>
      <c r="AY290" s="28">
        <f>QuickCalc!AL43</f>
        <v>0</v>
      </c>
      <c r="AZ290" s="28">
        <f>QuickCalc!AM43</f>
        <v>0</v>
      </c>
      <c r="BA290" s="28">
        <f>QuickCalc!AN43</f>
        <v>0</v>
      </c>
      <c r="BB290" s="28">
        <f>QuickCalc!AO43</f>
        <v>0</v>
      </c>
      <c r="BC290" s="28">
        <f>QuickCalc!AP43</f>
        <v>0</v>
      </c>
      <c r="BD290" s="28">
        <f>QuickCalc!AQ43</f>
        <v>0</v>
      </c>
      <c r="BE290" s="28">
        <f>QuickCalc!AR43</f>
        <v>0</v>
      </c>
      <c r="BF290" s="28">
        <f>QuickCalc!AS43</f>
        <v>0</v>
      </c>
      <c r="BG290" s="28">
        <f>QuickCalc!AT43</f>
        <v>0</v>
      </c>
      <c r="BH290" s="28">
        <f>QuickCalc!AU43</f>
        <v>0</v>
      </c>
      <c r="BI290" s="28">
        <f>QuickCalc!AV43</f>
        <v>0</v>
      </c>
      <c r="BJ290" s="28">
        <f>QuickCalc!AW43</f>
        <v>0</v>
      </c>
      <c r="BK290" s="28">
        <f>QuickCalc!AX43</f>
        <v>0</v>
      </c>
      <c r="BL290" s="28">
        <f>QuickCalc!AY43</f>
        <v>0</v>
      </c>
      <c r="BM290" s="28">
        <f>QuickCalc!AZ43</f>
        <v>0</v>
      </c>
      <c r="BN290" s="28">
        <f>QuickCalc!BA43</f>
        <v>0</v>
      </c>
      <c r="BO290" s="28">
        <f>QuickCalc!BB43</f>
        <v>0</v>
      </c>
      <c r="BP290" s="28">
        <f>QuickCalc!BC43</f>
        <v>0</v>
      </c>
    </row>
    <row r="291" spans="4:68" ht="10.35" hidden="1" customHeight="1" outlineLevel="1" x14ac:dyDescent="0.2">
      <c r="D291" s="81" t="s">
        <v>48</v>
      </c>
      <c r="E291" s="80"/>
      <c r="F291" s="512" t="s">
        <v>104</v>
      </c>
      <c r="G291" s="512"/>
      <c r="H291" s="512"/>
      <c r="I291" s="512"/>
      <c r="J291" s="512"/>
      <c r="K291" s="80"/>
      <c r="L291" s="412"/>
      <c r="M291" s="113"/>
      <c r="N291"/>
      <c r="O291"/>
      <c r="P291"/>
      <c r="Q291"/>
      <c r="R291" s="28">
        <f>QuickCalc!E44</f>
        <v>0</v>
      </c>
      <c r="S291" s="28">
        <f>QuickCalc!F44</f>
        <v>0</v>
      </c>
      <c r="T291" s="28">
        <f>QuickCalc!G44</f>
        <v>0</v>
      </c>
      <c r="U291" s="28">
        <f>QuickCalc!H44</f>
        <v>0</v>
      </c>
      <c r="V291" s="28">
        <f>QuickCalc!I44</f>
        <v>0</v>
      </c>
      <c r="W291" s="28">
        <f>QuickCalc!J44</f>
        <v>0</v>
      </c>
      <c r="X291" s="28">
        <f>QuickCalc!K44</f>
        <v>0</v>
      </c>
      <c r="Y291" s="28">
        <f>QuickCalc!L44</f>
        <v>0</v>
      </c>
      <c r="Z291" s="28">
        <f>QuickCalc!M44</f>
        <v>0</v>
      </c>
      <c r="AA291" s="28">
        <f>QuickCalc!N44</f>
        <v>0</v>
      </c>
      <c r="AB291" s="28">
        <f>QuickCalc!O44</f>
        <v>0</v>
      </c>
      <c r="AC291" s="28">
        <f>QuickCalc!P44</f>
        <v>0</v>
      </c>
      <c r="AD291" s="28">
        <f>QuickCalc!Q44</f>
        <v>0</v>
      </c>
      <c r="AE291" s="28">
        <f>QuickCalc!R44</f>
        <v>0</v>
      </c>
      <c r="AF291" s="28">
        <f>QuickCalc!S44</f>
        <v>0</v>
      </c>
      <c r="AG291" s="28">
        <f>QuickCalc!T44</f>
        <v>0</v>
      </c>
      <c r="AH291" s="28">
        <f>QuickCalc!U44</f>
        <v>0</v>
      </c>
      <c r="AI291" s="28">
        <f>QuickCalc!V44</f>
        <v>0</v>
      </c>
      <c r="AJ291" s="28">
        <f>QuickCalc!W44</f>
        <v>0</v>
      </c>
      <c r="AK291" s="28">
        <f>QuickCalc!X44</f>
        <v>0</v>
      </c>
      <c r="AL291" s="28">
        <f>QuickCalc!Y44</f>
        <v>0</v>
      </c>
      <c r="AM291" s="28">
        <f>QuickCalc!Z44</f>
        <v>0</v>
      </c>
      <c r="AN291" s="28">
        <f>QuickCalc!AA44</f>
        <v>0</v>
      </c>
      <c r="AO291" s="28">
        <f>QuickCalc!AB44</f>
        <v>0</v>
      </c>
      <c r="AP291" s="28">
        <f>QuickCalc!AC44</f>
        <v>0</v>
      </c>
      <c r="AQ291" s="28">
        <f>QuickCalc!AD44</f>
        <v>0</v>
      </c>
      <c r="AR291" s="28">
        <f>QuickCalc!AE44</f>
        <v>0</v>
      </c>
      <c r="AS291" s="28">
        <f>QuickCalc!AF44</f>
        <v>0</v>
      </c>
      <c r="AT291" s="28">
        <f>QuickCalc!AG44</f>
        <v>0</v>
      </c>
      <c r="AU291" s="28">
        <f>QuickCalc!AH44</f>
        <v>0</v>
      </c>
      <c r="AV291" s="28">
        <f>QuickCalc!AI44</f>
        <v>0</v>
      </c>
      <c r="AW291" s="28">
        <f>QuickCalc!AJ44</f>
        <v>0</v>
      </c>
      <c r="AX291" s="28">
        <f>QuickCalc!AK44</f>
        <v>0</v>
      </c>
      <c r="AY291" s="28">
        <f>QuickCalc!AL44</f>
        <v>0</v>
      </c>
      <c r="AZ291" s="28">
        <f>QuickCalc!AM44</f>
        <v>0</v>
      </c>
      <c r="BA291" s="28">
        <f>QuickCalc!AN44</f>
        <v>0</v>
      </c>
      <c r="BB291" s="28">
        <f>QuickCalc!AO44</f>
        <v>0</v>
      </c>
      <c r="BC291" s="28">
        <f>QuickCalc!AP44</f>
        <v>0</v>
      </c>
      <c r="BD291" s="28">
        <f>QuickCalc!AQ44</f>
        <v>0</v>
      </c>
      <c r="BE291" s="28">
        <f>QuickCalc!AR44</f>
        <v>0</v>
      </c>
      <c r="BF291" s="28">
        <f>QuickCalc!AS44</f>
        <v>0</v>
      </c>
      <c r="BG291" s="28">
        <f>QuickCalc!AT44</f>
        <v>0</v>
      </c>
      <c r="BH291" s="28">
        <f>QuickCalc!AU44</f>
        <v>0</v>
      </c>
      <c r="BI291" s="28">
        <f>QuickCalc!AV44</f>
        <v>0</v>
      </c>
      <c r="BJ291" s="28">
        <f>QuickCalc!AW44</f>
        <v>0</v>
      </c>
      <c r="BK291" s="28">
        <f>QuickCalc!AX44</f>
        <v>0</v>
      </c>
      <c r="BL291" s="28">
        <f>QuickCalc!AY44</f>
        <v>0</v>
      </c>
      <c r="BM291" s="28">
        <f>QuickCalc!AZ44</f>
        <v>0</v>
      </c>
      <c r="BN291" s="28">
        <f>QuickCalc!BA44</f>
        <v>0</v>
      </c>
      <c r="BO291" s="28">
        <f>QuickCalc!BB44</f>
        <v>0</v>
      </c>
      <c r="BP291" s="28">
        <f>QuickCalc!BC44</f>
        <v>0</v>
      </c>
    </row>
    <row r="292" spans="4:68" ht="10.35" hidden="1" customHeight="1" outlineLevel="1" x14ac:dyDescent="0.2">
      <c r="D292" s="81" t="s">
        <v>49</v>
      </c>
      <c r="E292" s="80"/>
      <c r="F292" s="512" t="s">
        <v>104</v>
      </c>
      <c r="G292" s="512"/>
      <c r="H292" s="512"/>
      <c r="I292" s="512"/>
      <c r="J292" s="512"/>
      <c r="K292" s="80"/>
      <c r="L292" s="412"/>
      <c r="M292" s="113"/>
      <c r="N292"/>
      <c r="O292"/>
      <c r="P292"/>
      <c r="Q292"/>
      <c r="R292" s="28">
        <f>QuickCalc!E45</f>
        <v>0</v>
      </c>
      <c r="S292" s="28">
        <f>QuickCalc!F45</f>
        <v>0</v>
      </c>
      <c r="T292" s="28">
        <f>QuickCalc!G45</f>
        <v>0</v>
      </c>
      <c r="U292" s="28">
        <f>QuickCalc!H45</f>
        <v>0</v>
      </c>
      <c r="V292" s="28">
        <f>QuickCalc!I45</f>
        <v>0</v>
      </c>
      <c r="W292" s="28">
        <f>QuickCalc!J45</f>
        <v>0</v>
      </c>
      <c r="X292" s="28">
        <f>QuickCalc!K45</f>
        <v>0</v>
      </c>
      <c r="Y292" s="28">
        <f>QuickCalc!L45</f>
        <v>0</v>
      </c>
      <c r="Z292" s="28">
        <f>QuickCalc!M45</f>
        <v>0</v>
      </c>
      <c r="AA292" s="28">
        <f>QuickCalc!N45</f>
        <v>0</v>
      </c>
      <c r="AB292" s="28">
        <f>QuickCalc!O45</f>
        <v>0</v>
      </c>
      <c r="AC292" s="28">
        <f>QuickCalc!P45</f>
        <v>0</v>
      </c>
      <c r="AD292" s="28">
        <f>QuickCalc!Q45</f>
        <v>0</v>
      </c>
      <c r="AE292" s="28">
        <f>QuickCalc!R45</f>
        <v>0</v>
      </c>
      <c r="AF292" s="28">
        <f>QuickCalc!S45</f>
        <v>0</v>
      </c>
      <c r="AG292" s="28">
        <f>QuickCalc!T45</f>
        <v>0</v>
      </c>
      <c r="AH292" s="28">
        <f>QuickCalc!U45</f>
        <v>0</v>
      </c>
      <c r="AI292" s="28">
        <f>QuickCalc!V45</f>
        <v>0</v>
      </c>
      <c r="AJ292" s="28">
        <f>QuickCalc!W45</f>
        <v>0</v>
      </c>
      <c r="AK292" s="28">
        <f>QuickCalc!X45</f>
        <v>0</v>
      </c>
      <c r="AL292" s="28">
        <f>QuickCalc!Y45</f>
        <v>0</v>
      </c>
      <c r="AM292" s="28">
        <f>QuickCalc!Z45</f>
        <v>0</v>
      </c>
      <c r="AN292" s="28">
        <f>QuickCalc!AA45</f>
        <v>0</v>
      </c>
      <c r="AO292" s="28">
        <f>QuickCalc!AB45</f>
        <v>0</v>
      </c>
      <c r="AP292" s="28">
        <f>QuickCalc!AC45</f>
        <v>0</v>
      </c>
      <c r="AQ292" s="28">
        <f>QuickCalc!AD45</f>
        <v>0</v>
      </c>
      <c r="AR292" s="28">
        <f>QuickCalc!AE45</f>
        <v>0</v>
      </c>
      <c r="AS292" s="28">
        <f>QuickCalc!AF45</f>
        <v>0</v>
      </c>
      <c r="AT292" s="28">
        <f>QuickCalc!AG45</f>
        <v>0</v>
      </c>
      <c r="AU292" s="28">
        <f>QuickCalc!AH45</f>
        <v>0</v>
      </c>
      <c r="AV292" s="28">
        <f>QuickCalc!AI45</f>
        <v>0</v>
      </c>
      <c r="AW292" s="28">
        <f>QuickCalc!AJ45</f>
        <v>0</v>
      </c>
      <c r="AX292" s="28">
        <f>QuickCalc!AK45</f>
        <v>0</v>
      </c>
      <c r="AY292" s="28">
        <f>QuickCalc!AL45</f>
        <v>0</v>
      </c>
      <c r="AZ292" s="28">
        <f>QuickCalc!AM45</f>
        <v>0</v>
      </c>
      <c r="BA292" s="28">
        <f>QuickCalc!AN45</f>
        <v>0</v>
      </c>
      <c r="BB292" s="28">
        <f>QuickCalc!AO45</f>
        <v>0</v>
      </c>
      <c r="BC292" s="28">
        <f>QuickCalc!AP45</f>
        <v>0</v>
      </c>
      <c r="BD292" s="28">
        <f>QuickCalc!AQ45</f>
        <v>0</v>
      </c>
      <c r="BE292" s="28">
        <f>QuickCalc!AR45</f>
        <v>0</v>
      </c>
      <c r="BF292" s="28">
        <f>QuickCalc!AS45</f>
        <v>0</v>
      </c>
      <c r="BG292" s="28">
        <f>QuickCalc!AT45</f>
        <v>0</v>
      </c>
      <c r="BH292" s="28">
        <f>QuickCalc!AU45</f>
        <v>0</v>
      </c>
      <c r="BI292" s="28">
        <f>QuickCalc!AV45</f>
        <v>0</v>
      </c>
      <c r="BJ292" s="28">
        <f>QuickCalc!AW45</f>
        <v>0</v>
      </c>
      <c r="BK292" s="28">
        <f>QuickCalc!AX45</f>
        <v>0</v>
      </c>
      <c r="BL292" s="28">
        <f>QuickCalc!AY45</f>
        <v>0</v>
      </c>
      <c r="BM292" s="28">
        <f>QuickCalc!AZ45</f>
        <v>0</v>
      </c>
      <c r="BN292" s="28">
        <f>QuickCalc!BA45</f>
        <v>0</v>
      </c>
      <c r="BO292" s="28">
        <f>QuickCalc!BB45</f>
        <v>0</v>
      </c>
      <c r="BP292" s="28">
        <f>QuickCalc!BC45</f>
        <v>0</v>
      </c>
    </row>
    <row r="293" spans="4:68" ht="10.35" hidden="1" customHeight="1" outlineLevel="1" x14ac:dyDescent="0.2">
      <c r="D293" s="81" t="s">
        <v>50</v>
      </c>
      <c r="E293" s="80"/>
      <c r="F293" s="512" t="s">
        <v>104</v>
      </c>
      <c r="G293" s="512"/>
      <c r="H293" s="512"/>
      <c r="I293" s="512"/>
      <c r="J293" s="512"/>
      <c r="K293" s="80"/>
      <c r="L293" s="412"/>
      <c r="M293" s="113"/>
      <c r="N293"/>
      <c r="O293"/>
      <c r="P293"/>
      <c r="Q293"/>
      <c r="R293" s="28">
        <f>QuickCalc!E46</f>
        <v>0</v>
      </c>
      <c r="S293" s="28">
        <f>QuickCalc!F46</f>
        <v>0</v>
      </c>
      <c r="T293" s="28">
        <f>QuickCalc!G46</f>
        <v>0</v>
      </c>
      <c r="U293" s="28">
        <f>QuickCalc!H46</f>
        <v>0</v>
      </c>
      <c r="V293" s="28">
        <f>QuickCalc!I46</f>
        <v>0</v>
      </c>
      <c r="W293" s="28">
        <f>QuickCalc!J46</f>
        <v>0</v>
      </c>
      <c r="X293" s="28">
        <f>QuickCalc!K46</f>
        <v>0</v>
      </c>
      <c r="Y293" s="28">
        <f>QuickCalc!L46</f>
        <v>0</v>
      </c>
      <c r="Z293" s="28">
        <f>QuickCalc!M46</f>
        <v>0</v>
      </c>
      <c r="AA293" s="28">
        <f>QuickCalc!N46</f>
        <v>0</v>
      </c>
      <c r="AB293" s="28">
        <f>QuickCalc!O46</f>
        <v>0</v>
      </c>
      <c r="AC293" s="28">
        <f>QuickCalc!P46</f>
        <v>0</v>
      </c>
      <c r="AD293" s="28">
        <f>QuickCalc!Q46</f>
        <v>0</v>
      </c>
      <c r="AE293" s="28">
        <f>QuickCalc!R46</f>
        <v>0</v>
      </c>
      <c r="AF293" s="28">
        <f>QuickCalc!S46</f>
        <v>0</v>
      </c>
      <c r="AG293" s="28">
        <f>QuickCalc!T46</f>
        <v>0</v>
      </c>
      <c r="AH293" s="28">
        <f>QuickCalc!U46</f>
        <v>0</v>
      </c>
      <c r="AI293" s="28">
        <f>QuickCalc!V46</f>
        <v>0</v>
      </c>
      <c r="AJ293" s="28">
        <f>QuickCalc!W46</f>
        <v>0</v>
      </c>
      <c r="AK293" s="28">
        <f>QuickCalc!X46</f>
        <v>0</v>
      </c>
      <c r="AL293" s="28">
        <f>QuickCalc!Y46</f>
        <v>0</v>
      </c>
      <c r="AM293" s="28">
        <f>QuickCalc!Z46</f>
        <v>0</v>
      </c>
      <c r="AN293" s="28">
        <f>QuickCalc!AA46</f>
        <v>0</v>
      </c>
      <c r="AO293" s="28">
        <f>QuickCalc!AB46</f>
        <v>0</v>
      </c>
      <c r="AP293" s="28">
        <f>QuickCalc!AC46</f>
        <v>0</v>
      </c>
      <c r="AQ293" s="28">
        <f>QuickCalc!AD46</f>
        <v>0</v>
      </c>
      <c r="AR293" s="28">
        <f>QuickCalc!AE46</f>
        <v>0</v>
      </c>
      <c r="AS293" s="28">
        <f>QuickCalc!AF46</f>
        <v>0</v>
      </c>
      <c r="AT293" s="28">
        <f>QuickCalc!AG46</f>
        <v>0</v>
      </c>
      <c r="AU293" s="28">
        <f>QuickCalc!AH46</f>
        <v>0</v>
      </c>
      <c r="AV293" s="28">
        <f>QuickCalc!AI46</f>
        <v>0</v>
      </c>
      <c r="AW293" s="28">
        <f>QuickCalc!AJ46</f>
        <v>0</v>
      </c>
      <c r="AX293" s="28">
        <f>QuickCalc!AK46</f>
        <v>0</v>
      </c>
      <c r="AY293" s="28">
        <f>QuickCalc!AL46</f>
        <v>0</v>
      </c>
      <c r="AZ293" s="28">
        <f>QuickCalc!AM46</f>
        <v>0</v>
      </c>
      <c r="BA293" s="28">
        <f>QuickCalc!AN46</f>
        <v>0</v>
      </c>
      <c r="BB293" s="28">
        <f>QuickCalc!AO46</f>
        <v>0</v>
      </c>
      <c r="BC293" s="28">
        <f>QuickCalc!AP46</f>
        <v>0</v>
      </c>
      <c r="BD293" s="28">
        <f>QuickCalc!AQ46</f>
        <v>0</v>
      </c>
      <c r="BE293" s="28">
        <f>QuickCalc!AR46</f>
        <v>0</v>
      </c>
      <c r="BF293" s="28">
        <f>QuickCalc!AS46</f>
        <v>0</v>
      </c>
      <c r="BG293" s="28">
        <f>QuickCalc!AT46</f>
        <v>0</v>
      </c>
      <c r="BH293" s="28">
        <f>QuickCalc!AU46</f>
        <v>0</v>
      </c>
      <c r="BI293" s="28">
        <f>QuickCalc!AV46</f>
        <v>0</v>
      </c>
      <c r="BJ293" s="28">
        <f>QuickCalc!AW46</f>
        <v>0</v>
      </c>
      <c r="BK293" s="28">
        <f>QuickCalc!AX46</f>
        <v>0</v>
      </c>
      <c r="BL293" s="28">
        <f>QuickCalc!AY46</f>
        <v>0</v>
      </c>
      <c r="BM293" s="28">
        <f>QuickCalc!AZ46</f>
        <v>0</v>
      </c>
      <c r="BN293" s="28">
        <f>QuickCalc!BA46</f>
        <v>0</v>
      </c>
      <c r="BO293" s="28">
        <f>QuickCalc!BB46</f>
        <v>0</v>
      </c>
      <c r="BP293" s="28">
        <f>QuickCalc!BC46</f>
        <v>0</v>
      </c>
    </row>
    <row r="294" spans="4:68" ht="10.35" hidden="1" customHeight="1" outlineLevel="1" x14ac:dyDescent="0.2">
      <c r="D294" s="32" t="s">
        <v>51</v>
      </c>
      <c r="E294" s="80"/>
      <c r="F294" s="513"/>
      <c r="G294" s="513"/>
      <c r="H294" s="513"/>
      <c r="I294" s="513"/>
      <c r="J294" s="513"/>
      <c r="K294" s="80"/>
      <c r="L294" s="412"/>
      <c r="M294" s="113"/>
      <c r="N294"/>
      <c r="O294"/>
      <c r="P294"/>
      <c r="Q294"/>
      <c r="R294" s="29"/>
      <c r="S294" s="29"/>
      <c r="T294" s="29"/>
      <c r="U294" s="29"/>
      <c r="V294" s="29"/>
      <c r="W294" s="29"/>
      <c r="X294" s="29"/>
      <c r="Y294" s="29"/>
      <c r="Z294" s="29"/>
      <c r="AA294" s="29"/>
      <c r="AB294" s="29"/>
      <c r="AC294" s="29"/>
      <c r="AD294" s="29"/>
      <c r="AE294" s="29"/>
      <c r="AF294" s="29"/>
      <c r="AG294" s="29"/>
      <c r="AH294" s="29"/>
      <c r="AI294" s="29"/>
      <c r="AJ294" s="29"/>
      <c r="AK294" s="29"/>
      <c r="AL294" s="29"/>
      <c r="AM294" s="29"/>
      <c r="AN294" s="29"/>
      <c r="AO294" s="29"/>
      <c r="AP294" s="29"/>
      <c r="AQ294" s="29"/>
      <c r="AR294" s="29"/>
      <c r="AS294" s="29"/>
      <c r="AT294" s="29"/>
      <c r="AU294" s="29"/>
      <c r="AV294" s="29"/>
      <c r="AW294" s="29"/>
      <c r="AX294" s="29"/>
      <c r="AY294" s="29"/>
      <c r="AZ294" s="29"/>
      <c r="BA294" s="29"/>
      <c r="BB294" s="29"/>
      <c r="BC294" s="29"/>
      <c r="BD294" s="29"/>
      <c r="BE294" s="29"/>
      <c r="BF294" s="29"/>
      <c r="BG294" s="29"/>
      <c r="BH294" s="29"/>
      <c r="BI294" s="29"/>
      <c r="BJ294" s="29"/>
      <c r="BK294" s="29"/>
      <c r="BL294" s="29"/>
      <c r="BM294" s="29"/>
      <c r="BN294" s="29"/>
      <c r="BO294" s="29"/>
      <c r="BP294" s="29"/>
    </row>
    <row r="295" spans="4:68" ht="10.35" hidden="1" customHeight="1" outlineLevel="1" x14ac:dyDescent="0.2">
      <c r="D295" s="81" t="s">
        <v>52</v>
      </c>
      <c r="E295" s="80"/>
      <c r="F295" s="512" t="s">
        <v>104</v>
      </c>
      <c r="G295" s="512"/>
      <c r="H295" s="512"/>
      <c r="I295" s="512"/>
      <c r="J295" s="512"/>
      <c r="K295" s="80"/>
      <c r="L295" s="412"/>
      <c r="M295" s="113"/>
      <c r="N295"/>
      <c r="O295"/>
      <c r="P295"/>
      <c r="Q295"/>
      <c r="R295" s="28">
        <f>QuickCalc!E48</f>
        <v>0</v>
      </c>
      <c r="S295" s="28">
        <f>QuickCalc!F48</f>
        <v>0</v>
      </c>
      <c r="T295" s="28">
        <f>QuickCalc!G48</f>
        <v>0</v>
      </c>
      <c r="U295" s="28">
        <f>QuickCalc!H48</f>
        <v>0</v>
      </c>
      <c r="V295" s="28">
        <f>QuickCalc!I48</f>
        <v>0</v>
      </c>
      <c r="W295" s="28">
        <f>QuickCalc!J48</f>
        <v>0</v>
      </c>
      <c r="X295" s="28">
        <f>QuickCalc!K48</f>
        <v>0</v>
      </c>
      <c r="Y295" s="28">
        <f>QuickCalc!L48</f>
        <v>0</v>
      </c>
      <c r="Z295" s="28">
        <f>QuickCalc!M48</f>
        <v>0</v>
      </c>
      <c r="AA295" s="28">
        <f>QuickCalc!N48</f>
        <v>0</v>
      </c>
      <c r="AB295" s="28">
        <f>QuickCalc!O48</f>
        <v>0</v>
      </c>
      <c r="AC295" s="28">
        <f>QuickCalc!P48</f>
        <v>0</v>
      </c>
      <c r="AD295" s="28">
        <f>QuickCalc!Q48</f>
        <v>0</v>
      </c>
      <c r="AE295" s="28">
        <f>QuickCalc!R48</f>
        <v>0</v>
      </c>
      <c r="AF295" s="28">
        <f>QuickCalc!S48</f>
        <v>0</v>
      </c>
      <c r="AG295" s="28">
        <f>QuickCalc!T48</f>
        <v>0</v>
      </c>
      <c r="AH295" s="28">
        <f>QuickCalc!U48</f>
        <v>0</v>
      </c>
      <c r="AI295" s="28">
        <f>QuickCalc!V48</f>
        <v>0</v>
      </c>
      <c r="AJ295" s="28">
        <f>QuickCalc!W48</f>
        <v>0</v>
      </c>
      <c r="AK295" s="28">
        <f>QuickCalc!X48</f>
        <v>0</v>
      </c>
      <c r="AL295" s="28">
        <f>QuickCalc!Y48</f>
        <v>0</v>
      </c>
      <c r="AM295" s="28">
        <f>QuickCalc!Z48</f>
        <v>0</v>
      </c>
      <c r="AN295" s="28">
        <f>QuickCalc!AA48</f>
        <v>0</v>
      </c>
      <c r="AO295" s="28">
        <f>QuickCalc!AB48</f>
        <v>0</v>
      </c>
      <c r="AP295" s="28">
        <f>QuickCalc!AC48</f>
        <v>0</v>
      </c>
      <c r="AQ295" s="28">
        <f>QuickCalc!AD48</f>
        <v>0</v>
      </c>
      <c r="AR295" s="28">
        <f>QuickCalc!AE48</f>
        <v>0</v>
      </c>
      <c r="AS295" s="28">
        <f>QuickCalc!AF48</f>
        <v>0</v>
      </c>
      <c r="AT295" s="28">
        <f>QuickCalc!AG48</f>
        <v>0</v>
      </c>
      <c r="AU295" s="28">
        <f>QuickCalc!AH48</f>
        <v>0</v>
      </c>
      <c r="AV295" s="28">
        <f>QuickCalc!AI48</f>
        <v>0</v>
      </c>
      <c r="AW295" s="28">
        <f>QuickCalc!AJ48</f>
        <v>0</v>
      </c>
      <c r="AX295" s="28">
        <f>QuickCalc!AK48</f>
        <v>0</v>
      </c>
      <c r="AY295" s="28">
        <f>QuickCalc!AL48</f>
        <v>0</v>
      </c>
      <c r="AZ295" s="28">
        <f>QuickCalc!AM48</f>
        <v>0</v>
      </c>
      <c r="BA295" s="28">
        <f>QuickCalc!AN48</f>
        <v>0</v>
      </c>
      <c r="BB295" s="28">
        <f>QuickCalc!AO48</f>
        <v>0</v>
      </c>
      <c r="BC295" s="28">
        <f>QuickCalc!AP48</f>
        <v>0</v>
      </c>
      <c r="BD295" s="28">
        <f>QuickCalc!AQ48</f>
        <v>0</v>
      </c>
      <c r="BE295" s="28">
        <f>QuickCalc!AR48</f>
        <v>0</v>
      </c>
      <c r="BF295" s="28">
        <f>QuickCalc!AS48</f>
        <v>0</v>
      </c>
      <c r="BG295" s="28">
        <f>QuickCalc!AT48</f>
        <v>0</v>
      </c>
      <c r="BH295" s="28">
        <f>QuickCalc!AU48</f>
        <v>0</v>
      </c>
      <c r="BI295" s="28">
        <f>QuickCalc!AV48</f>
        <v>0</v>
      </c>
      <c r="BJ295" s="28">
        <f>QuickCalc!AW48</f>
        <v>0</v>
      </c>
      <c r="BK295" s="28">
        <f>QuickCalc!AX48</f>
        <v>0</v>
      </c>
      <c r="BL295" s="28">
        <f>QuickCalc!AY48</f>
        <v>0</v>
      </c>
      <c r="BM295" s="28">
        <f>QuickCalc!AZ48</f>
        <v>0</v>
      </c>
      <c r="BN295" s="28">
        <f>QuickCalc!BA48</f>
        <v>0</v>
      </c>
      <c r="BO295" s="28">
        <f>QuickCalc!BB48</f>
        <v>0</v>
      </c>
      <c r="BP295" s="28">
        <f>QuickCalc!BC48</f>
        <v>0</v>
      </c>
    </row>
    <row r="296" spans="4:68" ht="10.35" hidden="1" customHeight="1" outlineLevel="1" x14ac:dyDescent="0.2">
      <c r="D296" s="81" t="s">
        <v>45</v>
      </c>
      <c r="E296" s="80"/>
      <c r="F296" s="513"/>
      <c r="G296" s="513"/>
      <c r="H296" s="513"/>
      <c r="I296" s="513"/>
      <c r="J296" s="513"/>
      <c r="K296" s="80"/>
      <c r="L296" s="412"/>
      <c r="M296" s="113"/>
      <c r="N296"/>
      <c r="O296"/>
      <c r="P296"/>
      <c r="Q296"/>
      <c r="R296" s="29"/>
      <c r="S296" s="29"/>
      <c r="T296" s="29"/>
      <c r="U296" s="29"/>
      <c r="V296" s="29"/>
      <c r="W296" s="29"/>
      <c r="X296" s="29"/>
      <c r="Y296" s="29"/>
      <c r="Z296" s="29"/>
      <c r="AA296" s="29"/>
      <c r="AB296" s="29"/>
      <c r="AC296" s="29"/>
      <c r="AD296" s="29"/>
      <c r="AE296" s="29"/>
      <c r="AF296" s="29"/>
      <c r="AG296" s="29"/>
      <c r="AH296" s="29"/>
      <c r="AI296" s="29"/>
      <c r="AJ296" s="29"/>
      <c r="AK296" s="29"/>
      <c r="AL296" s="29"/>
      <c r="AM296" s="29"/>
      <c r="AN296" s="29"/>
      <c r="AO296" s="29"/>
      <c r="AP296" s="29"/>
      <c r="AQ296" s="29"/>
      <c r="AR296" s="29"/>
      <c r="AS296" s="29"/>
      <c r="AT296" s="29"/>
      <c r="AU296" s="29"/>
      <c r="AV296" s="29"/>
      <c r="AW296" s="29"/>
      <c r="AX296" s="29"/>
      <c r="AY296" s="29"/>
      <c r="AZ296" s="29"/>
      <c r="BA296" s="29"/>
      <c r="BB296" s="29"/>
      <c r="BC296" s="29"/>
      <c r="BD296" s="29"/>
      <c r="BE296" s="29"/>
      <c r="BF296" s="29"/>
      <c r="BG296" s="29"/>
      <c r="BH296" s="29"/>
      <c r="BI296" s="29"/>
      <c r="BJ296" s="29"/>
      <c r="BK296" s="29"/>
      <c r="BL296" s="29"/>
      <c r="BM296" s="29"/>
      <c r="BN296" s="29"/>
      <c r="BO296" s="29"/>
      <c r="BP296" s="29"/>
    </row>
    <row r="297" spans="4:68" ht="10.35" hidden="1" customHeight="1" outlineLevel="1" x14ac:dyDescent="0.2">
      <c r="D297" s="402" t="s">
        <v>46</v>
      </c>
      <c r="E297" s="80"/>
      <c r="F297" s="512" t="s">
        <v>104</v>
      </c>
      <c r="G297" s="512"/>
      <c r="H297" s="512"/>
      <c r="I297" s="512"/>
      <c r="J297" s="512"/>
      <c r="K297" s="80"/>
      <c r="L297" s="412"/>
      <c r="M297" s="113"/>
      <c r="N297"/>
      <c r="O297"/>
      <c r="P297"/>
      <c r="Q297"/>
      <c r="R297" s="28">
        <f>QuickCalc!E50</f>
        <v>0</v>
      </c>
      <c r="S297" s="28">
        <f>QuickCalc!F50</f>
        <v>0</v>
      </c>
      <c r="T297" s="28">
        <f>QuickCalc!G50</f>
        <v>0</v>
      </c>
      <c r="U297" s="28">
        <f>QuickCalc!H50</f>
        <v>0</v>
      </c>
      <c r="V297" s="28">
        <f>QuickCalc!I50</f>
        <v>0</v>
      </c>
      <c r="W297" s="28">
        <f>QuickCalc!J50</f>
        <v>0</v>
      </c>
      <c r="X297" s="28">
        <f>QuickCalc!K50</f>
        <v>0</v>
      </c>
      <c r="Y297" s="28">
        <f>QuickCalc!L50</f>
        <v>0</v>
      </c>
      <c r="Z297" s="28">
        <f>QuickCalc!M50</f>
        <v>0</v>
      </c>
      <c r="AA297" s="28">
        <f>QuickCalc!N50</f>
        <v>0</v>
      </c>
      <c r="AB297" s="28">
        <f>QuickCalc!O50</f>
        <v>0</v>
      </c>
      <c r="AC297" s="28">
        <f>QuickCalc!P50</f>
        <v>0</v>
      </c>
      <c r="AD297" s="28">
        <f>QuickCalc!Q50</f>
        <v>0</v>
      </c>
      <c r="AE297" s="28">
        <f>QuickCalc!R50</f>
        <v>0</v>
      </c>
      <c r="AF297" s="28">
        <f>QuickCalc!S50</f>
        <v>0</v>
      </c>
      <c r="AG297" s="28">
        <f>QuickCalc!T50</f>
        <v>0</v>
      </c>
      <c r="AH297" s="28">
        <f>QuickCalc!U50</f>
        <v>0</v>
      </c>
      <c r="AI297" s="28">
        <f>QuickCalc!V50</f>
        <v>0</v>
      </c>
      <c r="AJ297" s="28">
        <f>QuickCalc!W50</f>
        <v>0</v>
      </c>
      <c r="AK297" s="28">
        <f>QuickCalc!X50</f>
        <v>0</v>
      </c>
      <c r="AL297" s="28">
        <f>QuickCalc!Y50</f>
        <v>0</v>
      </c>
      <c r="AM297" s="28">
        <f>QuickCalc!Z50</f>
        <v>0</v>
      </c>
      <c r="AN297" s="28">
        <f>QuickCalc!AA50</f>
        <v>0</v>
      </c>
      <c r="AO297" s="28">
        <f>QuickCalc!AB50</f>
        <v>0</v>
      </c>
      <c r="AP297" s="28">
        <f>QuickCalc!AC50</f>
        <v>0</v>
      </c>
      <c r="AQ297" s="28">
        <f>QuickCalc!AD50</f>
        <v>0</v>
      </c>
      <c r="AR297" s="28">
        <f>QuickCalc!AE50</f>
        <v>0</v>
      </c>
      <c r="AS297" s="28">
        <f>QuickCalc!AF50</f>
        <v>0</v>
      </c>
      <c r="AT297" s="28">
        <f>QuickCalc!AG50</f>
        <v>0</v>
      </c>
      <c r="AU297" s="28">
        <f>QuickCalc!AH50</f>
        <v>0</v>
      </c>
      <c r="AV297" s="28">
        <f>QuickCalc!AI50</f>
        <v>0</v>
      </c>
      <c r="AW297" s="28">
        <f>QuickCalc!AJ50</f>
        <v>0</v>
      </c>
      <c r="AX297" s="28">
        <f>QuickCalc!AK50</f>
        <v>0</v>
      </c>
      <c r="AY297" s="28">
        <f>QuickCalc!AL50</f>
        <v>0</v>
      </c>
      <c r="AZ297" s="28">
        <f>QuickCalc!AM50</f>
        <v>0</v>
      </c>
      <c r="BA297" s="28">
        <f>QuickCalc!AN50</f>
        <v>0</v>
      </c>
      <c r="BB297" s="28">
        <f>QuickCalc!AO50</f>
        <v>0</v>
      </c>
      <c r="BC297" s="28">
        <f>QuickCalc!AP50</f>
        <v>0</v>
      </c>
      <c r="BD297" s="28">
        <f>QuickCalc!AQ50</f>
        <v>0</v>
      </c>
      <c r="BE297" s="28">
        <f>QuickCalc!AR50</f>
        <v>0</v>
      </c>
      <c r="BF297" s="28">
        <f>QuickCalc!AS50</f>
        <v>0</v>
      </c>
      <c r="BG297" s="28">
        <f>QuickCalc!AT50</f>
        <v>0</v>
      </c>
      <c r="BH297" s="28">
        <f>QuickCalc!AU50</f>
        <v>0</v>
      </c>
      <c r="BI297" s="28">
        <f>QuickCalc!AV50</f>
        <v>0</v>
      </c>
      <c r="BJ297" s="28">
        <f>QuickCalc!AW50</f>
        <v>0</v>
      </c>
      <c r="BK297" s="28">
        <f>QuickCalc!AX50</f>
        <v>0</v>
      </c>
      <c r="BL297" s="28">
        <f>QuickCalc!AY50</f>
        <v>0</v>
      </c>
      <c r="BM297" s="28">
        <f>QuickCalc!AZ50</f>
        <v>0</v>
      </c>
      <c r="BN297" s="28">
        <f>QuickCalc!BA50</f>
        <v>0</v>
      </c>
      <c r="BO297" s="28">
        <f>QuickCalc!BB50</f>
        <v>0</v>
      </c>
      <c r="BP297" s="28">
        <f>QuickCalc!BC50</f>
        <v>0</v>
      </c>
    </row>
    <row r="298" spans="4:68" ht="10.35" hidden="1" customHeight="1" outlineLevel="1" x14ac:dyDescent="0.2">
      <c r="D298" s="402" t="s">
        <v>47</v>
      </c>
      <c r="E298" s="80"/>
      <c r="F298" s="512" t="s">
        <v>104</v>
      </c>
      <c r="G298" s="512"/>
      <c r="H298" s="512"/>
      <c r="I298" s="512"/>
      <c r="J298" s="512"/>
      <c r="K298" s="80"/>
      <c r="L298" s="412"/>
      <c r="M298" s="113"/>
      <c r="N298"/>
      <c r="O298"/>
      <c r="P298"/>
      <c r="Q298"/>
      <c r="R298" s="28">
        <f>QuickCalc!E51</f>
        <v>0</v>
      </c>
      <c r="S298" s="28">
        <f>QuickCalc!F51</f>
        <v>0</v>
      </c>
      <c r="T298" s="28">
        <f>QuickCalc!G51</f>
        <v>0</v>
      </c>
      <c r="U298" s="28">
        <f>QuickCalc!H51</f>
        <v>0</v>
      </c>
      <c r="V298" s="28">
        <f>QuickCalc!I51</f>
        <v>0</v>
      </c>
      <c r="W298" s="28">
        <f>QuickCalc!J51</f>
        <v>0</v>
      </c>
      <c r="X298" s="28">
        <f>QuickCalc!K51</f>
        <v>0</v>
      </c>
      <c r="Y298" s="28">
        <f>QuickCalc!L51</f>
        <v>0</v>
      </c>
      <c r="Z298" s="28">
        <f>QuickCalc!M51</f>
        <v>0</v>
      </c>
      <c r="AA298" s="28">
        <f>QuickCalc!N51</f>
        <v>0</v>
      </c>
      <c r="AB298" s="28">
        <f>QuickCalc!O51</f>
        <v>0</v>
      </c>
      <c r="AC298" s="28">
        <f>QuickCalc!P51</f>
        <v>0</v>
      </c>
      <c r="AD298" s="28">
        <f>QuickCalc!Q51</f>
        <v>0</v>
      </c>
      <c r="AE298" s="28">
        <f>QuickCalc!R51</f>
        <v>0</v>
      </c>
      <c r="AF298" s="28">
        <f>QuickCalc!S51</f>
        <v>0</v>
      </c>
      <c r="AG298" s="28">
        <f>QuickCalc!T51</f>
        <v>0</v>
      </c>
      <c r="AH298" s="28">
        <f>QuickCalc!U51</f>
        <v>0</v>
      </c>
      <c r="AI298" s="28">
        <f>QuickCalc!V51</f>
        <v>0</v>
      </c>
      <c r="AJ298" s="28">
        <f>QuickCalc!W51</f>
        <v>0</v>
      </c>
      <c r="AK298" s="28">
        <f>QuickCalc!X51</f>
        <v>0</v>
      </c>
      <c r="AL298" s="28">
        <f>QuickCalc!Y51</f>
        <v>0</v>
      </c>
      <c r="AM298" s="28">
        <f>QuickCalc!Z51</f>
        <v>0</v>
      </c>
      <c r="AN298" s="28">
        <f>QuickCalc!AA51</f>
        <v>0</v>
      </c>
      <c r="AO298" s="28">
        <f>QuickCalc!AB51</f>
        <v>0</v>
      </c>
      <c r="AP298" s="28">
        <f>QuickCalc!AC51</f>
        <v>0</v>
      </c>
      <c r="AQ298" s="28">
        <f>QuickCalc!AD51</f>
        <v>0</v>
      </c>
      <c r="AR298" s="28">
        <f>QuickCalc!AE51</f>
        <v>0</v>
      </c>
      <c r="AS298" s="28">
        <f>QuickCalc!AF51</f>
        <v>0</v>
      </c>
      <c r="AT298" s="28">
        <f>QuickCalc!AG51</f>
        <v>0</v>
      </c>
      <c r="AU298" s="28">
        <f>QuickCalc!AH51</f>
        <v>0</v>
      </c>
      <c r="AV298" s="28">
        <f>QuickCalc!AI51</f>
        <v>0</v>
      </c>
      <c r="AW298" s="28">
        <f>QuickCalc!AJ51</f>
        <v>0</v>
      </c>
      <c r="AX298" s="28">
        <f>QuickCalc!AK51</f>
        <v>0</v>
      </c>
      <c r="AY298" s="28">
        <f>QuickCalc!AL51</f>
        <v>0</v>
      </c>
      <c r="AZ298" s="28">
        <f>QuickCalc!AM51</f>
        <v>0</v>
      </c>
      <c r="BA298" s="28">
        <f>QuickCalc!AN51</f>
        <v>0</v>
      </c>
      <c r="BB298" s="28">
        <f>QuickCalc!AO51</f>
        <v>0</v>
      </c>
      <c r="BC298" s="28">
        <f>QuickCalc!AP51</f>
        <v>0</v>
      </c>
      <c r="BD298" s="28">
        <f>QuickCalc!AQ51</f>
        <v>0</v>
      </c>
      <c r="BE298" s="28">
        <f>QuickCalc!AR51</f>
        <v>0</v>
      </c>
      <c r="BF298" s="28">
        <f>QuickCalc!AS51</f>
        <v>0</v>
      </c>
      <c r="BG298" s="28">
        <f>QuickCalc!AT51</f>
        <v>0</v>
      </c>
      <c r="BH298" s="28">
        <f>QuickCalc!AU51</f>
        <v>0</v>
      </c>
      <c r="BI298" s="28">
        <f>QuickCalc!AV51</f>
        <v>0</v>
      </c>
      <c r="BJ298" s="28">
        <f>QuickCalc!AW51</f>
        <v>0</v>
      </c>
      <c r="BK298" s="28">
        <f>QuickCalc!AX51</f>
        <v>0</v>
      </c>
      <c r="BL298" s="28">
        <f>QuickCalc!AY51</f>
        <v>0</v>
      </c>
      <c r="BM298" s="28">
        <f>QuickCalc!AZ51</f>
        <v>0</v>
      </c>
      <c r="BN298" s="28">
        <f>QuickCalc!BA51</f>
        <v>0</v>
      </c>
      <c r="BO298" s="28">
        <f>QuickCalc!BB51</f>
        <v>0</v>
      </c>
      <c r="BP298" s="28">
        <f>QuickCalc!BC51</f>
        <v>0</v>
      </c>
    </row>
    <row r="299" spans="4:68" ht="10.35" hidden="1" customHeight="1" outlineLevel="1" x14ac:dyDescent="0.2">
      <c r="D299" s="81" t="s">
        <v>35</v>
      </c>
      <c r="E299" s="80"/>
      <c r="F299" s="512" t="s">
        <v>104</v>
      </c>
      <c r="G299" s="512"/>
      <c r="H299" s="512"/>
      <c r="I299" s="512"/>
      <c r="J299" s="512"/>
      <c r="K299" s="80"/>
      <c r="L299" s="412"/>
      <c r="M299" s="113"/>
      <c r="N299"/>
      <c r="O299"/>
      <c r="P299"/>
      <c r="Q299"/>
      <c r="R299" s="28">
        <f>QuickCalc!E52</f>
        <v>0</v>
      </c>
      <c r="S299" s="28">
        <f>QuickCalc!F52</f>
        <v>0</v>
      </c>
      <c r="T299" s="28">
        <f>QuickCalc!G52</f>
        <v>0</v>
      </c>
      <c r="U299" s="28">
        <f>QuickCalc!H52</f>
        <v>0</v>
      </c>
      <c r="V299" s="28">
        <f>QuickCalc!I52</f>
        <v>0</v>
      </c>
      <c r="W299" s="28">
        <f>QuickCalc!J52</f>
        <v>0</v>
      </c>
      <c r="X299" s="28">
        <f>QuickCalc!K52</f>
        <v>0</v>
      </c>
      <c r="Y299" s="28">
        <f>QuickCalc!L52</f>
        <v>0</v>
      </c>
      <c r="Z299" s="28">
        <f>QuickCalc!M52</f>
        <v>0</v>
      </c>
      <c r="AA299" s="28">
        <f>QuickCalc!N52</f>
        <v>0</v>
      </c>
      <c r="AB299" s="28">
        <f>QuickCalc!O52</f>
        <v>0</v>
      </c>
      <c r="AC299" s="28">
        <f>QuickCalc!P52</f>
        <v>0</v>
      </c>
      <c r="AD299" s="28">
        <f>QuickCalc!Q52</f>
        <v>0</v>
      </c>
      <c r="AE299" s="28">
        <f>QuickCalc!R52</f>
        <v>0</v>
      </c>
      <c r="AF299" s="28">
        <f>QuickCalc!S52</f>
        <v>0</v>
      </c>
      <c r="AG299" s="28">
        <f>QuickCalc!T52</f>
        <v>0</v>
      </c>
      <c r="AH299" s="28">
        <f>QuickCalc!U52</f>
        <v>0</v>
      </c>
      <c r="AI299" s="28">
        <f>QuickCalc!V52</f>
        <v>0</v>
      </c>
      <c r="AJ299" s="28">
        <f>QuickCalc!W52</f>
        <v>0</v>
      </c>
      <c r="AK299" s="28">
        <f>QuickCalc!X52</f>
        <v>0</v>
      </c>
      <c r="AL299" s="28">
        <f>QuickCalc!Y52</f>
        <v>0</v>
      </c>
      <c r="AM299" s="28">
        <f>QuickCalc!Z52</f>
        <v>0</v>
      </c>
      <c r="AN299" s="28">
        <f>QuickCalc!AA52</f>
        <v>0</v>
      </c>
      <c r="AO299" s="28">
        <f>QuickCalc!AB52</f>
        <v>0</v>
      </c>
      <c r="AP299" s="28">
        <f>QuickCalc!AC52</f>
        <v>0</v>
      </c>
      <c r="AQ299" s="28">
        <f>QuickCalc!AD52</f>
        <v>0</v>
      </c>
      <c r="AR299" s="28">
        <f>QuickCalc!AE52</f>
        <v>0</v>
      </c>
      <c r="AS299" s="28">
        <f>QuickCalc!AF52</f>
        <v>0</v>
      </c>
      <c r="AT299" s="28">
        <f>QuickCalc!AG52</f>
        <v>0</v>
      </c>
      <c r="AU299" s="28">
        <f>QuickCalc!AH52</f>
        <v>0</v>
      </c>
      <c r="AV299" s="28">
        <f>QuickCalc!AI52</f>
        <v>0</v>
      </c>
      <c r="AW299" s="28">
        <f>QuickCalc!AJ52</f>
        <v>0</v>
      </c>
      <c r="AX299" s="28">
        <f>QuickCalc!AK52</f>
        <v>0</v>
      </c>
      <c r="AY299" s="28">
        <f>QuickCalc!AL52</f>
        <v>0</v>
      </c>
      <c r="AZ299" s="28">
        <f>QuickCalc!AM52</f>
        <v>0</v>
      </c>
      <c r="BA299" s="28">
        <f>QuickCalc!AN52</f>
        <v>0</v>
      </c>
      <c r="BB299" s="28">
        <f>QuickCalc!AO52</f>
        <v>0</v>
      </c>
      <c r="BC299" s="28">
        <f>QuickCalc!AP52</f>
        <v>0</v>
      </c>
      <c r="BD299" s="28">
        <f>QuickCalc!AQ52</f>
        <v>0</v>
      </c>
      <c r="BE299" s="28">
        <f>QuickCalc!AR52</f>
        <v>0</v>
      </c>
      <c r="BF299" s="28">
        <f>QuickCalc!AS52</f>
        <v>0</v>
      </c>
      <c r="BG299" s="28">
        <f>QuickCalc!AT52</f>
        <v>0</v>
      </c>
      <c r="BH299" s="28">
        <f>QuickCalc!AU52</f>
        <v>0</v>
      </c>
      <c r="BI299" s="28">
        <f>QuickCalc!AV52</f>
        <v>0</v>
      </c>
      <c r="BJ299" s="28">
        <f>QuickCalc!AW52</f>
        <v>0</v>
      </c>
      <c r="BK299" s="28">
        <f>QuickCalc!AX52</f>
        <v>0</v>
      </c>
      <c r="BL299" s="28">
        <f>QuickCalc!AY52</f>
        <v>0</v>
      </c>
      <c r="BM299" s="28">
        <f>QuickCalc!AZ52</f>
        <v>0</v>
      </c>
      <c r="BN299" s="28">
        <f>QuickCalc!BA52</f>
        <v>0</v>
      </c>
      <c r="BO299" s="28">
        <f>QuickCalc!BB52</f>
        <v>0</v>
      </c>
      <c r="BP299" s="28">
        <f>QuickCalc!BC52</f>
        <v>0</v>
      </c>
    </row>
    <row r="300" spans="4:68" ht="10.35" hidden="1" customHeight="1" outlineLevel="1" x14ac:dyDescent="0.2">
      <c r="D300" s="32" t="s">
        <v>53</v>
      </c>
      <c r="E300" s="80"/>
      <c r="F300" s="513"/>
      <c r="G300" s="513"/>
      <c r="H300" s="513"/>
      <c r="I300" s="513"/>
      <c r="J300" s="513"/>
      <c r="K300" s="80"/>
      <c r="L300" s="412"/>
      <c r="M300" s="113"/>
      <c r="N300"/>
      <c r="O300"/>
      <c r="P300"/>
      <c r="Q300"/>
      <c r="R300" s="29"/>
      <c r="S300" s="29"/>
      <c r="T300" s="29"/>
      <c r="U300" s="29"/>
      <c r="V300" s="29"/>
      <c r="W300" s="29"/>
      <c r="X300" s="29"/>
      <c r="Y300" s="29"/>
      <c r="Z300" s="29"/>
      <c r="AA300" s="29"/>
      <c r="AB300" s="29"/>
      <c r="AC300" s="29"/>
      <c r="AD300" s="29"/>
      <c r="AE300" s="29"/>
      <c r="AF300" s="29"/>
      <c r="AG300" s="29"/>
      <c r="AH300" s="29"/>
      <c r="AI300" s="29"/>
      <c r="AJ300" s="29"/>
      <c r="AK300" s="29"/>
      <c r="AL300" s="29"/>
      <c r="AM300" s="29"/>
      <c r="AN300" s="29"/>
      <c r="AO300" s="29"/>
      <c r="AP300" s="29"/>
      <c r="AQ300" s="29"/>
      <c r="AR300" s="29"/>
      <c r="AS300" s="29"/>
      <c r="AT300" s="29"/>
      <c r="AU300" s="29"/>
      <c r="AV300" s="29"/>
      <c r="AW300" s="29"/>
      <c r="AX300" s="29"/>
      <c r="AY300" s="29"/>
      <c r="AZ300" s="29"/>
      <c r="BA300" s="29"/>
      <c r="BB300" s="29"/>
      <c r="BC300" s="29"/>
      <c r="BD300" s="29"/>
      <c r="BE300" s="29"/>
      <c r="BF300" s="29"/>
      <c r="BG300" s="29"/>
      <c r="BH300" s="29"/>
      <c r="BI300" s="29"/>
      <c r="BJ300" s="29"/>
      <c r="BK300" s="29"/>
      <c r="BL300" s="29"/>
      <c r="BM300" s="29"/>
      <c r="BN300" s="29"/>
      <c r="BO300" s="29"/>
      <c r="BP300" s="29"/>
    </row>
    <row r="301" spans="4:68" ht="10.35" hidden="1" customHeight="1" outlineLevel="1" x14ac:dyDescent="0.2">
      <c r="D301" s="402" t="s">
        <v>46</v>
      </c>
      <c r="E301" s="80"/>
      <c r="F301" s="512" t="s">
        <v>104</v>
      </c>
      <c r="G301" s="512"/>
      <c r="H301" s="512"/>
      <c r="I301" s="512"/>
      <c r="J301" s="512"/>
      <c r="K301" s="80"/>
      <c r="L301" s="412"/>
      <c r="M301" s="113"/>
      <c r="N301"/>
      <c r="O301"/>
      <c r="P301"/>
      <c r="Q301"/>
      <c r="R301" s="28">
        <f>QuickCalc!E54</f>
        <v>0</v>
      </c>
      <c r="S301" s="28">
        <f>QuickCalc!F54</f>
        <v>0</v>
      </c>
      <c r="T301" s="28">
        <f>QuickCalc!G54</f>
        <v>0</v>
      </c>
      <c r="U301" s="28">
        <f>QuickCalc!H54</f>
        <v>0</v>
      </c>
      <c r="V301" s="28">
        <f>QuickCalc!I54</f>
        <v>0</v>
      </c>
      <c r="W301" s="28">
        <f>QuickCalc!J54</f>
        <v>0</v>
      </c>
      <c r="X301" s="28">
        <f>QuickCalc!K54</f>
        <v>0</v>
      </c>
      <c r="Y301" s="28">
        <f>QuickCalc!L54</f>
        <v>0</v>
      </c>
      <c r="Z301" s="28">
        <f>QuickCalc!M54</f>
        <v>0</v>
      </c>
      <c r="AA301" s="28">
        <f>QuickCalc!N54</f>
        <v>0</v>
      </c>
      <c r="AB301" s="28">
        <f>QuickCalc!O54</f>
        <v>0</v>
      </c>
      <c r="AC301" s="28">
        <f>QuickCalc!P54</f>
        <v>0</v>
      </c>
      <c r="AD301" s="28">
        <f>QuickCalc!Q54</f>
        <v>0</v>
      </c>
      <c r="AE301" s="28">
        <f>QuickCalc!R54</f>
        <v>0</v>
      </c>
      <c r="AF301" s="28">
        <f>QuickCalc!S54</f>
        <v>0</v>
      </c>
      <c r="AG301" s="28">
        <f>QuickCalc!T54</f>
        <v>0</v>
      </c>
      <c r="AH301" s="28">
        <f>QuickCalc!U54</f>
        <v>0</v>
      </c>
      <c r="AI301" s="28">
        <f>QuickCalc!V54</f>
        <v>0</v>
      </c>
      <c r="AJ301" s="28">
        <f>QuickCalc!W54</f>
        <v>0</v>
      </c>
      <c r="AK301" s="28">
        <f>QuickCalc!X54</f>
        <v>0</v>
      </c>
      <c r="AL301" s="28">
        <f>QuickCalc!Y54</f>
        <v>0</v>
      </c>
      <c r="AM301" s="28">
        <f>QuickCalc!Z54</f>
        <v>0</v>
      </c>
      <c r="AN301" s="28">
        <f>QuickCalc!AA54</f>
        <v>0</v>
      </c>
      <c r="AO301" s="28">
        <f>QuickCalc!AB54</f>
        <v>0</v>
      </c>
      <c r="AP301" s="28">
        <f>QuickCalc!AC54</f>
        <v>0</v>
      </c>
      <c r="AQ301" s="28">
        <f>QuickCalc!AD54</f>
        <v>0</v>
      </c>
      <c r="AR301" s="28">
        <f>QuickCalc!AE54</f>
        <v>0</v>
      </c>
      <c r="AS301" s="28">
        <f>QuickCalc!AF54</f>
        <v>0</v>
      </c>
      <c r="AT301" s="28">
        <f>QuickCalc!AG54</f>
        <v>0</v>
      </c>
      <c r="AU301" s="28">
        <f>QuickCalc!AH54</f>
        <v>0</v>
      </c>
      <c r="AV301" s="28">
        <f>QuickCalc!AI54</f>
        <v>0</v>
      </c>
      <c r="AW301" s="28">
        <f>QuickCalc!AJ54</f>
        <v>0</v>
      </c>
      <c r="AX301" s="28">
        <f>QuickCalc!AK54</f>
        <v>0</v>
      </c>
      <c r="AY301" s="28">
        <f>QuickCalc!AL54</f>
        <v>0</v>
      </c>
      <c r="AZ301" s="28">
        <f>QuickCalc!AM54</f>
        <v>0</v>
      </c>
      <c r="BA301" s="28">
        <f>QuickCalc!AN54</f>
        <v>0</v>
      </c>
      <c r="BB301" s="28">
        <f>QuickCalc!AO54</f>
        <v>0</v>
      </c>
      <c r="BC301" s="28">
        <f>QuickCalc!AP54</f>
        <v>0</v>
      </c>
      <c r="BD301" s="28">
        <f>QuickCalc!AQ54</f>
        <v>0</v>
      </c>
      <c r="BE301" s="28">
        <f>QuickCalc!AR54</f>
        <v>0</v>
      </c>
      <c r="BF301" s="28">
        <f>QuickCalc!AS54</f>
        <v>0</v>
      </c>
      <c r="BG301" s="28">
        <f>QuickCalc!AT54</f>
        <v>0</v>
      </c>
      <c r="BH301" s="28">
        <f>QuickCalc!AU54</f>
        <v>0</v>
      </c>
      <c r="BI301" s="28">
        <f>QuickCalc!AV54</f>
        <v>0</v>
      </c>
      <c r="BJ301" s="28">
        <f>QuickCalc!AW54</f>
        <v>0</v>
      </c>
      <c r="BK301" s="28">
        <f>QuickCalc!AX54</f>
        <v>0</v>
      </c>
      <c r="BL301" s="28">
        <f>QuickCalc!AY54</f>
        <v>0</v>
      </c>
      <c r="BM301" s="28">
        <f>QuickCalc!AZ54</f>
        <v>0</v>
      </c>
      <c r="BN301" s="28">
        <f>QuickCalc!BA54</f>
        <v>0</v>
      </c>
      <c r="BO301" s="28">
        <f>QuickCalc!BB54</f>
        <v>0</v>
      </c>
      <c r="BP301" s="28">
        <f>QuickCalc!BC54</f>
        <v>0</v>
      </c>
    </row>
    <row r="302" spans="4:68" ht="10.35" hidden="1" customHeight="1" outlineLevel="1" x14ac:dyDescent="0.2">
      <c r="D302" s="402" t="s">
        <v>47</v>
      </c>
      <c r="E302" s="80"/>
      <c r="F302" s="512" t="s">
        <v>104</v>
      </c>
      <c r="G302" s="512"/>
      <c r="H302" s="512"/>
      <c r="I302" s="512"/>
      <c r="J302" s="512"/>
      <c r="K302" s="80"/>
      <c r="L302" s="412"/>
      <c r="M302" s="113"/>
      <c r="N302"/>
      <c r="O302"/>
      <c r="P302"/>
      <c r="Q302"/>
      <c r="R302" s="28">
        <f>QuickCalc!E55</f>
        <v>0</v>
      </c>
      <c r="S302" s="28">
        <f>QuickCalc!F55</f>
        <v>0</v>
      </c>
      <c r="T302" s="28">
        <f>QuickCalc!G55</f>
        <v>0</v>
      </c>
      <c r="U302" s="28">
        <f>QuickCalc!H55</f>
        <v>0</v>
      </c>
      <c r="V302" s="28">
        <f>QuickCalc!I55</f>
        <v>0</v>
      </c>
      <c r="W302" s="28">
        <f>QuickCalc!J55</f>
        <v>0</v>
      </c>
      <c r="X302" s="28">
        <f>QuickCalc!K55</f>
        <v>0</v>
      </c>
      <c r="Y302" s="28">
        <f>QuickCalc!L55</f>
        <v>0</v>
      </c>
      <c r="Z302" s="28">
        <f>QuickCalc!M55</f>
        <v>0</v>
      </c>
      <c r="AA302" s="28">
        <f>QuickCalc!N55</f>
        <v>0</v>
      </c>
      <c r="AB302" s="28">
        <f>QuickCalc!O55</f>
        <v>0</v>
      </c>
      <c r="AC302" s="28">
        <f>QuickCalc!P55</f>
        <v>0</v>
      </c>
      <c r="AD302" s="28">
        <f>QuickCalc!Q55</f>
        <v>0</v>
      </c>
      <c r="AE302" s="28">
        <f>QuickCalc!R55</f>
        <v>0</v>
      </c>
      <c r="AF302" s="28">
        <f>QuickCalc!S55</f>
        <v>0</v>
      </c>
      <c r="AG302" s="28">
        <f>QuickCalc!T55</f>
        <v>0</v>
      </c>
      <c r="AH302" s="28">
        <f>QuickCalc!U55</f>
        <v>0</v>
      </c>
      <c r="AI302" s="28">
        <f>QuickCalc!V55</f>
        <v>0</v>
      </c>
      <c r="AJ302" s="28">
        <f>QuickCalc!W55</f>
        <v>0</v>
      </c>
      <c r="AK302" s="28">
        <f>QuickCalc!X55</f>
        <v>0</v>
      </c>
      <c r="AL302" s="28">
        <f>QuickCalc!Y55</f>
        <v>0</v>
      </c>
      <c r="AM302" s="28">
        <f>QuickCalc!Z55</f>
        <v>0</v>
      </c>
      <c r="AN302" s="28">
        <f>QuickCalc!AA55</f>
        <v>0</v>
      </c>
      <c r="AO302" s="28">
        <f>QuickCalc!AB55</f>
        <v>0</v>
      </c>
      <c r="AP302" s="28">
        <f>QuickCalc!AC55</f>
        <v>0</v>
      </c>
      <c r="AQ302" s="28">
        <f>QuickCalc!AD55</f>
        <v>0</v>
      </c>
      <c r="AR302" s="28">
        <f>QuickCalc!AE55</f>
        <v>0</v>
      </c>
      <c r="AS302" s="28">
        <f>QuickCalc!AF55</f>
        <v>0</v>
      </c>
      <c r="AT302" s="28">
        <f>QuickCalc!AG55</f>
        <v>0</v>
      </c>
      <c r="AU302" s="28">
        <f>QuickCalc!AH55</f>
        <v>0</v>
      </c>
      <c r="AV302" s="28">
        <f>QuickCalc!AI55</f>
        <v>0</v>
      </c>
      <c r="AW302" s="28">
        <f>QuickCalc!AJ55</f>
        <v>0</v>
      </c>
      <c r="AX302" s="28">
        <f>QuickCalc!AK55</f>
        <v>0</v>
      </c>
      <c r="AY302" s="28">
        <f>QuickCalc!AL55</f>
        <v>0</v>
      </c>
      <c r="AZ302" s="28">
        <f>QuickCalc!AM55</f>
        <v>0</v>
      </c>
      <c r="BA302" s="28">
        <f>QuickCalc!AN55</f>
        <v>0</v>
      </c>
      <c r="BB302" s="28">
        <f>QuickCalc!AO55</f>
        <v>0</v>
      </c>
      <c r="BC302" s="28">
        <f>QuickCalc!AP55</f>
        <v>0</v>
      </c>
      <c r="BD302" s="28">
        <f>QuickCalc!AQ55</f>
        <v>0</v>
      </c>
      <c r="BE302" s="28">
        <f>QuickCalc!AR55</f>
        <v>0</v>
      </c>
      <c r="BF302" s="28">
        <f>QuickCalc!AS55</f>
        <v>0</v>
      </c>
      <c r="BG302" s="28">
        <f>QuickCalc!AT55</f>
        <v>0</v>
      </c>
      <c r="BH302" s="28">
        <f>QuickCalc!AU55</f>
        <v>0</v>
      </c>
      <c r="BI302" s="28">
        <f>QuickCalc!AV55</f>
        <v>0</v>
      </c>
      <c r="BJ302" s="28">
        <f>QuickCalc!AW55</f>
        <v>0</v>
      </c>
      <c r="BK302" s="28">
        <f>QuickCalc!AX55</f>
        <v>0</v>
      </c>
      <c r="BL302" s="28">
        <f>QuickCalc!AY55</f>
        <v>0</v>
      </c>
      <c r="BM302" s="28">
        <f>QuickCalc!AZ55</f>
        <v>0</v>
      </c>
      <c r="BN302" s="28">
        <f>QuickCalc!BA55</f>
        <v>0</v>
      </c>
      <c r="BO302" s="28">
        <f>QuickCalc!BB55</f>
        <v>0</v>
      </c>
      <c r="BP302" s="28">
        <f>QuickCalc!BC55</f>
        <v>0</v>
      </c>
    </row>
    <row r="303" spans="4:68" hidden="1" outlineLevel="1" x14ac:dyDescent="0.2">
      <c r="D303" s="32" t="s">
        <v>54</v>
      </c>
      <c r="E303" s="80"/>
      <c r="F303" s="512" t="s">
        <v>104</v>
      </c>
      <c r="G303" s="512"/>
      <c r="H303" s="512"/>
      <c r="I303" s="512"/>
      <c r="J303" s="512"/>
      <c r="K303" s="83"/>
      <c r="L303" s="412"/>
      <c r="M303" s="413"/>
      <c r="N303" s="80"/>
      <c r="O303" s="80"/>
      <c r="P303" s="80"/>
      <c r="Q303" s="80"/>
      <c r="R303" s="28">
        <f>QuickCalc!E56</f>
        <v>0</v>
      </c>
      <c r="S303" s="28">
        <f>QuickCalc!F56</f>
        <v>0</v>
      </c>
      <c r="T303" s="28">
        <f>QuickCalc!G56</f>
        <v>0</v>
      </c>
      <c r="U303" s="28">
        <f>QuickCalc!H56</f>
        <v>760493.3714148876</v>
      </c>
      <c r="V303" s="28">
        <f>QuickCalc!I56</f>
        <v>771622.35841197695</v>
      </c>
      <c r="W303" s="28">
        <f>QuickCalc!J56</f>
        <v>776831.45331736619</v>
      </c>
      <c r="X303" s="28">
        <f>QuickCalc!K56</f>
        <v>777369.37650212168</v>
      </c>
      <c r="Y303" s="28">
        <f>QuickCalc!L56</f>
        <v>789093.58836505224</v>
      </c>
      <c r="Z303" s="28">
        <f>QuickCalc!M56</f>
        <v>789093.58836505224</v>
      </c>
      <c r="AA303" s="28">
        <f>QuickCalc!N56</f>
        <v>63980.561218788018</v>
      </c>
      <c r="AB303" s="28">
        <f>QuickCalc!O56</f>
        <v>63980.561218788018</v>
      </c>
      <c r="AC303" s="28">
        <f>QuickCalc!P56</f>
        <v>0</v>
      </c>
      <c r="AD303" s="28">
        <f>QuickCalc!Q56</f>
        <v>0</v>
      </c>
      <c r="AE303" s="28">
        <f>QuickCalc!R56</f>
        <v>0</v>
      </c>
      <c r="AF303" s="28">
        <f>QuickCalc!S56</f>
        <v>0</v>
      </c>
      <c r="AG303" s="28">
        <f>QuickCalc!T56</f>
        <v>0</v>
      </c>
      <c r="AH303" s="28">
        <f>QuickCalc!U56</f>
        <v>0</v>
      </c>
      <c r="AI303" s="28">
        <f>QuickCalc!V56</f>
        <v>0</v>
      </c>
      <c r="AJ303" s="28">
        <f>QuickCalc!W56</f>
        <v>0</v>
      </c>
      <c r="AK303" s="28">
        <f>QuickCalc!X56</f>
        <v>0</v>
      </c>
      <c r="AL303" s="28">
        <f>QuickCalc!Y56</f>
        <v>0</v>
      </c>
      <c r="AM303" s="28">
        <f>QuickCalc!Z56</f>
        <v>0</v>
      </c>
      <c r="AN303" s="28">
        <f>QuickCalc!AA56</f>
        <v>0</v>
      </c>
      <c r="AO303" s="28">
        <f>QuickCalc!AB56</f>
        <v>0</v>
      </c>
      <c r="AP303" s="28">
        <f>QuickCalc!AC56</f>
        <v>0</v>
      </c>
      <c r="AQ303" s="28">
        <f>QuickCalc!AD56</f>
        <v>0</v>
      </c>
      <c r="AR303" s="28">
        <f>QuickCalc!AE56</f>
        <v>0</v>
      </c>
      <c r="AS303" s="28">
        <f>QuickCalc!AF56</f>
        <v>0</v>
      </c>
      <c r="AT303" s="28">
        <f>QuickCalc!AG56</f>
        <v>0</v>
      </c>
      <c r="AU303" s="28">
        <f>QuickCalc!AH56</f>
        <v>0</v>
      </c>
      <c r="AV303" s="28">
        <f>QuickCalc!AI56</f>
        <v>0</v>
      </c>
      <c r="AW303" s="28">
        <f>QuickCalc!AJ56</f>
        <v>0</v>
      </c>
      <c r="AX303" s="28">
        <f>QuickCalc!AK56</f>
        <v>0</v>
      </c>
      <c r="AY303" s="28">
        <f>QuickCalc!AL56</f>
        <v>0</v>
      </c>
      <c r="AZ303" s="28">
        <f>QuickCalc!AM56</f>
        <v>0</v>
      </c>
      <c r="BA303" s="28">
        <f>QuickCalc!AN56</f>
        <v>0</v>
      </c>
      <c r="BB303" s="28">
        <f>QuickCalc!AO56</f>
        <v>0</v>
      </c>
      <c r="BC303" s="28">
        <f>QuickCalc!AP56</f>
        <v>0</v>
      </c>
      <c r="BD303" s="28">
        <f>QuickCalc!AQ56</f>
        <v>0</v>
      </c>
      <c r="BE303" s="28">
        <f>QuickCalc!AR56</f>
        <v>0</v>
      </c>
      <c r="BF303" s="28">
        <f>QuickCalc!AS56</f>
        <v>0</v>
      </c>
      <c r="BG303" s="28">
        <f>QuickCalc!AT56</f>
        <v>0</v>
      </c>
      <c r="BH303" s="28">
        <f>QuickCalc!AU56</f>
        <v>0</v>
      </c>
      <c r="BI303" s="28">
        <f>QuickCalc!AV56</f>
        <v>0</v>
      </c>
      <c r="BJ303" s="28">
        <f>QuickCalc!AW56</f>
        <v>0</v>
      </c>
      <c r="BK303" s="28">
        <f>QuickCalc!AX56</f>
        <v>0</v>
      </c>
      <c r="BL303" s="28">
        <f>QuickCalc!AY56</f>
        <v>0</v>
      </c>
      <c r="BM303" s="28">
        <f>QuickCalc!AZ56</f>
        <v>0</v>
      </c>
      <c r="BN303" s="28">
        <f>QuickCalc!BA56</f>
        <v>0</v>
      </c>
      <c r="BO303" s="28">
        <f>QuickCalc!BB56</f>
        <v>0</v>
      </c>
      <c r="BP303" s="28">
        <f>QuickCalc!BC56</f>
        <v>0</v>
      </c>
    </row>
    <row r="304" spans="4:68" hidden="1" outlineLevel="1" x14ac:dyDescent="0.2">
      <c r="D304" s="80"/>
      <c r="E304" s="80"/>
      <c r="F304" s="80"/>
      <c r="G304" s="80"/>
      <c r="H304" s="80"/>
      <c r="I304" s="80"/>
      <c r="J304" s="80"/>
      <c r="K304" s="83"/>
      <c r="L304" s="412"/>
      <c r="M304" s="413"/>
      <c r="N304" s="80"/>
      <c r="O304" s="80"/>
      <c r="P304" s="80"/>
      <c r="Q304" s="80"/>
      <c r="R304" s="80"/>
      <c r="S304" s="80"/>
      <c r="T304" s="80"/>
      <c r="U304" s="80"/>
      <c r="V304" s="80"/>
      <c r="W304" s="80"/>
      <c r="X304" s="80"/>
      <c r="Y304" s="80"/>
      <c r="Z304" s="80"/>
      <c r="AA304" s="80"/>
      <c r="AB304" s="80"/>
      <c r="AC304" s="80"/>
      <c r="AD304" s="80"/>
      <c r="AE304" s="80"/>
      <c r="AF304" s="80"/>
      <c r="AG304" s="80"/>
      <c r="AH304" s="80"/>
      <c r="AI304" s="80"/>
      <c r="AJ304" s="80"/>
      <c r="AK304" s="80"/>
      <c r="AL304" s="80"/>
      <c r="AM304" s="80"/>
      <c r="AN304" s="80"/>
      <c r="AO304" s="80"/>
      <c r="AP304" s="80"/>
      <c r="AQ304" s="80"/>
      <c r="AR304" s="80"/>
      <c r="AS304" s="80"/>
      <c r="AT304" s="80"/>
      <c r="AU304" s="80"/>
      <c r="AV304" s="80"/>
      <c r="AW304" s="80"/>
      <c r="AX304" s="80"/>
      <c r="AY304" s="80"/>
      <c r="AZ304" s="80"/>
      <c r="BA304" s="80"/>
      <c r="BB304" s="80"/>
      <c r="BC304" s="80"/>
      <c r="BD304" s="80"/>
      <c r="BE304" s="80"/>
      <c r="BF304" s="80"/>
      <c r="BG304" s="80"/>
      <c r="BH304" s="80"/>
      <c r="BI304" s="80"/>
      <c r="BJ304" s="80"/>
      <c r="BK304" s="80"/>
      <c r="BL304" s="80"/>
      <c r="BM304" s="80"/>
      <c r="BN304" s="80"/>
      <c r="BO304" s="80"/>
      <c r="BP304" s="80"/>
    </row>
  </sheetData>
  <mergeCells count="112">
    <mergeCell ref="F70:J70"/>
    <mergeCell ref="F77:J77"/>
    <mergeCell ref="F84:J84"/>
    <mergeCell ref="F91:J91"/>
    <mergeCell ref="F93:J93"/>
    <mergeCell ref="F78:J78"/>
    <mergeCell ref="F79:J79"/>
    <mergeCell ref="F80:J80"/>
    <mergeCell ref="F129:J129"/>
    <mergeCell ref="F71:J71"/>
    <mergeCell ref="F72:J72"/>
    <mergeCell ref="F85:J85"/>
    <mergeCell ref="F73:J73"/>
    <mergeCell ref="F74:J74"/>
    <mergeCell ref="F107:J107"/>
    <mergeCell ref="F94:J94"/>
    <mergeCell ref="F82:J82"/>
    <mergeCell ref="F103:J103"/>
    <mergeCell ref="F75:J75"/>
    <mergeCell ref="F89:J89"/>
    <mergeCell ref="F81:J81"/>
    <mergeCell ref="F86:J86"/>
    <mergeCell ref="F87:J87"/>
    <mergeCell ref="F92:J92"/>
    <mergeCell ref="E32:L32"/>
    <mergeCell ref="F249:J249"/>
    <mergeCell ref="F250:J250"/>
    <mergeCell ref="F256:J256"/>
    <mergeCell ref="F257:J257"/>
    <mergeCell ref="F130:J130"/>
    <mergeCell ref="F131:J131"/>
    <mergeCell ref="F132:J132"/>
    <mergeCell ref="F238:J238"/>
    <mergeCell ref="F187:J187"/>
    <mergeCell ref="F221:J221"/>
    <mergeCell ref="F222:J222"/>
    <mergeCell ref="F252:J252"/>
    <mergeCell ref="F253:J253"/>
    <mergeCell ref="F244:J244"/>
    <mergeCell ref="F245:J245"/>
    <mergeCell ref="F223:J223"/>
    <mergeCell ref="F224:J224"/>
    <mergeCell ref="F225:J225"/>
    <mergeCell ref="F186:J186"/>
    <mergeCell ref="F242:J242"/>
    <mergeCell ref="F243:J243"/>
    <mergeCell ref="F255:J255"/>
    <mergeCell ref="F251:J251"/>
    <mergeCell ref="F99:J99"/>
    <mergeCell ref="F96:J96"/>
    <mergeCell ref="F95:J95"/>
    <mergeCell ref="F105:J105"/>
    <mergeCell ref="F98:J98"/>
    <mergeCell ref="F114:J114"/>
    <mergeCell ref="F133:J133"/>
    <mergeCell ref="F286:J286"/>
    <mergeCell ref="F164:J164"/>
    <mergeCell ref="F285:J285"/>
    <mergeCell ref="F284:J284"/>
    <mergeCell ref="F258:J258"/>
    <mergeCell ref="F259:J259"/>
    <mergeCell ref="F260:J260"/>
    <mergeCell ref="F282:J282"/>
    <mergeCell ref="F283:J283"/>
    <mergeCell ref="F278:J278"/>
    <mergeCell ref="F175:J175"/>
    <mergeCell ref="F232:J232"/>
    <mergeCell ref="F230:J230"/>
    <mergeCell ref="F220:J220"/>
    <mergeCell ref="F279:J279"/>
    <mergeCell ref="F248:J248"/>
    <mergeCell ref="F235:J235"/>
    <mergeCell ref="F163:J163"/>
    <mergeCell ref="F101:J101"/>
    <mergeCell ref="F100:J100"/>
    <mergeCell ref="F236:J236"/>
    <mergeCell ref="F237:J237"/>
    <mergeCell ref="F246:J246"/>
    <mergeCell ref="F228:J228"/>
    <mergeCell ref="F229:J229"/>
    <mergeCell ref="F231:J231"/>
    <mergeCell ref="F239:J239"/>
    <mergeCell ref="F199:J199"/>
    <mergeCell ref="F200:J200"/>
    <mergeCell ref="F201:J201"/>
    <mergeCell ref="F197:J197"/>
    <mergeCell ref="F145:J145"/>
    <mergeCell ref="F147:J147"/>
    <mergeCell ref="F88:J88"/>
    <mergeCell ref="F102:J102"/>
    <mergeCell ref="F303:J303"/>
    <mergeCell ref="F298:J298"/>
    <mergeCell ref="F299:J299"/>
    <mergeCell ref="F300:J300"/>
    <mergeCell ref="F301:J301"/>
    <mergeCell ref="F302:J302"/>
    <mergeCell ref="F287:J287"/>
    <mergeCell ref="F294:J294"/>
    <mergeCell ref="F295:J295"/>
    <mergeCell ref="F296:J296"/>
    <mergeCell ref="F297:J297"/>
    <mergeCell ref="F292:J292"/>
    <mergeCell ref="F291:J291"/>
    <mergeCell ref="F290:J290"/>
    <mergeCell ref="F289:J289"/>
    <mergeCell ref="F288:J288"/>
    <mergeCell ref="F293:J293"/>
    <mergeCell ref="F280:J280"/>
    <mergeCell ref="F281:J281"/>
    <mergeCell ref="F227:J227"/>
    <mergeCell ref="F234:J234"/>
    <mergeCell ref="F241:J241"/>
  </mergeCells>
  <dataValidations count="5">
    <dataValidation type="list" allowBlank="1" showInputMessage="1" showErrorMessage="1" sqref="L186" xr:uid="{00000000-0002-0000-0400-000000000000}">
      <formula1>"Yes,No"</formula1>
    </dataValidation>
    <dataValidation type="list" allowBlank="1" showInputMessage="1" showErrorMessage="1" sqref="E28" xr:uid="{00000000-0002-0000-0400-000001000000}">
      <formula1>"Network,ICT,Property,Fleet"</formula1>
    </dataValidation>
    <dataValidation type="list" allowBlank="1" showInputMessage="1" showErrorMessage="1" sqref="E27" xr:uid="{00000000-0002-0000-0400-000002000000}">
      <formula1>"Project,Program"</formula1>
    </dataValidation>
    <dataValidation type="list" allowBlank="1" showInputMessage="1" showErrorMessage="1" sqref="E23" xr:uid="{00000000-0002-0000-0400-000003000000}">
      <formula1>"Gate 1,Gate 2,Gate 3"</formula1>
    </dataValidation>
    <dataValidation type="list" allowBlank="1" showInputMessage="1" showErrorMessage="1" sqref="R197:BP197" xr:uid="{53414D6F-0E56-4029-8AF2-C38742517D74}">
      <formula1>"1,0"</formula1>
    </dataValidation>
  </dataValidations>
  <pageMargins left="0.7" right="0.7" top="0.75" bottom="0.75" header="0.3" footer="0.3"/>
  <pageSetup paperSize="9" orientation="portrait" r:id="rId1"/>
  <headerFooter>
    <oddFooter>&amp;L&amp;1#&amp;"Calibri"&amp;8&amp;K000000For Official use only</oddFooter>
  </headerFooter>
  <customProperties>
    <customPr name="EpmWorksheetKeyString_GUID" r:id="rId2"/>
  </customProperties>
  <drawing r:id="rId3"/>
  <legacyDrawing r:id="rId4"/>
  <extLst>
    <ext xmlns:x14="http://schemas.microsoft.com/office/spreadsheetml/2009/9/main" uri="{CCE6A557-97BC-4b89-ADB6-D9C93CAAB3DF}">
      <x14:dataValidations xmlns:xm="http://schemas.microsoft.com/office/excel/2006/main" count="3">
        <x14:dataValidation type="list" showInputMessage="1" showErrorMessage="1" xr:uid="{00000000-0002-0000-0400-000004000000}">
          <x14:formula1>
            <xm:f>IF($J$49=Assumptions!$F$47,Distribution,IF($J$49=Assumptions!$F$48,Transmission,IF($J$49=Assumptions!$H$47,MajorProjects,IF($J$49=Assumptions!$H$48,Augmentation,IF($J$49=Assumptions!$H$49,Replacement,CustomerConnections)))))</xm:f>
          </x14:formula1>
          <xm:sqref>K49</xm:sqref>
        </x14:dataValidation>
        <x14:dataValidation type="list" allowBlank="1" showInputMessage="1" showErrorMessage="1" xr:uid="{00000000-0002-0000-0400-000005000000}">
          <x14:formula1>
            <xm:f>Assumptions!$D$47:$D$48</xm:f>
          </x14:formula1>
          <xm:sqref>H49</xm:sqref>
        </x14:dataValidation>
        <x14:dataValidation type="list" allowBlank="1" showInputMessage="1" showErrorMessage="1" xr:uid="{00000000-0002-0000-0400-000006000000}">
          <x14:formula1>
            <xm:f>IF($H$49=Assumptions!$F$46,Assumptions!$F$47:$F$48,Assumptions!$H$47:$H$50)</xm:f>
          </x14:formula1>
          <xm:sqref>J49</xm:sqref>
        </x14:dataValidation>
      </x14:dataValidation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tabColor theme="8"/>
    <outlinePr summaryBelow="0"/>
  </sheetPr>
  <dimension ref="A1:CE389"/>
  <sheetViews>
    <sheetView showGridLines="0" zoomScale="40" zoomScaleNormal="40" workbookViewId="0">
      <pane ySplit="15" topLeftCell="A16" activePane="bottomLeft" state="frozen"/>
      <selection pane="bottomLeft" activeCell="T312" sqref="T312"/>
    </sheetView>
  </sheetViews>
  <sheetFormatPr defaultColWidth="10.7109375" defaultRowHeight="13.8" outlineLevelRow="1" x14ac:dyDescent="0.3"/>
  <cols>
    <col min="1" max="3" width="1.7109375" style="192" customWidth="1"/>
    <col min="4" max="6" width="12.85546875" style="192" bestFit="1" customWidth="1"/>
    <col min="7" max="7" width="10.85546875" style="192" bestFit="1" customWidth="1"/>
    <col min="8" max="8" width="13.85546875" style="192" bestFit="1" customWidth="1"/>
    <col min="9" max="9" width="17.85546875" style="192" bestFit="1" customWidth="1"/>
    <col min="10" max="19" width="23.28515625" style="192" customWidth="1"/>
    <col min="20" max="20" width="43.42578125" style="192" customWidth="1"/>
    <col min="21" max="21" width="23.28515625" style="192" customWidth="1"/>
    <col min="22" max="33" width="11" style="192" customWidth="1"/>
    <col min="34" max="34" width="20.42578125" style="192" customWidth="1"/>
    <col min="35" max="38" width="11" style="192" customWidth="1"/>
    <col min="39" max="39" width="19.85546875" style="192" customWidth="1"/>
    <col min="40" max="81" width="11" style="192" customWidth="1"/>
    <col min="82" max="83" width="11.28515625" style="192" bestFit="1" customWidth="1"/>
    <col min="84" max="16384" width="10.7109375" style="192"/>
  </cols>
  <sheetData>
    <row r="1" spans="1:35" s="254" customFormat="1" ht="18" x14ac:dyDescent="0.35">
      <c r="A1" s="253" t="s">
        <v>12</v>
      </c>
      <c r="U1" s="253"/>
      <c r="W1" s="255"/>
      <c r="AD1" s="253"/>
      <c r="AF1" s="255"/>
    </row>
    <row r="2" spans="1:35" s="254" customFormat="1" ht="18" x14ac:dyDescent="0.35">
      <c r="B2" s="256" t="str">
        <f ca="1">RIGHT(CELL("filename",A1),LEN(CELL("filename",A1))-FIND("]",CELL("filename",A1)))</f>
        <v>Output_charts</v>
      </c>
      <c r="U2" s="253"/>
      <c r="W2" s="255"/>
    </row>
    <row r="3" spans="1:35" s="254" customFormat="1" ht="18" x14ac:dyDescent="0.35">
      <c r="A3" s="253"/>
      <c r="G3" s="255"/>
      <c r="U3" s="253"/>
      <c r="V3" s="255"/>
      <c r="W3" s="255"/>
    </row>
    <row r="4" spans="1:35" s="254" customFormat="1" ht="18" x14ac:dyDescent="0.35">
      <c r="A4" s="257"/>
      <c r="D4" s="258" t="s">
        <v>13</v>
      </c>
      <c r="E4" s="259" t="s">
        <v>14</v>
      </c>
      <c r="F4" s="260" t="s">
        <v>15</v>
      </c>
      <c r="G4" s="261" t="s">
        <v>16</v>
      </c>
      <c r="H4" s="262" t="s">
        <v>17</v>
      </c>
      <c r="I4" s="263" t="s">
        <v>18</v>
      </c>
      <c r="J4" s="264" t="s">
        <v>19</v>
      </c>
      <c r="K4" s="518" t="s">
        <v>20</v>
      </c>
      <c r="L4" s="518"/>
      <c r="U4" s="253"/>
      <c r="V4" s="255"/>
      <c r="W4" s="255"/>
    </row>
    <row r="5" spans="1:35" s="254" customFormat="1" ht="18" x14ac:dyDescent="0.35">
      <c r="U5" s="253"/>
      <c r="V5" s="255"/>
      <c r="W5" s="255"/>
    </row>
    <row r="6" spans="1:35" s="265" customFormat="1" ht="18" x14ac:dyDescent="0.35">
      <c r="AH6" s="266" t="s">
        <v>141</v>
      </c>
    </row>
    <row r="7" spans="1:35" s="265" customFormat="1" ht="18" x14ac:dyDescent="0.35">
      <c r="AH7" s="267" t="str">
        <f>IF(-SUM(Calcs!$L$58,Calcs!$L$39)-SUM(Calcs!$L$85,Calcs!$L$91)&gt;0,"Ok","Check")</f>
        <v>Ok</v>
      </c>
      <c r="AI7" s="265" t="s">
        <v>142</v>
      </c>
    </row>
    <row r="8" spans="1:35" s="265" customFormat="1" ht="18" x14ac:dyDescent="0.35">
      <c r="AH8" s="267" t="str">
        <f>IF(MAX(Calcs!R33:BP38,Calcs!R40:BP40,Calcs!R53:BP57,Calcs!R59:BP59)&lt;=0,"Ok","Check")</f>
        <v>Ok</v>
      </c>
      <c r="AI8" s="265" t="s">
        <v>143</v>
      </c>
    </row>
    <row r="9" spans="1:35" s="265" customFormat="1" ht="18" x14ac:dyDescent="0.35">
      <c r="AH9" s="267" t="str">
        <f>IF(AND(T56="Ok",T60="Ok",AN105="Ok",AN145="Ok",AN183="Ok",AN220="Ok",AN254="Ok",AN295="Ok"),"Ok","Check")</f>
        <v>Check</v>
      </c>
      <c r="AI9" s="265" t="s">
        <v>144</v>
      </c>
    </row>
    <row r="10" spans="1:35" s="265" customFormat="1" ht="18" x14ac:dyDescent="0.35"/>
    <row r="11" spans="1:35" s="265" customFormat="1" ht="18" x14ac:dyDescent="0.35"/>
    <row r="12" spans="1:35" s="265" customFormat="1" ht="18" x14ac:dyDescent="0.35"/>
    <row r="13" spans="1:35" s="265" customFormat="1" ht="18" x14ac:dyDescent="0.35">
      <c r="E13" s="268" t="s">
        <v>64</v>
      </c>
      <c r="F13" s="268" t="s">
        <v>63</v>
      </c>
      <c r="H13" s="269" t="s">
        <v>145</v>
      </c>
      <c r="I13" s="270" t="s">
        <v>146</v>
      </c>
      <c r="P13" s="268" t="s">
        <v>147</v>
      </c>
      <c r="Q13" s="268" t="s">
        <v>93</v>
      </c>
      <c r="U13" s="268" t="s">
        <v>147</v>
      </c>
    </row>
    <row r="14" spans="1:35" s="265" customFormat="1" ht="18" x14ac:dyDescent="0.35">
      <c r="D14" s="271" t="s">
        <v>148</v>
      </c>
      <c r="E14" s="272" t="s">
        <v>149</v>
      </c>
      <c r="F14" s="272" t="s">
        <v>149</v>
      </c>
      <c r="H14" s="272" t="b">
        <v>0</v>
      </c>
      <c r="I14" s="385" t="b">
        <v>0</v>
      </c>
      <c r="O14" s="271" t="s">
        <v>150</v>
      </c>
      <c r="P14" s="272" t="s">
        <v>151</v>
      </c>
      <c r="Q14" s="262" t="str">
        <f>IF($P$14="On",Input!$L$55,"End of model")</f>
        <v>End of model</v>
      </c>
      <c r="R14" s="273" t="str">
        <f>IF(P14="On","If this is 0, there is no year input in the Input sheet","")</f>
        <v/>
      </c>
      <c r="T14" s="389" t="s">
        <v>152</v>
      </c>
      <c r="U14" s="272" t="s">
        <v>153</v>
      </c>
    </row>
    <row r="15" spans="1:35" s="265" customFormat="1" ht="18" x14ac:dyDescent="0.35">
      <c r="D15" s="271" t="s">
        <v>154</v>
      </c>
      <c r="E15" s="504">
        <f>Assumptions!$J$33</f>
        <v>3.4399999999999993E-2</v>
      </c>
      <c r="F15" s="504">
        <f>Assumptions!$J$39</f>
        <v>3.4399999999999993E-2</v>
      </c>
    </row>
    <row r="16" spans="1:35" s="265" customFormat="1" ht="18" x14ac:dyDescent="0.35"/>
    <row r="17" spans="2:60" s="274" customFormat="1" ht="18" x14ac:dyDescent="0.35">
      <c r="B17" s="275" t="s">
        <v>155</v>
      </c>
    </row>
    <row r="18" spans="2:60" s="265" customFormat="1" ht="18" x14ac:dyDescent="0.35"/>
    <row r="19" spans="2:60" s="265" customFormat="1" ht="18" x14ac:dyDescent="0.35">
      <c r="D19" s="276" t="s">
        <v>57</v>
      </c>
      <c r="E19" s="276" t="s">
        <v>57</v>
      </c>
      <c r="F19" s="276" t="s">
        <v>57</v>
      </c>
      <c r="H19" s="276" t="s">
        <v>156</v>
      </c>
      <c r="I19" s="276" t="s">
        <v>156</v>
      </c>
      <c r="J19" s="277" t="s">
        <v>58</v>
      </c>
      <c r="K19" s="278" t="s">
        <v>58</v>
      </c>
      <c r="L19" s="279" t="s">
        <v>59</v>
      </c>
      <c r="M19" s="276" t="s">
        <v>59</v>
      </c>
      <c r="N19" s="278" t="s">
        <v>59</v>
      </c>
      <c r="O19" s="279" t="s">
        <v>60</v>
      </c>
      <c r="P19" s="276" t="s">
        <v>60</v>
      </c>
      <c r="Q19" s="276" t="s">
        <v>60</v>
      </c>
      <c r="R19" s="277" t="s">
        <v>157</v>
      </c>
      <c r="S19" s="276" t="s">
        <v>157</v>
      </c>
      <c r="T19" s="276" t="s">
        <v>157</v>
      </c>
      <c r="U19" s="276" t="s">
        <v>157</v>
      </c>
    </row>
    <row r="20" spans="2:60" s="265" customFormat="1" ht="18" x14ac:dyDescent="0.35">
      <c r="D20" s="268" t="s">
        <v>62</v>
      </c>
      <c r="E20" s="268" t="s">
        <v>63</v>
      </c>
      <c r="F20" s="268" t="s">
        <v>64</v>
      </c>
      <c r="H20" s="268" t="s">
        <v>65</v>
      </c>
      <c r="I20" s="268" t="s">
        <v>158</v>
      </c>
      <c r="J20" s="280" t="s">
        <v>65</v>
      </c>
      <c r="K20" s="281" t="s">
        <v>158</v>
      </c>
      <c r="L20" s="282" t="s">
        <v>66</v>
      </c>
      <c r="M20" s="268" t="s">
        <v>159</v>
      </c>
      <c r="N20" s="281" t="s">
        <v>103</v>
      </c>
      <c r="O20" s="282" t="s">
        <v>66</v>
      </c>
      <c r="P20" s="268" t="s">
        <v>159</v>
      </c>
      <c r="Q20" s="281" t="s">
        <v>103</v>
      </c>
      <c r="R20" s="280" t="s">
        <v>66</v>
      </c>
      <c r="S20" s="268" t="s">
        <v>160</v>
      </c>
      <c r="T20" s="268" t="s">
        <v>161</v>
      </c>
      <c r="U20" s="268" t="s">
        <v>162</v>
      </c>
    </row>
    <row r="21" spans="2:60" s="265" customFormat="1" ht="18" x14ac:dyDescent="0.35">
      <c r="J21" s="283"/>
      <c r="K21" s="284"/>
      <c r="L21" s="285"/>
      <c r="N21" s="284"/>
      <c r="O21" s="285"/>
      <c r="R21" s="283"/>
    </row>
    <row r="22" spans="2:60" s="265" customFormat="1" ht="18" x14ac:dyDescent="0.35">
      <c r="D22" s="286" t="e">
        <f>Calcs!$E$15</f>
        <v>#NUM!</v>
      </c>
      <c r="E22" s="286">
        <f>Calcs!$F$15</f>
        <v>-2.9924114421147063E-3</v>
      </c>
      <c r="F22" s="287">
        <f>Calcs!$G$15</f>
        <v>4.2715182975825217E-2</v>
      </c>
      <c r="H22" s="288">
        <f>$J$22/-$R$22</f>
        <v>2.2519893767985679</v>
      </c>
      <c r="I22" s="288">
        <f>$K$22/-$R$22</f>
        <v>-0.57617122411327448</v>
      </c>
      <c r="J22" s="289">
        <f>$L$22+$O$22</f>
        <v>26479600.106396291</v>
      </c>
      <c r="K22" s="290">
        <f>$N$22+$Q$22</f>
        <v>-6774802.6542742476</v>
      </c>
      <c r="L22" s="291">
        <f>Calcs!$K$448</f>
        <v>24642513.573929027</v>
      </c>
      <c r="M22" s="292">
        <f>SUM(Calcs!$K$421:$K$446)</f>
        <v>33254402.760670539</v>
      </c>
      <c r="N22" s="293">
        <f>$L$22-$M$22</f>
        <v>-8611889.1867415123</v>
      </c>
      <c r="O22" s="291">
        <f>Calcs!$K$369</f>
        <v>1837086.5324672651</v>
      </c>
      <c r="P22" s="292">
        <f>SUM(Calcs!$K$342:$K$367)</f>
        <v>0</v>
      </c>
      <c r="Q22" s="293">
        <f>$O$22-$P$22</f>
        <v>1837086.5324672651</v>
      </c>
      <c r="R22" s="289">
        <f>$S$22+$T$22+$U$22</f>
        <v>-11758314.838962402</v>
      </c>
      <c r="S22" s="292">
        <f>Calcs!$K$304</f>
        <v>-12938751.245002702</v>
      </c>
      <c r="T22" s="292">
        <f>Calcs!$K$309</f>
        <v>0</v>
      </c>
      <c r="U22" s="292">
        <f>Calcs!$K$331</f>
        <v>1180436.4060402988</v>
      </c>
    </row>
    <row r="23" spans="2:60" s="265" customFormat="1" ht="18" x14ac:dyDescent="0.35"/>
    <row r="24" spans="2:60" s="307" customFormat="1" ht="18" collapsed="1" x14ac:dyDescent="0.35">
      <c r="C24" s="306" t="s">
        <v>163</v>
      </c>
    </row>
    <row r="25" spans="2:60" s="265" customFormat="1" ht="18" hidden="1" outlineLevel="1" x14ac:dyDescent="0.35"/>
    <row r="26" spans="2:60" s="265" customFormat="1" ht="18" hidden="1" outlineLevel="1" x14ac:dyDescent="0.35"/>
    <row r="27" spans="2:60" s="265" customFormat="1" ht="18" hidden="1" outlineLevel="1" x14ac:dyDescent="0.35"/>
    <row r="28" spans="2:60" s="265" customFormat="1" ht="18" hidden="1" outlineLevel="1" x14ac:dyDescent="0.35"/>
    <row r="29" spans="2:60" s="265" customFormat="1" ht="18" hidden="1" outlineLevel="1" x14ac:dyDescent="0.35">
      <c r="D29" s="294" t="s">
        <v>164</v>
      </c>
      <c r="E29" s="295"/>
      <c r="F29" s="295"/>
      <c r="G29" s="295"/>
      <c r="H29" s="295"/>
      <c r="I29" s="295"/>
      <c r="J29" s="296" t="str">
        <f>"FY"&amp;RIGHT(Assumptions!$L$19+J377,2)</f>
        <v>FY22</v>
      </c>
      <c r="K29" s="368" t="str">
        <f>"FY"&amp;RIGHT(Assumptions!$L$19+K377,2)</f>
        <v>FY23</v>
      </c>
      <c r="L29" s="368" t="str">
        <f>"FY"&amp;RIGHT(Assumptions!$L$19+L377,2)</f>
        <v>FY24</v>
      </c>
      <c r="M29" s="368" t="str">
        <f>"FY"&amp;RIGHT(Assumptions!$L$19+M377,2)</f>
        <v>FY25</v>
      </c>
      <c r="N29" s="368" t="str">
        <f>"FY"&amp;RIGHT(Assumptions!$L$19+N377,2)</f>
        <v>FY26</v>
      </c>
      <c r="O29" s="368" t="str">
        <f>"FY"&amp;RIGHT(Assumptions!$L$19+O377,2)</f>
        <v>FY27</v>
      </c>
      <c r="P29" s="368" t="str">
        <f>"FY"&amp;RIGHT(Assumptions!$L$19+P377,2)</f>
        <v>FY28</v>
      </c>
      <c r="Q29" s="368" t="str">
        <f>"FY"&amp;RIGHT(Assumptions!$L$19+Q377,2)</f>
        <v>FY29</v>
      </c>
      <c r="R29" s="368" t="str">
        <f>"FY"&amp;RIGHT(Assumptions!$L$19+R377,2)</f>
        <v>FY30</v>
      </c>
      <c r="S29" s="368" t="str">
        <f>"FY"&amp;RIGHT(Assumptions!$L$19+S377,2)</f>
        <v>FY31</v>
      </c>
      <c r="T29" s="368" t="str">
        <f>"FY"&amp;RIGHT(Assumptions!$L$19+T377,2)</f>
        <v>FY32</v>
      </c>
      <c r="U29" s="368" t="str">
        <f>"FY"&amp;RIGHT(Assumptions!$L$19+U377,2)</f>
        <v>FY33</v>
      </c>
      <c r="V29" s="368" t="str">
        <f>"FY"&amp;RIGHT(Assumptions!$L$19+V377,2)</f>
        <v>FY34</v>
      </c>
      <c r="W29" s="368" t="str">
        <f>"FY"&amp;RIGHT(Assumptions!$L$19+W377,2)</f>
        <v>FY35</v>
      </c>
      <c r="X29" s="368" t="str">
        <f>"FY"&amp;RIGHT(Assumptions!$L$19+X377,2)</f>
        <v>FY36</v>
      </c>
      <c r="Y29" s="368" t="str">
        <f>"FY"&amp;RIGHT(Assumptions!$L$19+Y377,2)</f>
        <v>FY37</v>
      </c>
      <c r="Z29" s="368" t="str">
        <f>"FY"&amp;RIGHT(Assumptions!$L$19+Z377,2)</f>
        <v>FY38</v>
      </c>
      <c r="AA29" s="368" t="str">
        <f>"FY"&amp;RIGHT(Assumptions!$L$19+AA377,2)</f>
        <v>FY39</v>
      </c>
      <c r="AB29" s="368" t="str">
        <f>"FY"&amp;RIGHT(Assumptions!$L$19+AB377,2)</f>
        <v>FY40</v>
      </c>
      <c r="AC29" s="368" t="str">
        <f>"FY"&amp;RIGHT(Assumptions!$L$19+AC377,2)</f>
        <v>FY41</v>
      </c>
      <c r="AD29" s="368" t="str">
        <f>"FY"&amp;RIGHT(Assumptions!$L$19+AD377,2)</f>
        <v>FY42</v>
      </c>
      <c r="AE29" s="368" t="str">
        <f>"FY"&amp;RIGHT(Assumptions!$L$19+AE377,2)</f>
        <v>FY43</v>
      </c>
      <c r="AF29" s="368" t="str">
        <f>"FY"&amp;RIGHT(Assumptions!$L$19+AF377,2)</f>
        <v>FY44</v>
      </c>
      <c r="AG29" s="368" t="str">
        <f>"FY"&amp;RIGHT(Assumptions!$L$19+AG377,2)</f>
        <v>FY45</v>
      </c>
      <c r="AH29" s="368" t="str">
        <f>"FY"&amp;RIGHT(Assumptions!$L$19+AH377,2)</f>
        <v>FY46</v>
      </c>
      <c r="AI29" s="368" t="str">
        <f>"FY"&amp;RIGHT(Assumptions!$L$19+AI377,2)</f>
        <v>FY47</v>
      </c>
      <c r="AJ29" s="368" t="str">
        <f>"FY"&amp;RIGHT(Assumptions!$L$19+AJ377,2)</f>
        <v>FY48</v>
      </c>
      <c r="AK29" s="368" t="str">
        <f>"FY"&amp;RIGHT(Assumptions!$L$19+AK377,2)</f>
        <v>FY49</v>
      </c>
      <c r="AL29" s="368" t="str">
        <f>"FY"&amp;RIGHT(Assumptions!$L$19+AL377,2)</f>
        <v>FY50</v>
      </c>
      <c r="AM29" s="368" t="str">
        <f>"FY"&amp;RIGHT(Assumptions!$L$19+AM377,2)</f>
        <v>FY51</v>
      </c>
      <c r="AN29" s="368" t="str">
        <f>"FY"&amp;RIGHT(Assumptions!$L$19+AN377,2)</f>
        <v>FY52</v>
      </c>
      <c r="AO29" s="368" t="str">
        <f>"FY"&amp;RIGHT(Assumptions!$L$19+AO377,2)</f>
        <v>FY53</v>
      </c>
      <c r="AP29" s="368" t="str">
        <f>"FY"&amp;RIGHT(Assumptions!$L$19+AP377,2)</f>
        <v>FY54</v>
      </c>
      <c r="AQ29" s="368" t="str">
        <f>"FY"&amp;RIGHT(Assumptions!$L$19+AQ377,2)</f>
        <v>FY55</v>
      </c>
      <c r="AR29" s="368" t="str">
        <f>"FY"&amp;RIGHT(Assumptions!$L$19+AR377,2)</f>
        <v>FY56</v>
      </c>
      <c r="AS29" s="368" t="str">
        <f>"FY"&amp;RIGHT(Assumptions!$L$19+AS377,2)</f>
        <v>FY57</v>
      </c>
      <c r="AT29" s="368" t="str">
        <f>"FY"&amp;RIGHT(Assumptions!$L$19+AT377,2)</f>
        <v>FY58</v>
      </c>
      <c r="AU29" s="368" t="str">
        <f>"FY"&amp;RIGHT(Assumptions!$L$19+AU377,2)</f>
        <v>FY59</v>
      </c>
      <c r="AV29" s="368" t="str">
        <f>"FY"&amp;RIGHT(Assumptions!$L$19+AV377,2)</f>
        <v>FY60</v>
      </c>
      <c r="AW29" s="368" t="str">
        <f>"FY"&amp;RIGHT(Assumptions!$L$19+AW377,2)</f>
        <v>FY61</v>
      </c>
      <c r="AX29" s="368" t="str">
        <f>"FY"&amp;RIGHT(Assumptions!$L$19+AX377,2)</f>
        <v>FY62</v>
      </c>
      <c r="AY29" s="368" t="str">
        <f>"FY"&amp;RIGHT(Assumptions!$L$19+AY377,2)</f>
        <v>FY63</v>
      </c>
      <c r="AZ29" s="368" t="str">
        <f>"FY"&amp;RIGHT(Assumptions!$L$19+AZ377,2)</f>
        <v>FY64</v>
      </c>
      <c r="BA29" s="368" t="str">
        <f>"FY"&amp;RIGHT(Assumptions!$L$19+BA377,2)</f>
        <v>FY65</v>
      </c>
      <c r="BB29" s="368" t="str">
        <f>"FY"&amp;RIGHT(Assumptions!$L$19+BB377,2)</f>
        <v>FY66</v>
      </c>
      <c r="BC29" s="368" t="str">
        <f>"FY"&amp;RIGHT(Assumptions!$L$19+BC377,2)</f>
        <v>FY67</v>
      </c>
      <c r="BD29" s="368" t="str">
        <f>"FY"&amp;RIGHT(Assumptions!$L$19+BD377,2)</f>
        <v>FY68</v>
      </c>
      <c r="BE29" s="368" t="str">
        <f>"FY"&amp;RIGHT(Assumptions!$L$19+BE377,2)</f>
        <v>FY69</v>
      </c>
      <c r="BF29" s="368" t="str">
        <f>"FY"&amp;RIGHT(Assumptions!$L$19+BF377,2)</f>
        <v>FY70</v>
      </c>
      <c r="BG29" s="368" t="str">
        <f>"FY"&amp;RIGHT(Assumptions!$L$19+BG377,2)</f>
        <v>FY71</v>
      </c>
      <c r="BH29" s="368" t="str">
        <f>"FY"&amp;RIGHT(Assumptions!$L$19+BH377,2)</f>
        <v>FY72</v>
      </c>
    </row>
    <row r="30" spans="2:60" s="265" customFormat="1" ht="18" hidden="1" outlineLevel="1" x14ac:dyDescent="0.35">
      <c r="D30" s="266"/>
      <c r="J30" s="279"/>
      <c r="K30" s="276"/>
      <c r="L30" s="276"/>
      <c r="M30" s="276"/>
      <c r="N30" s="276"/>
      <c r="O30" s="276"/>
      <c r="P30" s="276"/>
      <c r="Q30" s="276"/>
      <c r="R30" s="276"/>
      <c r="S30" s="276"/>
      <c r="T30" s="276"/>
      <c r="U30" s="276"/>
      <c r="V30" s="276"/>
      <c r="W30" s="276"/>
      <c r="X30" s="276"/>
      <c r="Y30" s="276"/>
      <c r="Z30" s="276"/>
      <c r="AA30" s="276"/>
      <c r="AB30" s="276"/>
      <c r="AC30" s="276"/>
      <c r="AD30" s="276"/>
      <c r="AE30" s="276"/>
      <c r="AF30" s="276"/>
      <c r="AG30" s="276"/>
      <c r="AH30" s="276"/>
      <c r="AI30" s="276"/>
      <c r="AJ30" s="276"/>
      <c r="AK30" s="276"/>
      <c r="AL30" s="276"/>
      <c r="AM30" s="276"/>
      <c r="AN30" s="276"/>
      <c r="AO30" s="276"/>
      <c r="AP30" s="276"/>
      <c r="AQ30" s="276"/>
      <c r="AR30" s="276"/>
      <c r="AS30" s="276"/>
      <c r="AT30" s="276"/>
      <c r="AU30" s="276"/>
      <c r="AV30" s="276"/>
      <c r="AW30" s="276"/>
      <c r="AX30" s="276"/>
      <c r="AY30" s="276"/>
      <c r="AZ30" s="276"/>
      <c r="BA30" s="276"/>
      <c r="BB30" s="276"/>
      <c r="BC30" s="276"/>
      <c r="BD30" s="276"/>
      <c r="BE30" s="276"/>
      <c r="BF30" s="276"/>
      <c r="BG30" s="276"/>
      <c r="BH30" s="276"/>
    </row>
    <row r="31" spans="2:60" s="265" customFormat="1" ht="18" hidden="1" outlineLevel="1" x14ac:dyDescent="0.35">
      <c r="D31" s="265" t="s">
        <v>165</v>
      </c>
      <c r="I31" s="297">
        <f>SUM(J31:BH31)</f>
        <v>-15330439</v>
      </c>
      <c r="J31" s="298">
        <f>SUM(J32:J36)</f>
        <v>0</v>
      </c>
      <c r="K31" s="297">
        <f t="shared" ref="K31:BG31" si="0">SUM(K32:K36)</f>
        <v>0</v>
      </c>
      <c r="L31" s="297">
        <f t="shared" si="0"/>
        <v>0</v>
      </c>
      <c r="M31" s="297">
        <f t="shared" si="0"/>
        <v>-2714370</v>
      </c>
      <c r="N31" s="297">
        <f t="shared" si="0"/>
        <v>-3261225</v>
      </c>
      <c r="O31" s="297">
        <f t="shared" si="0"/>
        <v>-3274476</v>
      </c>
      <c r="P31" s="297">
        <f t="shared" si="0"/>
        <v>-2730746</v>
      </c>
      <c r="Q31" s="297">
        <f t="shared" si="0"/>
        <v>-3349622</v>
      </c>
      <c r="R31" s="297">
        <f t="shared" si="0"/>
        <v>0</v>
      </c>
      <c r="S31" s="297">
        <f t="shared" si="0"/>
        <v>0</v>
      </c>
      <c r="T31" s="297">
        <f t="shared" si="0"/>
        <v>0</v>
      </c>
      <c r="U31" s="297">
        <f t="shared" si="0"/>
        <v>0</v>
      </c>
      <c r="V31" s="297">
        <f t="shared" si="0"/>
        <v>0</v>
      </c>
      <c r="W31" s="297">
        <f t="shared" si="0"/>
        <v>0</v>
      </c>
      <c r="X31" s="297">
        <f t="shared" si="0"/>
        <v>0</v>
      </c>
      <c r="Y31" s="297">
        <f t="shared" si="0"/>
        <v>0</v>
      </c>
      <c r="Z31" s="297">
        <f t="shared" si="0"/>
        <v>0</v>
      </c>
      <c r="AA31" s="297">
        <f t="shared" si="0"/>
        <v>0</v>
      </c>
      <c r="AB31" s="297">
        <f t="shared" si="0"/>
        <v>0</v>
      </c>
      <c r="AC31" s="297">
        <f t="shared" si="0"/>
        <v>0</v>
      </c>
      <c r="AD31" s="297">
        <f t="shared" si="0"/>
        <v>0</v>
      </c>
      <c r="AE31" s="297">
        <f t="shared" si="0"/>
        <v>0</v>
      </c>
      <c r="AF31" s="297">
        <f t="shared" si="0"/>
        <v>0</v>
      </c>
      <c r="AG31" s="297">
        <f t="shared" si="0"/>
        <v>0</v>
      </c>
      <c r="AH31" s="297">
        <f t="shared" si="0"/>
        <v>0</v>
      </c>
      <c r="AI31" s="297">
        <f t="shared" si="0"/>
        <v>0</v>
      </c>
      <c r="AJ31" s="297">
        <f t="shared" si="0"/>
        <v>0</v>
      </c>
      <c r="AK31" s="297">
        <f t="shared" si="0"/>
        <v>0</v>
      </c>
      <c r="AL31" s="297">
        <f t="shared" si="0"/>
        <v>0</v>
      </c>
      <c r="AM31" s="297">
        <f t="shared" si="0"/>
        <v>0</v>
      </c>
      <c r="AN31" s="297">
        <f t="shared" si="0"/>
        <v>0</v>
      </c>
      <c r="AO31" s="297">
        <f t="shared" si="0"/>
        <v>0</v>
      </c>
      <c r="AP31" s="297">
        <f t="shared" si="0"/>
        <v>0</v>
      </c>
      <c r="AQ31" s="297">
        <f t="shared" si="0"/>
        <v>0</v>
      </c>
      <c r="AR31" s="297">
        <f t="shared" si="0"/>
        <v>0</v>
      </c>
      <c r="AS31" s="297">
        <f t="shared" si="0"/>
        <v>0</v>
      </c>
      <c r="AT31" s="297">
        <f t="shared" si="0"/>
        <v>0</v>
      </c>
      <c r="AU31" s="297">
        <f t="shared" si="0"/>
        <v>0</v>
      </c>
      <c r="AV31" s="297">
        <f t="shared" si="0"/>
        <v>0</v>
      </c>
      <c r="AW31" s="297">
        <f t="shared" si="0"/>
        <v>0</v>
      </c>
      <c r="AX31" s="297">
        <f t="shared" si="0"/>
        <v>0</v>
      </c>
      <c r="AY31" s="297">
        <f t="shared" si="0"/>
        <v>0</v>
      </c>
      <c r="AZ31" s="297">
        <f t="shared" si="0"/>
        <v>0</v>
      </c>
      <c r="BA31" s="297">
        <f t="shared" si="0"/>
        <v>0</v>
      </c>
      <c r="BB31" s="297">
        <f t="shared" si="0"/>
        <v>0</v>
      </c>
      <c r="BC31" s="297">
        <f t="shared" si="0"/>
        <v>0</v>
      </c>
      <c r="BD31" s="297">
        <f t="shared" si="0"/>
        <v>0</v>
      </c>
      <c r="BE31" s="297">
        <f t="shared" si="0"/>
        <v>0</v>
      </c>
      <c r="BF31" s="297">
        <f t="shared" si="0"/>
        <v>0</v>
      </c>
      <c r="BG31" s="297">
        <f t="shared" si="0"/>
        <v>0</v>
      </c>
      <c r="BH31" s="297">
        <f>SUM(BH32:BH36)</f>
        <v>0</v>
      </c>
    </row>
    <row r="32" spans="2:60" s="265" customFormat="1" ht="18" hidden="1" outlineLevel="1" x14ac:dyDescent="0.35">
      <c r="D32" s="299" t="s">
        <v>99</v>
      </c>
      <c r="I32" s="297">
        <f t="shared" ref="I32:I36" si="1">SUM(J32:BH32)</f>
        <v>0</v>
      </c>
      <c r="J32" s="298">
        <f>SUMIF(Input!$D$67:$D$108,Output_charts!$D32,Input!R$67:R$108)</f>
        <v>0</v>
      </c>
      <c r="K32" s="297">
        <f>SUMIF(Input!$D$67:$D$108,Output_charts!$D32,Input!S$67:S$108)</f>
        <v>0</v>
      </c>
      <c r="L32" s="297">
        <f>SUMIF(Input!$D$67:$D$108,Output_charts!$D32,Input!T$67:T$108)</f>
        <v>0</v>
      </c>
      <c r="M32" s="297">
        <f>SUMIF(Input!$D$67:$D$108,Output_charts!$D32,Input!U$67:U$108)</f>
        <v>0</v>
      </c>
      <c r="N32" s="297">
        <f>SUMIF(Input!$D$67:$D$108,Output_charts!$D32,Input!V$67:V$108)</f>
        <v>0</v>
      </c>
      <c r="O32" s="297">
        <f>SUMIF(Input!$D$67:$D$108,Output_charts!$D32,Input!W$67:W$108)</f>
        <v>0</v>
      </c>
      <c r="P32" s="297">
        <f>SUMIF(Input!$D$67:$D$108,Output_charts!$D32,Input!X$67:X$108)</f>
        <v>0</v>
      </c>
      <c r="Q32" s="297">
        <f>SUMIF(Input!$D$67:$D$108,Output_charts!$D32,Input!Y$67:Y$108)</f>
        <v>0</v>
      </c>
      <c r="R32" s="297">
        <f>SUMIF(Input!$D$67:$D$108,Output_charts!$D32,Input!Z$67:Z$108)</f>
        <v>0</v>
      </c>
      <c r="S32" s="297">
        <f>SUMIF(Input!$D$67:$D$108,Output_charts!$D32,Input!AA$67:AA$108)</f>
        <v>0</v>
      </c>
      <c r="T32" s="297">
        <f>SUMIF(Input!$D$67:$D$108,Output_charts!$D32,Input!AB$67:AB$108)</f>
        <v>0</v>
      </c>
      <c r="U32" s="297">
        <f>SUMIF(Input!$D$67:$D$108,Output_charts!$D32,Input!AC$67:AC$108)</f>
        <v>0</v>
      </c>
      <c r="V32" s="297">
        <f>SUMIF(Input!$D$67:$D$108,Output_charts!$D32,Input!AD$67:AD$108)</f>
        <v>0</v>
      </c>
      <c r="W32" s="297">
        <f>SUMIF(Input!$D$67:$D$108,Output_charts!$D32,Input!AE$67:AE$108)</f>
        <v>0</v>
      </c>
      <c r="X32" s="297">
        <f>SUMIF(Input!$D$67:$D$108,Output_charts!$D32,Input!AF$67:AF$108)</f>
        <v>0</v>
      </c>
      <c r="Y32" s="297">
        <f>SUMIF(Input!$D$67:$D$108,Output_charts!$D32,Input!AG$67:AG$108)</f>
        <v>0</v>
      </c>
      <c r="Z32" s="297">
        <f>SUMIF(Input!$D$67:$D$108,Output_charts!$D32,Input!AH$67:AH$108)</f>
        <v>0</v>
      </c>
      <c r="AA32" s="297">
        <f>SUMIF(Input!$D$67:$D$108,Output_charts!$D32,Input!AI$67:AI$108)</f>
        <v>0</v>
      </c>
      <c r="AB32" s="297">
        <f>SUMIF(Input!$D$67:$D$108,Output_charts!$D32,Input!AJ$67:AJ$108)</f>
        <v>0</v>
      </c>
      <c r="AC32" s="297">
        <f>SUMIF(Input!$D$67:$D$108,Output_charts!$D32,Input!AK$67:AK$108)</f>
        <v>0</v>
      </c>
      <c r="AD32" s="297">
        <f>SUMIF(Input!$D$67:$D$108,Output_charts!$D32,Input!AL$67:AL$108)</f>
        <v>0</v>
      </c>
      <c r="AE32" s="297">
        <f>SUMIF(Input!$D$67:$D$108,Output_charts!$D32,Input!AM$67:AM$108)</f>
        <v>0</v>
      </c>
      <c r="AF32" s="297">
        <f>SUMIF(Input!$D$67:$D$108,Output_charts!$D32,Input!AN$67:AN$108)</f>
        <v>0</v>
      </c>
      <c r="AG32" s="297">
        <f>SUMIF(Input!$D$67:$D$108,Output_charts!$D32,Input!AO$67:AO$108)</f>
        <v>0</v>
      </c>
      <c r="AH32" s="297">
        <f>SUMIF(Input!$D$67:$D$108,Output_charts!$D32,Input!AP$67:AP$108)</f>
        <v>0</v>
      </c>
      <c r="AI32" s="297">
        <f>SUMIF(Input!$D$67:$D$108,Output_charts!$D32,Input!AQ$67:AQ$108)</f>
        <v>0</v>
      </c>
      <c r="AJ32" s="297">
        <f>SUMIF(Input!$D$67:$D$108,Output_charts!$D32,Input!AR$67:AR$108)</f>
        <v>0</v>
      </c>
      <c r="AK32" s="297">
        <f>SUMIF(Input!$D$67:$D$108,Output_charts!$D32,Input!AS$67:AS$108)</f>
        <v>0</v>
      </c>
      <c r="AL32" s="297">
        <f>SUMIF(Input!$D$67:$D$108,Output_charts!$D32,Input!AT$67:AT$108)</f>
        <v>0</v>
      </c>
      <c r="AM32" s="297">
        <f>SUMIF(Input!$D$67:$D$108,Output_charts!$D32,Input!AU$67:AU$108)</f>
        <v>0</v>
      </c>
      <c r="AN32" s="297">
        <f>SUMIF(Input!$D$67:$D$108,Output_charts!$D32,Input!AV$67:AV$108)</f>
        <v>0</v>
      </c>
      <c r="AO32" s="297">
        <f>SUMIF(Input!$D$67:$D$108,Output_charts!$D32,Input!AW$67:AW$108)</f>
        <v>0</v>
      </c>
      <c r="AP32" s="297">
        <f>SUMIF(Input!$D$67:$D$108,Output_charts!$D32,Input!AX$67:AX$108)</f>
        <v>0</v>
      </c>
      <c r="AQ32" s="297">
        <f>SUMIF(Input!$D$67:$D$108,Output_charts!$D32,Input!AY$67:AY$108)</f>
        <v>0</v>
      </c>
      <c r="AR32" s="297">
        <f>SUMIF(Input!$D$67:$D$108,Output_charts!$D32,Input!AZ$67:AZ$108)</f>
        <v>0</v>
      </c>
      <c r="AS32" s="297">
        <f>SUMIF(Input!$D$67:$D$108,Output_charts!$D32,Input!BA$67:BA$108)</f>
        <v>0</v>
      </c>
      <c r="AT32" s="297">
        <f>SUMIF(Input!$D$67:$D$108,Output_charts!$D32,Input!BB$67:BB$108)</f>
        <v>0</v>
      </c>
      <c r="AU32" s="297">
        <f>SUMIF(Input!$D$67:$D$108,Output_charts!$D32,Input!BC$67:BC$108)</f>
        <v>0</v>
      </c>
      <c r="AV32" s="297">
        <f>SUMIF(Input!$D$67:$D$108,Output_charts!$D32,Input!BD$67:BD$108)</f>
        <v>0</v>
      </c>
      <c r="AW32" s="297">
        <f>SUMIF(Input!$D$67:$D$108,Output_charts!$D32,Input!BE$67:BE$108)</f>
        <v>0</v>
      </c>
      <c r="AX32" s="297">
        <f>SUMIF(Input!$D$67:$D$108,Output_charts!$D32,Input!BF$67:BF$108)</f>
        <v>0</v>
      </c>
      <c r="AY32" s="297">
        <f>SUMIF(Input!$D$67:$D$108,Output_charts!$D32,Input!BG$67:BG$108)</f>
        <v>0</v>
      </c>
      <c r="AZ32" s="297">
        <f>SUMIF(Input!$D$67:$D$108,Output_charts!$D32,Input!BH$67:BH$108)</f>
        <v>0</v>
      </c>
      <c r="BA32" s="297">
        <f>SUMIF(Input!$D$67:$D$108,Output_charts!$D32,Input!BI$67:BI$108)</f>
        <v>0</v>
      </c>
      <c r="BB32" s="297">
        <f>SUMIF(Input!$D$67:$D$108,Output_charts!$D32,Input!BJ$67:BJ$108)</f>
        <v>0</v>
      </c>
      <c r="BC32" s="297">
        <f>SUMIF(Input!$D$67:$D$108,Output_charts!$D32,Input!BK$67:BK$108)</f>
        <v>0</v>
      </c>
      <c r="BD32" s="297">
        <f>SUMIF(Input!$D$67:$D$108,Output_charts!$D32,Input!BL$67:BL$108)</f>
        <v>0</v>
      </c>
      <c r="BE32" s="297">
        <f>SUMIF(Input!$D$67:$D$108,Output_charts!$D32,Input!BM$67:BM$108)</f>
        <v>0</v>
      </c>
      <c r="BF32" s="297">
        <f>SUMIF(Input!$D$67:$D$108,Output_charts!$D32,Input!BN$67:BN$108)</f>
        <v>0</v>
      </c>
      <c r="BG32" s="297">
        <f>SUMIF(Input!$D$67:$D$108,Output_charts!$D32,Input!BO$67:BO$108)</f>
        <v>0</v>
      </c>
      <c r="BH32" s="297">
        <f>SUMIF(Input!$D$67:$D$108,Output_charts!$D32,Input!BP$67:BP$108)</f>
        <v>0</v>
      </c>
    </row>
    <row r="33" spans="4:60" s="265" customFormat="1" ht="18" hidden="1" outlineLevel="1" x14ac:dyDescent="0.35">
      <c r="D33" s="299" t="s">
        <v>100</v>
      </c>
      <c r="I33" s="297">
        <f t="shared" si="1"/>
        <v>0</v>
      </c>
      <c r="J33" s="298">
        <f>SUMIF(Input!$D$67:$D$108,Output_charts!$D33,Input!R$67:R$108)</f>
        <v>0</v>
      </c>
      <c r="K33" s="297">
        <f>SUMIF(Input!$D$67:$D$108,Output_charts!$D33,Input!S$67:S$108)</f>
        <v>0</v>
      </c>
      <c r="L33" s="297">
        <f>SUMIF(Input!$D$67:$D$108,Output_charts!$D33,Input!T$67:T$108)</f>
        <v>0</v>
      </c>
      <c r="M33" s="297">
        <f>SUMIF(Input!$D$67:$D$108,Output_charts!$D33,Input!U$67:U$108)</f>
        <v>0</v>
      </c>
      <c r="N33" s="297">
        <f>SUMIF(Input!$D$67:$D$108,Output_charts!$D33,Input!V$67:V$108)</f>
        <v>0</v>
      </c>
      <c r="O33" s="297">
        <f>SUMIF(Input!$D$67:$D$108,Output_charts!$D33,Input!W$67:W$108)</f>
        <v>0</v>
      </c>
      <c r="P33" s="297">
        <f>SUMIF(Input!$D$67:$D$108,Output_charts!$D33,Input!X$67:X$108)</f>
        <v>0</v>
      </c>
      <c r="Q33" s="297">
        <f>SUMIF(Input!$D$67:$D$108,Output_charts!$D33,Input!Y$67:Y$108)</f>
        <v>0</v>
      </c>
      <c r="R33" s="297">
        <f>SUMIF(Input!$D$67:$D$108,Output_charts!$D33,Input!Z$67:Z$108)</f>
        <v>0</v>
      </c>
      <c r="S33" s="297">
        <f>SUMIF(Input!$D$67:$D$108,Output_charts!$D33,Input!AA$67:AA$108)</f>
        <v>0</v>
      </c>
      <c r="T33" s="297">
        <f>SUMIF(Input!$D$67:$D$108,Output_charts!$D33,Input!AB$67:AB$108)</f>
        <v>0</v>
      </c>
      <c r="U33" s="297">
        <f>SUMIF(Input!$D$67:$D$108,Output_charts!$D33,Input!AC$67:AC$108)</f>
        <v>0</v>
      </c>
      <c r="V33" s="297">
        <f>SUMIF(Input!$D$67:$D$108,Output_charts!$D33,Input!AD$67:AD$108)</f>
        <v>0</v>
      </c>
      <c r="W33" s="297">
        <f>SUMIF(Input!$D$67:$D$108,Output_charts!$D33,Input!AE$67:AE$108)</f>
        <v>0</v>
      </c>
      <c r="X33" s="297">
        <f>SUMIF(Input!$D$67:$D$108,Output_charts!$D33,Input!AF$67:AF$108)</f>
        <v>0</v>
      </c>
      <c r="Y33" s="297">
        <f>SUMIF(Input!$D$67:$D$108,Output_charts!$D33,Input!AG$67:AG$108)</f>
        <v>0</v>
      </c>
      <c r="Z33" s="297">
        <f>SUMIF(Input!$D$67:$D$108,Output_charts!$D33,Input!AH$67:AH$108)</f>
        <v>0</v>
      </c>
      <c r="AA33" s="297">
        <f>SUMIF(Input!$D$67:$D$108,Output_charts!$D33,Input!AI$67:AI$108)</f>
        <v>0</v>
      </c>
      <c r="AB33" s="297">
        <f>SUMIF(Input!$D$67:$D$108,Output_charts!$D33,Input!AJ$67:AJ$108)</f>
        <v>0</v>
      </c>
      <c r="AC33" s="297">
        <f>SUMIF(Input!$D$67:$D$108,Output_charts!$D33,Input!AK$67:AK$108)</f>
        <v>0</v>
      </c>
      <c r="AD33" s="297">
        <f>SUMIF(Input!$D$67:$D$108,Output_charts!$D33,Input!AL$67:AL$108)</f>
        <v>0</v>
      </c>
      <c r="AE33" s="297">
        <f>SUMIF(Input!$D$67:$D$108,Output_charts!$D33,Input!AM$67:AM$108)</f>
        <v>0</v>
      </c>
      <c r="AF33" s="297">
        <f>SUMIF(Input!$D$67:$D$108,Output_charts!$D33,Input!AN$67:AN$108)</f>
        <v>0</v>
      </c>
      <c r="AG33" s="297">
        <f>SUMIF(Input!$D$67:$D$108,Output_charts!$D33,Input!AO$67:AO$108)</f>
        <v>0</v>
      </c>
      <c r="AH33" s="297">
        <f>SUMIF(Input!$D$67:$D$108,Output_charts!$D33,Input!AP$67:AP$108)</f>
        <v>0</v>
      </c>
      <c r="AI33" s="297">
        <f>SUMIF(Input!$D$67:$D$108,Output_charts!$D33,Input!AQ$67:AQ$108)</f>
        <v>0</v>
      </c>
      <c r="AJ33" s="297">
        <f>SUMIF(Input!$D$67:$D$108,Output_charts!$D33,Input!AR$67:AR$108)</f>
        <v>0</v>
      </c>
      <c r="AK33" s="297">
        <f>SUMIF(Input!$D$67:$D$108,Output_charts!$D33,Input!AS$67:AS$108)</f>
        <v>0</v>
      </c>
      <c r="AL33" s="297">
        <f>SUMIF(Input!$D$67:$D$108,Output_charts!$D33,Input!AT$67:AT$108)</f>
        <v>0</v>
      </c>
      <c r="AM33" s="297">
        <f>SUMIF(Input!$D$67:$D$108,Output_charts!$D33,Input!AU$67:AU$108)</f>
        <v>0</v>
      </c>
      <c r="AN33" s="297">
        <f>SUMIF(Input!$D$67:$D$108,Output_charts!$D33,Input!AV$67:AV$108)</f>
        <v>0</v>
      </c>
      <c r="AO33" s="297">
        <f>SUMIF(Input!$D$67:$D$108,Output_charts!$D33,Input!AW$67:AW$108)</f>
        <v>0</v>
      </c>
      <c r="AP33" s="297">
        <f>SUMIF(Input!$D$67:$D$108,Output_charts!$D33,Input!AX$67:AX$108)</f>
        <v>0</v>
      </c>
      <c r="AQ33" s="297">
        <f>SUMIF(Input!$D$67:$D$108,Output_charts!$D33,Input!AY$67:AY$108)</f>
        <v>0</v>
      </c>
      <c r="AR33" s="297">
        <f>SUMIF(Input!$D$67:$D$108,Output_charts!$D33,Input!AZ$67:AZ$108)</f>
        <v>0</v>
      </c>
      <c r="AS33" s="297">
        <f>SUMIF(Input!$D$67:$D$108,Output_charts!$D33,Input!BA$67:BA$108)</f>
        <v>0</v>
      </c>
      <c r="AT33" s="297">
        <f>SUMIF(Input!$D$67:$D$108,Output_charts!$D33,Input!BB$67:BB$108)</f>
        <v>0</v>
      </c>
      <c r="AU33" s="297">
        <f>SUMIF(Input!$D$67:$D$108,Output_charts!$D33,Input!BC$67:BC$108)</f>
        <v>0</v>
      </c>
      <c r="AV33" s="297">
        <f>SUMIF(Input!$D$67:$D$108,Output_charts!$D33,Input!BD$67:BD$108)</f>
        <v>0</v>
      </c>
      <c r="AW33" s="297">
        <f>SUMIF(Input!$D$67:$D$108,Output_charts!$D33,Input!BE$67:BE$108)</f>
        <v>0</v>
      </c>
      <c r="AX33" s="297">
        <f>SUMIF(Input!$D$67:$D$108,Output_charts!$D33,Input!BF$67:BF$108)</f>
        <v>0</v>
      </c>
      <c r="AY33" s="297">
        <f>SUMIF(Input!$D$67:$D$108,Output_charts!$D33,Input!BG$67:BG$108)</f>
        <v>0</v>
      </c>
      <c r="AZ33" s="297">
        <f>SUMIF(Input!$D$67:$D$108,Output_charts!$D33,Input!BH$67:BH$108)</f>
        <v>0</v>
      </c>
      <c r="BA33" s="297">
        <f>SUMIF(Input!$D$67:$D$108,Output_charts!$D33,Input!BI$67:BI$108)</f>
        <v>0</v>
      </c>
      <c r="BB33" s="297">
        <f>SUMIF(Input!$D$67:$D$108,Output_charts!$D33,Input!BJ$67:BJ$108)</f>
        <v>0</v>
      </c>
      <c r="BC33" s="297">
        <f>SUMIF(Input!$D$67:$D$108,Output_charts!$D33,Input!BK$67:BK$108)</f>
        <v>0</v>
      </c>
      <c r="BD33" s="297">
        <f>SUMIF(Input!$D$67:$D$108,Output_charts!$D33,Input!BL$67:BL$108)</f>
        <v>0</v>
      </c>
      <c r="BE33" s="297">
        <f>SUMIF(Input!$D$67:$D$108,Output_charts!$D33,Input!BM$67:BM$108)</f>
        <v>0</v>
      </c>
      <c r="BF33" s="297">
        <f>SUMIF(Input!$D$67:$D$108,Output_charts!$D33,Input!BN$67:BN$108)</f>
        <v>0</v>
      </c>
      <c r="BG33" s="297">
        <f>SUMIF(Input!$D$67:$D$108,Output_charts!$D33,Input!BO$67:BO$108)</f>
        <v>0</v>
      </c>
      <c r="BH33" s="297">
        <f>SUMIF(Input!$D$67:$D$108,Output_charts!$D33,Input!BP$67:BP$108)</f>
        <v>0</v>
      </c>
    </row>
    <row r="34" spans="4:60" s="265" customFormat="1" ht="18" hidden="1" outlineLevel="1" x14ac:dyDescent="0.35">
      <c r="D34" s="299" t="s">
        <v>101</v>
      </c>
      <c r="I34" s="297">
        <f t="shared" si="1"/>
        <v>0</v>
      </c>
      <c r="J34" s="298">
        <f>SUMIF(Input!$D$67:$D$108,Output_charts!$D34,Input!R$67:R$108)</f>
        <v>0</v>
      </c>
      <c r="K34" s="297">
        <f>SUMIF(Input!$D$67:$D$108,Output_charts!$D34,Input!S$67:S$108)</f>
        <v>0</v>
      </c>
      <c r="L34" s="297">
        <f>SUMIF(Input!$D$67:$D$108,Output_charts!$D34,Input!T$67:T$108)</f>
        <v>0</v>
      </c>
      <c r="M34" s="297">
        <f>SUMIF(Input!$D$67:$D$108,Output_charts!$D34,Input!U$67:U$108)</f>
        <v>0</v>
      </c>
      <c r="N34" s="297">
        <f>SUMIF(Input!$D$67:$D$108,Output_charts!$D34,Input!V$67:V$108)</f>
        <v>0</v>
      </c>
      <c r="O34" s="297">
        <f>SUMIF(Input!$D$67:$D$108,Output_charts!$D34,Input!W$67:W$108)</f>
        <v>0</v>
      </c>
      <c r="P34" s="297">
        <f>SUMIF(Input!$D$67:$D$108,Output_charts!$D34,Input!X$67:X$108)</f>
        <v>0</v>
      </c>
      <c r="Q34" s="297">
        <f>SUMIF(Input!$D$67:$D$108,Output_charts!$D34,Input!Y$67:Y$108)</f>
        <v>0</v>
      </c>
      <c r="R34" s="297">
        <f>SUMIF(Input!$D$67:$D$108,Output_charts!$D34,Input!Z$67:Z$108)</f>
        <v>0</v>
      </c>
      <c r="S34" s="297">
        <f>SUMIF(Input!$D$67:$D$108,Output_charts!$D34,Input!AA$67:AA$108)</f>
        <v>0</v>
      </c>
      <c r="T34" s="297">
        <f>SUMIF(Input!$D$67:$D$108,Output_charts!$D34,Input!AB$67:AB$108)</f>
        <v>0</v>
      </c>
      <c r="U34" s="297">
        <f>SUMIF(Input!$D$67:$D$108,Output_charts!$D34,Input!AC$67:AC$108)</f>
        <v>0</v>
      </c>
      <c r="V34" s="297">
        <f>SUMIF(Input!$D$67:$D$108,Output_charts!$D34,Input!AD$67:AD$108)</f>
        <v>0</v>
      </c>
      <c r="W34" s="297">
        <f>SUMIF(Input!$D$67:$D$108,Output_charts!$D34,Input!AE$67:AE$108)</f>
        <v>0</v>
      </c>
      <c r="X34" s="297">
        <f>SUMIF(Input!$D$67:$D$108,Output_charts!$D34,Input!AF$67:AF$108)</f>
        <v>0</v>
      </c>
      <c r="Y34" s="297">
        <f>SUMIF(Input!$D$67:$D$108,Output_charts!$D34,Input!AG$67:AG$108)</f>
        <v>0</v>
      </c>
      <c r="Z34" s="297">
        <f>SUMIF(Input!$D$67:$D$108,Output_charts!$D34,Input!AH$67:AH$108)</f>
        <v>0</v>
      </c>
      <c r="AA34" s="297">
        <f>SUMIF(Input!$D$67:$D$108,Output_charts!$D34,Input!AI$67:AI$108)</f>
        <v>0</v>
      </c>
      <c r="AB34" s="297">
        <f>SUMIF(Input!$D$67:$D$108,Output_charts!$D34,Input!AJ$67:AJ$108)</f>
        <v>0</v>
      </c>
      <c r="AC34" s="297">
        <f>SUMIF(Input!$D$67:$D$108,Output_charts!$D34,Input!AK$67:AK$108)</f>
        <v>0</v>
      </c>
      <c r="AD34" s="297">
        <f>SUMIF(Input!$D$67:$D$108,Output_charts!$D34,Input!AL$67:AL$108)</f>
        <v>0</v>
      </c>
      <c r="AE34" s="297">
        <f>SUMIF(Input!$D$67:$D$108,Output_charts!$D34,Input!AM$67:AM$108)</f>
        <v>0</v>
      </c>
      <c r="AF34" s="297">
        <f>SUMIF(Input!$D$67:$D$108,Output_charts!$D34,Input!AN$67:AN$108)</f>
        <v>0</v>
      </c>
      <c r="AG34" s="297">
        <f>SUMIF(Input!$D$67:$D$108,Output_charts!$D34,Input!AO$67:AO$108)</f>
        <v>0</v>
      </c>
      <c r="AH34" s="297">
        <f>SUMIF(Input!$D$67:$D$108,Output_charts!$D34,Input!AP$67:AP$108)</f>
        <v>0</v>
      </c>
      <c r="AI34" s="297">
        <f>SUMIF(Input!$D$67:$D$108,Output_charts!$D34,Input!AQ$67:AQ$108)</f>
        <v>0</v>
      </c>
      <c r="AJ34" s="297">
        <f>SUMIF(Input!$D$67:$D$108,Output_charts!$D34,Input!AR$67:AR$108)</f>
        <v>0</v>
      </c>
      <c r="AK34" s="297">
        <f>SUMIF(Input!$D$67:$D$108,Output_charts!$D34,Input!AS$67:AS$108)</f>
        <v>0</v>
      </c>
      <c r="AL34" s="297">
        <f>SUMIF(Input!$D$67:$D$108,Output_charts!$D34,Input!AT$67:AT$108)</f>
        <v>0</v>
      </c>
      <c r="AM34" s="297">
        <f>SUMIF(Input!$D$67:$D$108,Output_charts!$D34,Input!AU$67:AU$108)</f>
        <v>0</v>
      </c>
      <c r="AN34" s="297">
        <f>SUMIF(Input!$D$67:$D$108,Output_charts!$D34,Input!AV$67:AV$108)</f>
        <v>0</v>
      </c>
      <c r="AO34" s="297">
        <f>SUMIF(Input!$D$67:$D$108,Output_charts!$D34,Input!AW$67:AW$108)</f>
        <v>0</v>
      </c>
      <c r="AP34" s="297">
        <f>SUMIF(Input!$D$67:$D$108,Output_charts!$D34,Input!AX$67:AX$108)</f>
        <v>0</v>
      </c>
      <c r="AQ34" s="297">
        <f>SUMIF(Input!$D$67:$D$108,Output_charts!$D34,Input!AY$67:AY$108)</f>
        <v>0</v>
      </c>
      <c r="AR34" s="297">
        <f>SUMIF(Input!$D$67:$D$108,Output_charts!$D34,Input!AZ$67:AZ$108)</f>
        <v>0</v>
      </c>
      <c r="AS34" s="297">
        <f>SUMIF(Input!$D$67:$D$108,Output_charts!$D34,Input!BA$67:BA$108)</f>
        <v>0</v>
      </c>
      <c r="AT34" s="297">
        <f>SUMIF(Input!$D$67:$D$108,Output_charts!$D34,Input!BB$67:BB$108)</f>
        <v>0</v>
      </c>
      <c r="AU34" s="297">
        <f>SUMIF(Input!$D$67:$D$108,Output_charts!$D34,Input!BC$67:BC$108)</f>
        <v>0</v>
      </c>
      <c r="AV34" s="297">
        <f>SUMIF(Input!$D$67:$D$108,Output_charts!$D34,Input!BD$67:BD$108)</f>
        <v>0</v>
      </c>
      <c r="AW34" s="297">
        <f>SUMIF(Input!$D$67:$D$108,Output_charts!$D34,Input!BE$67:BE$108)</f>
        <v>0</v>
      </c>
      <c r="AX34" s="297">
        <f>SUMIF(Input!$D$67:$D$108,Output_charts!$D34,Input!BF$67:BF$108)</f>
        <v>0</v>
      </c>
      <c r="AY34" s="297">
        <f>SUMIF(Input!$D$67:$D$108,Output_charts!$D34,Input!BG$67:BG$108)</f>
        <v>0</v>
      </c>
      <c r="AZ34" s="297">
        <f>SUMIF(Input!$D$67:$D$108,Output_charts!$D34,Input!BH$67:BH$108)</f>
        <v>0</v>
      </c>
      <c r="BA34" s="297">
        <f>SUMIF(Input!$D$67:$D$108,Output_charts!$D34,Input!BI$67:BI$108)</f>
        <v>0</v>
      </c>
      <c r="BB34" s="297">
        <f>SUMIF(Input!$D$67:$D$108,Output_charts!$D34,Input!BJ$67:BJ$108)</f>
        <v>0</v>
      </c>
      <c r="BC34" s="297">
        <f>SUMIF(Input!$D$67:$D$108,Output_charts!$D34,Input!BK$67:BK$108)</f>
        <v>0</v>
      </c>
      <c r="BD34" s="297">
        <f>SUMIF(Input!$D$67:$D$108,Output_charts!$D34,Input!BL$67:BL$108)</f>
        <v>0</v>
      </c>
      <c r="BE34" s="297">
        <f>SUMIF(Input!$D$67:$D$108,Output_charts!$D34,Input!BM$67:BM$108)</f>
        <v>0</v>
      </c>
      <c r="BF34" s="297">
        <f>SUMIF(Input!$D$67:$D$108,Output_charts!$D34,Input!BN$67:BN$108)</f>
        <v>0</v>
      </c>
      <c r="BG34" s="297">
        <f>SUMIF(Input!$D$67:$D$108,Output_charts!$D34,Input!BO$67:BO$108)</f>
        <v>0</v>
      </c>
      <c r="BH34" s="297">
        <f>SUMIF(Input!$D$67:$D$108,Output_charts!$D34,Input!BP$67:BP$108)</f>
        <v>0</v>
      </c>
    </row>
    <row r="35" spans="4:60" s="265" customFormat="1" ht="18" hidden="1" outlineLevel="1" x14ac:dyDescent="0.35">
      <c r="D35" s="299" t="s">
        <v>102</v>
      </c>
      <c r="I35" s="297">
        <f t="shared" si="1"/>
        <v>0</v>
      </c>
      <c r="J35" s="298">
        <f>SUMIF(Input!$D$67:$D$108,Output_charts!$D35,Input!R$67:R$108)</f>
        <v>0</v>
      </c>
      <c r="K35" s="297">
        <f>SUMIF(Input!$D$67:$D$108,Output_charts!$D35,Input!S$67:S$108)</f>
        <v>0</v>
      </c>
      <c r="L35" s="297">
        <f>SUMIF(Input!$D$67:$D$108,Output_charts!$D35,Input!T$67:T$108)</f>
        <v>0</v>
      </c>
      <c r="M35" s="297">
        <f>SUMIF(Input!$D$67:$D$108,Output_charts!$D35,Input!U$67:U$108)</f>
        <v>0</v>
      </c>
      <c r="N35" s="297">
        <f>SUMIF(Input!$D$67:$D$108,Output_charts!$D35,Input!V$67:V$108)</f>
        <v>0</v>
      </c>
      <c r="O35" s="297">
        <f>SUMIF(Input!$D$67:$D$108,Output_charts!$D35,Input!W$67:W$108)</f>
        <v>0</v>
      </c>
      <c r="P35" s="297">
        <f>SUMIF(Input!$D$67:$D$108,Output_charts!$D35,Input!X$67:X$108)</f>
        <v>0</v>
      </c>
      <c r="Q35" s="297">
        <f>SUMIF(Input!$D$67:$D$108,Output_charts!$D35,Input!Y$67:Y$108)</f>
        <v>0</v>
      </c>
      <c r="R35" s="297">
        <f>SUMIF(Input!$D$67:$D$108,Output_charts!$D35,Input!Z$67:Z$108)</f>
        <v>0</v>
      </c>
      <c r="S35" s="297">
        <f>SUMIF(Input!$D$67:$D$108,Output_charts!$D35,Input!AA$67:AA$108)</f>
        <v>0</v>
      </c>
      <c r="T35" s="297">
        <f>SUMIF(Input!$D$67:$D$108,Output_charts!$D35,Input!AB$67:AB$108)</f>
        <v>0</v>
      </c>
      <c r="U35" s="297">
        <f>SUMIF(Input!$D$67:$D$108,Output_charts!$D35,Input!AC$67:AC$108)</f>
        <v>0</v>
      </c>
      <c r="V35" s="297">
        <f>SUMIF(Input!$D$67:$D$108,Output_charts!$D35,Input!AD$67:AD$108)</f>
        <v>0</v>
      </c>
      <c r="W35" s="297">
        <f>SUMIF(Input!$D$67:$D$108,Output_charts!$D35,Input!AE$67:AE$108)</f>
        <v>0</v>
      </c>
      <c r="X35" s="297">
        <f>SUMIF(Input!$D$67:$D$108,Output_charts!$D35,Input!AF$67:AF$108)</f>
        <v>0</v>
      </c>
      <c r="Y35" s="297">
        <f>SUMIF(Input!$D$67:$D$108,Output_charts!$D35,Input!AG$67:AG$108)</f>
        <v>0</v>
      </c>
      <c r="Z35" s="297">
        <f>SUMIF(Input!$D$67:$D$108,Output_charts!$D35,Input!AH$67:AH$108)</f>
        <v>0</v>
      </c>
      <c r="AA35" s="297">
        <f>SUMIF(Input!$D$67:$D$108,Output_charts!$D35,Input!AI$67:AI$108)</f>
        <v>0</v>
      </c>
      <c r="AB35" s="297">
        <f>SUMIF(Input!$D$67:$D$108,Output_charts!$D35,Input!AJ$67:AJ$108)</f>
        <v>0</v>
      </c>
      <c r="AC35" s="297">
        <f>SUMIF(Input!$D$67:$D$108,Output_charts!$D35,Input!AK$67:AK$108)</f>
        <v>0</v>
      </c>
      <c r="AD35" s="297">
        <f>SUMIF(Input!$D$67:$D$108,Output_charts!$D35,Input!AL$67:AL$108)</f>
        <v>0</v>
      </c>
      <c r="AE35" s="297">
        <f>SUMIF(Input!$D$67:$D$108,Output_charts!$D35,Input!AM$67:AM$108)</f>
        <v>0</v>
      </c>
      <c r="AF35" s="297">
        <f>SUMIF(Input!$D$67:$D$108,Output_charts!$D35,Input!AN$67:AN$108)</f>
        <v>0</v>
      </c>
      <c r="AG35" s="297">
        <f>SUMIF(Input!$D$67:$D$108,Output_charts!$D35,Input!AO$67:AO$108)</f>
        <v>0</v>
      </c>
      <c r="AH35" s="297">
        <f>SUMIF(Input!$D$67:$D$108,Output_charts!$D35,Input!AP$67:AP$108)</f>
        <v>0</v>
      </c>
      <c r="AI35" s="297">
        <f>SUMIF(Input!$D$67:$D$108,Output_charts!$D35,Input!AQ$67:AQ$108)</f>
        <v>0</v>
      </c>
      <c r="AJ35" s="297">
        <f>SUMIF(Input!$D$67:$D$108,Output_charts!$D35,Input!AR$67:AR$108)</f>
        <v>0</v>
      </c>
      <c r="AK35" s="297">
        <f>SUMIF(Input!$D$67:$D$108,Output_charts!$D35,Input!AS$67:AS$108)</f>
        <v>0</v>
      </c>
      <c r="AL35" s="297">
        <f>SUMIF(Input!$D$67:$D$108,Output_charts!$D35,Input!AT$67:AT$108)</f>
        <v>0</v>
      </c>
      <c r="AM35" s="297">
        <f>SUMIF(Input!$D$67:$D$108,Output_charts!$D35,Input!AU$67:AU$108)</f>
        <v>0</v>
      </c>
      <c r="AN35" s="297">
        <f>SUMIF(Input!$D$67:$D$108,Output_charts!$D35,Input!AV$67:AV$108)</f>
        <v>0</v>
      </c>
      <c r="AO35" s="297">
        <f>SUMIF(Input!$D$67:$D$108,Output_charts!$D35,Input!AW$67:AW$108)</f>
        <v>0</v>
      </c>
      <c r="AP35" s="297">
        <f>SUMIF(Input!$D$67:$D$108,Output_charts!$D35,Input!AX$67:AX$108)</f>
        <v>0</v>
      </c>
      <c r="AQ35" s="297">
        <f>SUMIF(Input!$D$67:$D$108,Output_charts!$D35,Input!AY$67:AY$108)</f>
        <v>0</v>
      </c>
      <c r="AR35" s="297">
        <f>SUMIF(Input!$D$67:$D$108,Output_charts!$D35,Input!AZ$67:AZ$108)</f>
        <v>0</v>
      </c>
      <c r="AS35" s="297">
        <f>SUMIF(Input!$D$67:$D$108,Output_charts!$D35,Input!BA$67:BA$108)</f>
        <v>0</v>
      </c>
      <c r="AT35" s="297">
        <f>SUMIF(Input!$D$67:$D$108,Output_charts!$D35,Input!BB$67:BB$108)</f>
        <v>0</v>
      </c>
      <c r="AU35" s="297">
        <f>SUMIF(Input!$D$67:$D$108,Output_charts!$D35,Input!BC$67:BC$108)</f>
        <v>0</v>
      </c>
      <c r="AV35" s="297">
        <f>SUMIF(Input!$D$67:$D$108,Output_charts!$D35,Input!BD$67:BD$108)</f>
        <v>0</v>
      </c>
      <c r="AW35" s="297">
        <f>SUMIF(Input!$D$67:$D$108,Output_charts!$D35,Input!BE$67:BE$108)</f>
        <v>0</v>
      </c>
      <c r="AX35" s="297">
        <f>SUMIF(Input!$D$67:$D$108,Output_charts!$D35,Input!BF$67:BF$108)</f>
        <v>0</v>
      </c>
      <c r="AY35" s="297">
        <f>SUMIF(Input!$D$67:$D$108,Output_charts!$D35,Input!BG$67:BG$108)</f>
        <v>0</v>
      </c>
      <c r="AZ35" s="297">
        <f>SUMIF(Input!$D$67:$D$108,Output_charts!$D35,Input!BH$67:BH$108)</f>
        <v>0</v>
      </c>
      <c r="BA35" s="297">
        <f>SUMIF(Input!$D$67:$D$108,Output_charts!$D35,Input!BI$67:BI$108)</f>
        <v>0</v>
      </c>
      <c r="BB35" s="297">
        <f>SUMIF(Input!$D$67:$D$108,Output_charts!$D35,Input!BJ$67:BJ$108)</f>
        <v>0</v>
      </c>
      <c r="BC35" s="297">
        <f>SUMIF(Input!$D$67:$D$108,Output_charts!$D35,Input!BK$67:BK$108)</f>
        <v>0</v>
      </c>
      <c r="BD35" s="297">
        <f>SUMIF(Input!$D$67:$D$108,Output_charts!$D35,Input!BL$67:BL$108)</f>
        <v>0</v>
      </c>
      <c r="BE35" s="297">
        <f>SUMIF(Input!$D$67:$D$108,Output_charts!$D35,Input!BM$67:BM$108)</f>
        <v>0</v>
      </c>
      <c r="BF35" s="297">
        <f>SUMIF(Input!$D$67:$D$108,Output_charts!$D35,Input!BN$67:BN$108)</f>
        <v>0</v>
      </c>
      <c r="BG35" s="297">
        <f>SUMIF(Input!$D$67:$D$108,Output_charts!$D35,Input!BO$67:BO$108)</f>
        <v>0</v>
      </c>
      <c r="BH35" s="297">
        <f>SUMIF(Input!$D$67:$D$108,Output_charts!$D35,Input!BP$67:BP$108)</f>
        <v>0</v>
      </c>
    </row>
    <row r="36" spans="4:60" s="265" customFormat="1" ht="18" hidden="1" outlineLevel="1" x14ac:dyDescent="0.35">
      <c r="D36" s="299" t="s">
        <v>103</v>
      </c>
      <c r="I36" s="297">
        <f t="shared" si="1"/>
        <v>-15330439</v>
      </c>
      <c r="J36" s="298">
        <f>SUMIF(Input!$D$67:$D$108,Output_charts!$D36,Input!R$67:R$108)</f>
        <v>0</v>
      </c>
      <c r="K36" s="297">
        <f>SUMIF(Input!$D$67:$D$108,Output_charts!$D36,Input!S$67:S$108)</f>
        <v>0</v>
      </c>
      <c r="L36" s="297">
        <f>SUMIF(Input!$D$67:$D$108,Output_charts!$D36,Input!T$67:T$108)</f>
        <v>0</v>
      </c>
      <c r="M36" s="297">
        <f>SUMIF(Input!$D$67:$D$108,Output_charts!$D36,Input!U$67:U$108)</f>
        <v>-2714370</v>
      </c>
      <c r="N36" s="297">
        <f>SUMIF(Input!$D$67:$D$108,Output_charts!$D36,Input!V$67:V$108)</f>
        <v>-3261225</v>
      </c>
      <c r="O36" s="297">
        <f>SUMIF(Input!$D$67:$D$108,Output_charts!$D36,Input!W$67:W$108)</f>
        <v>-3274476</v>
      </c>
      <c r="P36" s="297">
        <f>SUMIF(Input!$D$67:$D$108,Output_charts!$D36,Input!X$67:X$108)</f>
        <v>-2730746</v>
      </c>
      <c r="Q36" s="297">
        <f>SUMIF(Input!$D$67:$D$108,Output_charts!$D36,Input!Y$67:Y$108)</f>
        <v>-3349622</v>
      </c>
      <c r="R36" s="297">
        <f>SUMIF(Input!$D$67:$D$108,Output_charts!$D36,Input!Z$67:Z$108)</f>
        <v>0</v>
      </c>
      <c r="S36" s="297">
        <f>SUMIF(Input!$D$67:$D$108,Output_charts!$D36,Input!AA$67:AA$108)</f>
        <v>0</v>
      </c>
      <c r="T36" s="297">
        <f>SUMIF(Input!$D$67:$D$108,Output_charts!$D36,Input!AB$67:AB$108)</f>
        <v>0</v>
      </c>
      <c r="U36" s="297">
        <f>SUMIF(Input!$D$67:$D$108,Output_charts!$D36,Input!AC$67:AC$108)</f>
        <v>0</v>
      </c>
      <c r="V36" s="297">
        <f>SUMIF(Input!$D$67:$D$108,Output_charts!$D36,Input!AD$67:AD$108)</f>
        <v>0</v>
      </c>
      <c r="W36" s="297">
        <f>SUMIF(Input!$D$67:$D$108,Output_charts!$D36,Input!AE$67:AE$108)</f>
        <v>0</v>
      </c>
      <c r="X36" s="297">
        <f>SUMIF(Input!$D$67:$D$108,Output_charts!$D36,Input!AF$67:AF$108)</f>
        <v>0</v>
      </c>
      <c r="Y36" s="297">
        <f>SUMIF(Input!$D$67:$D$108,Output_charts!$D36,Input!AG$67:AG$108)</f>
        <v>0</v>
      </c>
      <c r="Z36" s="297">
        <f>SUMIF(Input!$D$67:$D$108,Output_charts!$D36,Input!AH$67:AH$108)</f>
        <v>0</v>
      </c>
      <c r="AA36" s="297">
        <f>SUMIF(Input!$D$67:$D$108,Output_charts!$D36,Input!AI$67:AI$108)</f>
        <v>0</v>
      </c>
      <c r="AB36" s="297">
        <f>SUMIF(Input!$D$67:$D$108,Output_charts!$D36,Input!AJ$67:AJ$108)</f>
        <v>0</v>
      </c>
      <c r="AC36" s="297">
        <f>SUMIF(Input!$D$67:$D$108,Output_charts!$D36,Input!AK$67:AK$108)</f>
        <v>0</v>
      </c>
      <c r="AD36" s="297">
        <f>SUMIF(Input!$D$67:$D$108,Output_charts!$D36,Input!AL$67:AL$108)</f>
        <v>0</v>
      </c>
      <c r="AE36" s="297">
        <f>SUMIF(Input!$D$67:$D$108,Output_charts!$D36,Input!AM$67:AM$108)</f>
        <v>0</v>
      </c>
      <c r="AF36" s="297">
        <f>SUMIF(Input!$D$67:$D$108,Output_charts!$D36,Input!AN$67:AN$108)</f>
        <v>0</v>
      </c>
      <c r="AG36" s="297">
        <f>SUMIF(Input!$D$67:$D$108,Output_charts!$D36,Input!AO$67:AO$108)</f>
        <v>0</v>
      </c>
      <c r="AH36" s="297">
        <f>SUMIF(Input!$D$67:$D$108,Output_charts!$D36,Input!AP$67:AP$108)</f>
        <v>0</v>
      </c>
      <c r="AI36" s="297">
        <f>SUMIF(Input!$D$67:$D$108,Output_charts!$D36,Input!AQ$67:AQ$108)</f>
        <v>0</v>
      </c>
      <c r="AJ36" s="297">
        <f>SUMIF(Input!$D$67:$D$108,Output_charts!$D36,Input!AR$67:AR$108)</f>
        <v>0</v>
      </c>
      <c r="AK36" s="297">
        <f>SUMIF(Input!$D$67:$D$108,Output_charts!$D36,Input!AS$67:AS$108)</f>
        <v>0</v>
      </c>
      <c r="AL36" s="297">
        <f>SUMIF(Input!$D$67:$D$108,Output_charts!$D36,Input!AT$67:AT$108)</f>
        <v>0</v>
      </c>
      <c r="AM36" s="297">
        <f>SUMIF(Input!$D$67:$D$108,Output_charts!$D36,Input!AU$67:AU$108)</f>
        <v>0</v>
      </c>
      <c r="AN36" s="297">
        <f>SUMIF(Input!$D$67:$D$108,Output_charts!$D36,Input!AV$67:AV$108)</f>
        <v>0</v>
      </c>
      <c r="AO36" s="297">
        <f>SUMIF(Input!$D$67:$D$108,Output_charts!$D36,Input!AW$67:AW$108)</f>
        <v>0</v>
      </c>
      <c r="AP36" s="297">
        <f>SUMIF(Input!$D$67:$D$108,Output_charts!$D36,Input!AX$67:AX$108)</f>
        <v>0</v>
      </c>
      <c r="AQ36" s="297">
        <f>SUMIF(Input!$D$67:$D$108,Output_charts!$D36,Input!AY$67:AY$108)</f>
        <v>0</v>
      </c>
      <c r="AR36" s="297">
        <f>SUMIF(Input!$D$67:$D$108,Output_charts!$D36,Input!AZ$67:AZ$108)</f>
        <v>0</v>
      </c>
      <c r="AS36" s="297">
        <f>SUMIF(Input!$D$67:$D$108,Output_charts!$D36,Input!BA$67:BA$108)</f>
        <v>0</v>
      </c>
      <c r="AT36" s="297">
        <f>SUMIF(Input!$D$67:$D$108,Output_charts!$D36,Input!BB$67:BB$108)</f>
        <v>0</v>
      </c>
      <c r="AU36" s="297">
        <f>SUMIF(Input!$D$67:$D$108,Output_charts!$D36,Input!BC$67:BC$108)</f>
        <v>0</v>
      </c>
      <c r="AV36" s="297">
        <f>SUMIF(Input!$D$67:$D$108,Output_charts!$D36,Input!BD$67:BD$108)</f>
        <v>0</v>
      </c>
      <c r="AW36" s="297">
        <f>SUMIF(Input!$D$67:$D$108,Output_charts!$D36,Input!BE$67:BE$108)</f>
        <v>0</v>
      </c>
      <c r="AX36" s="297">
        <f>SUMIF(Input!$D$67:$D$108,Output_charts!$D36,Input!BF$67:BF$108)</f>
        <v>0</v>
      </c>
      <c r="AY36" s="297">
        <f>SUMIF(Input!$D$67:$D$108,Output_charts!$D36,Input!BG$67:BG$108)</f>
        <v>0</v>
      </c>
      <c r="AZ36" s="297">
        <f>SUMIF(Input!$D$67:$D$108,Output_charts!$D36,Input!BH$67:BH$108)</f>
        <v>0</v>
      </c>
      <c r="BA36" s="297">
        <f>SUMIF(Input!$D$67:$D$108,Output_charts!$D36,Input!BI$67:BI$108)</f>
        <v>0</v>
      </c>
      <c r="BB36" s="297">
        <f>SUMIF(Input!$D$67:$D$108,Output_charts!$D36,Input!BJ$67:BJ$108)</f>
        <v>0</v>
      </c>
      <c r="BC36" s="297">
        <f>SUMIF(Input!$D$67:$D$108,Output_charts!$D36,Input!BK$67:BK$108)</f>
        <v>0</v>
      </c>
      <c r="BD36" s="297">
        <f>SUMIF(Input!$D$67:$D$108,Output_charts!$D36,Input!BL$67:BL$108)</f>
        <v>0</v>
      </c>
      <c r="BE36" s="297">
        <f>SUMIF(Input!$D$67:$D$108,Output_charts!$D36,Input!BM$67:BM$108)</f>
        <v>0</v>
      </c>
      <c r="BF36" s="297">
        <f>SUMIF(Input!$D$67:$D$108,Output_charts!$D36,Input!BN$67:BN$108)</f>
        <v>0</v>
      </c>
      <c r="BG36" s="297">
        <f>SUMIF(Input!$D$67:$D$108,Output_charts!$D36,Input!BO$67:BO$108)</f>
        <v>0</v>
      </c>
      <c r="BH36" s="297">
        <f>SUMIF(Input!$D$67:$D$108,Output_charts!$D36,Input!BP$67:BP$108)</f>
        <v>0</v>
      </c>
    </row>
    <row r="37" spans="4:60" s="265" customFormat="1" ht="18" hidden="1" outlineLevel="1" x14ac:dyDescent="0.35">
      <c r="D37" s="300" t="s">
        <v>166</v>
      </c>
      <c r="I37" s="301">
        <f>SUM(J37:BH37)</f>
        <v>0</v>
      </c>
      <c r="J37" s="297">
        <f>Input!R$105</f>
        <v>0</v>
      </c>
      <c r="K37" s="297">
        <f>Input!S$105</f>
        <v>0</v>
      </c>
      <c r="L37" s="297">
        <f>Input!T$105</f>
        <v>0</v>
      </c>
      <c r="M37" s="297">
        <f>Input!U$105</f>
        <v>0</v>
      </c>
      <c r="N37" s="297">
        <f>Input!V$105</f>
        <v>0</v>
      </c>
      <c r="O37" s="297">
        <f>Input!W$105</f>
        <v>0</v>
      </c>
      <c r="P37" s="297">
        <f>Input!X$105</f>
        <v>0</v>
      </c>
      <c r="Q37" s="297">
        <f>Input!Y$105</f>
        <v>0</v>
      </c>
      <c r="R37" s="297">
        <f>Input!Z$105</f>
        <v>0</v>
      </c>
      <c r="S37" s="297">
        <f>Input!AA$105</f>
        <v>0</v>
      </c>
      <c r="T37" s="297">
        <f>Input!AB$105</f>
        <v>0</v>
      </c>
      <c r="U37" s="297">
        <f>Input!AC$105</f>
        <v>0</v>
      </c>
      <c r="V37" s="297">
        <f>Input!AD$105</f>
        <v>0</v>
      </c>
      <c r="W37" s="297">
        <f>Input!AE$105</f>
        <v>0</v>
      </c>
      <c r="X37" s="297">
        <f>Input!AF$105</f>
        <v>0</v>
      </c>
      <c r="Y37" s="297">
        <f>Input!AG$105</f>
        <v>0</v>
      </c>
      <c r="Z37" s="297">
        <f>Input!AH$105</f>
        <v>0</v>
      </c>
      <c r="AA37" s="297">
        <f>Input!AI$105</f>
        <v>0</v>
      </c>
      <c r="AB37" s="297">
        <f>Input!AJ$105</f>
        <v>0</v>
      </c>
      <c r="AC37" s="297">
        <f>Input!AK$105</f>
        <v>0</v>
      </c>
      <c r="AD37" s="297">
        <f>Input!AL$105</f>
        <v>0</v>
      </c>
      <c r="AE37" s="297">
        <f>Input!AM$105</f>
        <v>0</v>
      </c>
      <c r="AF37" s="297">
        <f>Input!AN$105</f>
        <v>0</v>
      </c>
      <c r="AG37" s="297">
        <f>Input!AO$105</f>
        <v>0</v>
      </c>
      <c r="AH37" s="297">
        <f>Input!AP$105</f>
        <v>0</v>
      </c>
      <c r="AI37" s="297">
        <f>Input!AQ$105</f>
        <v>0</v>
      </c>
      <c r="AJ37" s="297">
        <f>Input!AR$105</f>
        <v>0</v>
      </c>
      <c r="AK37" s="297">
        <f>Input!AS$105</f>
        <v>0</v>
      </c>
      <c r="AL37" s="297">
        <f>Input!AT$105</f>
        <v>0</v>
      </c>
      <c r="AM37" s="297">
        <f>Input!AU$105</f>
        <v>0</v>
      </c>
      <c r="AN37" s="297">
        <f>Input!AV$105</f>
        <v>0</v>
      </c>
      <c r="AO37" s="297">
        <f>Input!AW$105</f>
        <v>0</v>
      </c>
      <c r="AP37" s="297">
        <f>Input!AX$105</f>
        <v>0</v>
      </c>
      <c r="AQ37" s="297">
        <f>Input!AY$105</f>
        <v>0</v>
      </c>
      <c r="AR37" s="297">
        <f>Input!AZ$105</f>
        <v>0</v>
      </c>
      <c r="AS37" s="297">
        <f>Input!BA$105</f>
        <v>0</v>
      </c>
      <c r="AT37" s="297">
        <f>Input!BB$105</f>
        <v>0</v>
      </c>
      <c r="AU37" s="297">
        <f>Input!BC$105</f>
        <v>0</v>
      </c>
      <c r="AV37" s="297">
        <f>Input!BD$105</f>
        <v>0</v>
      </c>
      <c r="AW37" s="297">
        <f>Input!BE$105</f>
        <v>0</v>
      </c>
      <c r="AX37" s="297">
        <f>Input!BF$105</f>
        <v>0</v>
      </c>
      <c r="AY37" s="297">
        <f>Input!BG$105</f>
        <v>0</v>
      </c>
      <c r="AZ37" s="297">
        <f>Input!BH$105</f>
        <v>0</v>
      </c>
      <c r="BA37" s="297">
        <f>Input!BI$105</f>
        <v>0</v>
      </c>
      <c r="BB37" s="297">
        <f>Input!BJ$105</f>
        <v>0</v>
      </c>
      <c r="BC37" s="297">
        <f>Input!BK$105</f>
        <v>0</v>
      </c>
      <c r="BD37" s="297">
        <f>Input!BL$105</f>
        <v>0</v>
      </c>
      <c r="BE37" s="297">
        <f>Input!BM$105</f>
        <v>0</v>
      </c>
      <c r="BF37" s="297">
        <f>Input!BN$105</f>
        <v>0</v>
      </c>
      <c r="BG37" s="297">
        <f>Input!BO$105</f>
        <v>0</v>
      </c>
      <c r="BH37" s="297">
        <f>Input!BP$105</f>
        <v>0</v>
      </c>
    </row>
    <row r="38" spans="4:60" s="265" customFormat="1" ht="18" hidden="1" outlineLevel="1" x14ac:dyDescent="0.35">
      <c r="D38" s="300" t="s">
        <v>167</v>
      </c>
      <c r="I38" s="302">
        <f>I37/I31</f>
        <v>0</v>
      </c>
      <c r="J38" s="303" t="e">
        <f>J37/J31</f>
        <v>#DIV/0!</v>
      </c>
      <c r="K38" s="303" t="e">
        <f>K37/K31</f>
        <v>#DIV/0!</v>
      </c>
      <c r="L38" s="303" t="e">
        <f t="shared" ref="L38:BH38" si="2">L37/L31</f>
        <v>#DIV/0!</v>
      </c>
      <c r="M38" s="303">
        <f t="shared" si="2"/>
        <v>0</v>
      </c>
      <c r="N38" s="303">
        <f t="shared" si="2"/>
        <v>0</v>
      </c>
      <c r="O38" s="303">
        <f t="shared" si="2"/>
        <v>0</v>
      </c>
      <c r="P38" s="303">
        <f t="shared" si="2"/>
        <v>0</v>
      </c>
      <c r="Q38" s="303">
        <f t="shared" si="2"/>
        <v>0</v>
      </c>
      <c r="R38" s="303" t="e">
        <f t="shared" si="2"/>
        <v>#DIV/0!</v>
      </c>
      <c r="S38" s="303" t="e">
        <f t="shared" si="2"/>
        <v>#DIV/0!</v>
      </c>
      <c r="T38" s="303" t="e">
        <f t="shared" si="2"/>
        <v>#DIV/0!</v>
      </c>
      <c r="U38" s="303" t="e">
        <f t="shared" si="2"/>
        <v>#DIV/0!</v>
      </c>
      <c r="V38" s="303" t="e">
        <f t="shared" si="2"/>
        <v>#DIV/0!</v>
      </c>
      <c r="W38" s="303" t="e">
        <f t="shared" si="2"/>
        <v>#DIV/0!</v>
      </c>
      <c r="X38" s="303" t="e">
        <f t="shared" si="2"/>
        <v>#DIV/0!</v>
      </c>
      <c r="Y38" s="303" t="e">
        <f t="shared" si="2"/>
        <v>#DIV/0!</v>
      </c>
      <c r="Z38" s="303" t="e">
        <f t="shared" si="2"/>
        <v>#DIV/0!</v>
      </c>
      <c r="AA38" s="303" t="e">
        <f t="shared" si="2"/>
        <v>#DIV/0!</v>
      </c>
      <c r="AB38" s="303" t="e">
        <f t="shared" si="2"/>
        <v>#DIV/0!</v>
      </c>
      <c r="AC38" s="303" t="e">
        <f t="shared" si="2"/>
        <v>#DIV/0!</v>
      </c>
      <c r="AD38" s="303" t="e">
        <f t="shared" si="2"/>
        <v>#DIV/0!</v>
      </c>
      <c r="AE38" s="303" t="e">
        <f t="shared" si="2"/>
        <v>#DIV/0!</v>
      </c>
      <c r="AF38" s="303" t="e">
        <f t="shared" si="2"/>
        <v>#DIV/0!</v>
      </c>
      <c r="AG38" s="303" t="e">
        <f t="shared" si="2"/>
        <v>#DIV/0!</v>
      </c>
      <c r="AH38" s="303" t="e">
        <f t="shared" si="2"/>
        <v>#DIV/0!</v>
      </c>
      <c r="AI38" s="303" t="e">
        <f t="shared" si="2"/>
        <v>#DIV/0!</v>
      </c>
      <c r="AJ38" s="303" t="e">
        <f t="shared" si="2"/>
        <v>#DIV/0!</v>
      </c>
      <c r="AK38" s="303" t="e">
        <f t="shared" si="2"/>
        <v>#DIV/0!</v>
      </c>
      <c r="AL38" s="303" t="e">
        <f t="shared" si="2"/>
        <v>#DIV/0!</v>
      </c>
      <c r="AM38" s="303" t="e">
        <f t="shared" si="2"/>
        <v>#DIV/0!</v>
      </c>
      <c r="AN38" s="303" t="e">
        <f t="shared" si="2"/>
        <v>#DIV/0!</v>
      </c>
      <c r="AO38" s="303" t="e">
        <f t="shared" si="2"/>
        <v>#DIV/0!</v>
      </c>
      <c r="AP38" s="303" t="e">
        <f t="shared" si="2"/>
        <v>#DIV/0!</v>
      </c>
      <c r="AQ38" s="303" t="e">
        <f t="shared" si="2"/>
        <v>#DIV/0!</v>
      </c>
      <c r="AR38" s="303" t="e">
        <f t="shared" si="2"/>
        <v>#DIV/0!</v>
      </c>
      <c r="AS38" s="303" t="e">
        <f t="shared" si="2"/>
        <v>#DIV/0!</v>
      </c>
      <c r="AT38" s="303" t="e">
        <f t="shared" si="2"/>
        <v>#DIV/0!</v>
      </c>
      <c r="AU38" s="303" t="e">
        <f t="shared" si="2"/>
        <v>#DIV/0!</v>
      </c>
      <c r="AV38" s="303" t="e">
        <f t="shared" si="2"/>
        <v>#DIV/0!</v>
      </c>
      <c r="AW38" s="303" t="e">
        <f t="shared" si="2"/>
        <v>#DIV/0!</v>
      </c>
      <c r="AX38" s="303" t="e">
        <f t="shared" si="2"/>
        <v>#DIV/0!</v>
      </c>
      <c r="AY38" s="303" t="e">
        <f t="shared" si="2"/>
        <v>#DIV/0!</v>
      </c>
      <c r="AZ38" s="303" t="e">
        <f t="shared" si="2"/>
        <v>#DIV/0!</v>
      </c>
      <c r="BA38" s="303" t="e">
        <f t="shared" si="2"/>
        <v>#DIV/0!</v>
      </c>
      <c r="BB38" s="303" t="e">
        <f t="shared" si="2"/>
        <v>#DIV/0!</v>
      </c>
      <c r="BC38" s="303" t="e">
        <f t="shared" si="2"/>
        <v>#DIV/0!</v>
      </c>
      <c r="BD38" s="303" t="e">
        <f t="shared" si="2"/>
        <v>#DIV/0!</v>
      </c>
      <c r="BE38" s="303" t="e">
        <f t="shared" si="2"/>
        <v>#DIV/0!</v>
      </c>
      <c r="BF38" s="303" t="e">
        <f t="shared" si="2"/>
        <v>#DIV/0!</v>
      </c>
      <c r="BG38" s="303" t="e">
        <f t="shared" si="2"/>
        <v>#DIV/0!</v>
      </c>
      <c r="BH38" s="303" t="e">
        <f t="shared" si="2"/>
        <v>#DIV/0!</v>
      </c>
    </row>
    <row r="39" spans="4:60" s="265" customFormat="1" ht="18" hidden="1" outlineLevel="1" x14ac:dyDescent="0.35">
      <c r="I39" s="281"/>
    </row>
    <row r="40" spans="4:60" s="265" customFormat="1" ht="18" hidden="1" outlineLevel="1" x14ac:dyDescent="0.35">
      <c r="D40" s="265" t="s">
        <v>168</v>
      </c>
      <c r="I40" s="297">
        <f>SUM(J40:BH40)</f>
        <v>0</v>
      </c>
      <c r="J40" s="298">
        <f>Calcs!R$40</f>
        <v>0</v>
      </c>
      <c r="K40" s="297">
        <f>Calcs!S$40</f>
        <v>0</v>
      </c>
      <c r="L40" s="297">
        <f>Calcs!T$40</f>
        <v>0</v>
      </c>
      <c r="M40" s="297">
        <f>Calcs!U$40</f>
        <v>0</v>
      </c>
      <c r="N40" s="297">
        <f>Calcs!V$40</f>
        <v>0</v>
      </c>
      <c r="O40" s="297">
        <f>Calcs!W$40</f>
        <v>0</v>
      </c>
      <c r="P40" s="297">
        <f>Calcs!X$40</f>
        <v>0</v>
      </c>
      <c r="Q40" s="297">
        <f>Calcs!Y$40</f>
        <v>0</v>
      </c>
      <c r="R40" s="297">
        <f>Calcs!Z$40</f>
        <v>0</v>
      </c>
      <c r="S40" s="297">
        <f>Calcs!AA$40</f>
        <v>0</v>
      </c>
      <c r="T40" s="297">
        <f>Calcs!AB$40</f>
        <v>0</v>
      </c>
      <c r="U40" s="297">
        <f>Calcs!AC$40</f>
        <v>0</v>
      </c>
      <c r="V40" s="297">
        <f>Calcs!AD$40</f>
        <v>0</v>
      </c>
      <c r="W40" s="297">
        <f>Calcs!AE$40</f>
        <v>0</v>
      </c>
      <c r="X40" s="297">
        <f>Calcs!AF$40</f>
        <v>0</v>
      </c>
      <c r="Y40" s="297">
        <f>Calcs!AG$40</f>
        <v>0</v>
      </c>
      <c r="Z40" s="297">
        <f>Calcs!AH$40</f>
        <v>0</v>
      </c>
      <c r="AA40" s="297">
        <f>Calcs!AI$40</f>
        <v>0</v>
      </c>
      <c r="AB40" s="297">
        <f>Calcs!AJ$40</f>
        <v>0</v>
      </c>
      <c r="AC40" s="297">
        <f>Calcs!AK$40</f>
        <v>0</v>
      </c>
      <c r="AD40" s="297">
        <f>Calcs!AL$40</f>
        <v>0</v>
      </c>
      <c r="AE40" s="297">
        <f>Calcs!AM$40</f>
        <v>0</v>
      </c>
      <c r="AF40" s="297">
        <f>Calcs!AN$40</f>
        <v>0</v>
      </c>
      <c r="AG40" s="297">
        <f>Calcs!AO$40</f>
        <v>0</v>
      </c>
      <c r="AH40" s="297">
        <f>Calcs!AP$40</f>
        <v>0</v>
      </c>
      <c r="AI40" s="297">
        <f>Calcs!AQ$40</f>
        <v>0</v>
      </c>
      <c r="AJ40" s="297">
        <f>Calcs!AR$40</f>
        <v>0</v>
      </c>
      <c r="AK40" s="297">
        <f>Calcs!AS$40</f>
        <v>0</v>
      </c>
      <c r="AL40" s="297">
        <f>Calcs!AT$40</f>
        <v>0</v>
      </c>
      <c r="AM40" s="297">
        <f>Calcs!AU$40</f>
        <v>0</v>
      </c>
      <c r="AN40" s="297">
        <f>Calcs!AV$40</f>
        <v>0</v>
      </c>
      <c r="AO40" s="297">
        <f>Calcs!AW$40</f>
        <v>0</v>
      </c>
      <c r="AP40" s="297">
        <f>Calcs!AX$40</f>
        <v>0</v>
      </c>
      <c r="AQ40" s="297">
        <f>Calcs!AY$40</f>
        <v>0</v>
      </c>
      <c r="AR40" s="297">
        <f>Calcs!AZ$40</f>
        <v>0</v>
      </c>
      <c r="AS40" s="297">
        <f>Calcs!BA$40</f>
        <v>0</v>
      </c>
      <c r="AT40" s="297">
        <f>Calcs!BB$40</f>
        <v>0</v>
      </c>
      <c r="AU40" s="297">
        <f>Calcs!BC$40</f>
        <v>0</v>
      </c>
      <c r="AV40" s="297">
        <f>Calcs!BD$40</f>
        <v>0</v>
      </c>
      <c r="AW40" s="297">
        <f>Calcs!BE$40</f>
        <v>0</v>
      </c>
      <c r="AX40" s="297">
        <f>Calcs!BF$40</f>
        <v>0</v>
      </c>
      <c r="AY40" s="297">
        <f>Calcs!BG$40</f>
        <v>0</v>
      </c>
      <c r="AZ40" s="297">
        <f>Calcs!BH$40</f>
        <v>0</v>
      </c>
      <c r="BA40" s="297">
        <f>Calcs!BI$40</f>
        <v>0</v>
      </c>
      <c r="BB40" s="297">
        <f>Calcs!BJ$40</f>
        <v>0</v>
      </c>
      <c r="BC40" s="297">
        <f>Calcs!BK$40</f>
        <v>0</v>
      </c>
      <c r="BD40" s="297">
        <f>Calcs!BL$40</f>
        <v>0</v>
      </c>
      <c r="BE40" s="297">
        <f>Calcs!BM$40</f>
        <v>0</v>
      </c>
      <c r="BF40" s="297">
        <f>Calcs!BN$40</f>
        <v>0</v>
      </c>
      <c r="BG40" s="297">
        <f>Calcs!BO$40</f>
        <v>0</v>
      </c>
      <c r="BH40" s="297">
        <f>Calcs!BP$40</f>
        <v>0</v>
      </c>
    </row>
    <row r="41" spans="4:60" s="265" customFormat="1" ht="18" hidden="1" outlineLevel="1" x14ac:dyDescent="0.35">
      <c r="I41" s="268"/>
      <c r="J41" s="298"/>
      <c r="K41" s="297"/>
      <c r="L41" s="297"/>
      <c r="M41" s="297"/>
      <c r="N41" s="297"/>
      <c r="O41" s="297"/>
      <c r="P41" s="297"/>
      <c r="Q41" s="297"/>
      <c r="R41" s="297"/>
      <c r="S41" s="297"/>
      <c r="T41" s="297"/>
      <c r="U41" s="297"/>
      <c r="V41" s="297"/>
      <c r="W41" s="297"/>
      <c r="X41" s="297"/>
      <c r="Y41" s="297"/>
      <c r="Z41" s="297"/>
      <c r="AA41" s="297"/>
      <c r="AB41" s="297"/>
      <c r="AC41" s="297"/>
      <c r="AD41" s="297"/>
      <c r="AE41" s="297"/>
      <c r="AF41" s="297"/>
      <c r="AG41" s="297"/>
      <c r="AH41" s="297"/>
      <c r="AI41" s="297"/>
      <c r="AJ41" s="297"/>
      <c r="AK41" s="297"/>
      <c r="AL41" s="297"/>
      <c r="AM41" s="297"/>
      <c r="AN41" s="297"/>
      <c r="AO41" s="297"/>
      <c r="AP41" s="297"/>
      <c r="AQ41" s="297"/>
      <c r="AR41" s="297"/>
      <c r="AS41" s="297"/>
      <c r="AT41" s="297"/>
      <c r="AU41" s="297"/>
      <c r="AV41" s="297"/>
      <c r="AW41" s="297"/>
      <c r="AX41" s="297"/>
      <c r="AY41" s="297"/>
      <c r="AZ41" s="297"/>
      <c r="BA41" s="297"/>
      <c r="BB41" s="297"/>
      <c r="BC41" s="297"/>
      <c r="BD41" s="297"/>
      <c r="BE41" s="297"/>
      <c r="BF41" s="297"/>
      <c r="BG41" s="297"/>
      <c r="BH41" s="297"/>
    </row>
    <row r="42" spans="4:60" s="265" customFormat="1" ht="18" hidden="1" outlineLevel="1" x14ac:dyDescent="0.35">
      <c r="D42" s="265" t="s">
        <v>169</v>
      </c>
      <c r="I42" s="297">
        <f>SUM(J42:BH42)</f>
        <v>0</v>
      </c>
      <c r="J42" s="298">
        <f>Calcs!R$58</f>
        <v>0</v>
      </c>
      <c r="K42" s="297">
        <f>Calcs!S$58</f>
        <v>0</v>
      </c>
      <c r="L42" s="297">
        <f>Calcs!T$58</f>
        <v>0</v>
      </c>
      <c r="M42" s="297">
        <f>Calcs!U$58</f>
        <v>0</v>
      </c>
      <c r="N42" s="297">
        <f>Calcs!V$58</f>
        <v>0</v>
      </c>
      <c r="O42" s="297">
        <f>Calcs!W$58</f>
        <v>0</v>
      </c>
      <c r="P42" s="297">
        <f>Calcs!X$58</f>
        <v>0</v>
      </c>
      <c r="Q42" s="297">
        <f>Calcs!Y$58</f>
        <v>0</v>
      </c>
      <c r="R42" s="297">
        <f>Calcs!Z$58</f>
        <v>0</v>
      </c>
      <c r="S42" s="297">
        <f>Calcs!AA$58</f>
        <v>0</v>
      </c>
      <c r="T42" s="297">
        <f>Calcs!AB$58</f>
        <v>0</v>
      </c>
      <c r="U42" s="297">
        <f>Calcs!AC$58</f>
        <v>0</v>
      </c>
      <c r="V42" s="297">
        <f>Calcs!AD$58</f>
        <v>0</v>
      </c>
      <c r="W42" s="297">
        <f>Calcs!AE$58</f>
        <v>0</v>
      </c>
      <c r="X42" s="297">
        <f>Calcs!AF$58</f>
        <v>0</v>
      </c>
      <c r="Y42" s="297">
        <f>Calcs!AG$58</f>
        <v>0</v>
      </c>
      <c r="Z42" s="297">
        <f>Calcs!AH$58</f>
        <v>0</v>
      </c>
      <c r="AA42" s="297">
        <f>Calcs!AI$58</f>
        <v>0</v>
      </c>
      <c r="AB42" s="297">
        <f>Calcs!AJ$58</f>
        <v>0</v>
      </c>
      <c r="AC42" s="297">
        <f>Calcs!AK$58</f>
        <v>0</v>
      </c>
      <c r="AD42" s="297">
        <f>Calcs!AL$58</f>
        <v>0</v>
      </c>
      <c r="AE42" s="297">
        <f>Calcs!AM$58</f>
        <v>0</v>
      </c>
      <c r="AF42" s="297">
        <f>Calcs!AN$58</f>
        <v>0</v>
      </c>
      <c r="AG42" s="297">
        <f>Calcs!AO$58</f>
        <v>0</v>
      </c>
      <c r="AH42" s="297">
        <f>Calcs!AP$58</f>
        <v>0</v>
      </c>
      <c r="AI42" s="297">
        <f>Calcs!AQ$58</f>
        <v>0</v>
      </c>
      <c r="AJ42" s="297">
        <f>Calcs!AR$58</f>
        <v>0</v>
      </c>
      <c r="AK42" s="297">
        <f>Calcs!AS$58</f>
        <v>0</v>
      </c>
      <c r="AL42" s="297">
        <f>Calcs!AT$58</f>
        <v>0</v>
      </c>
      <c r="AM42" s="297">
        <f>Calcs!AU$58</f>
        <v>0</v>
      </c>
      <c r="AN42" s="297">
        <f>Calcs!AV$58</f>
        <v>0</v>
      </c>
      <c r="AO42" s="297">
        <f>Calcs!AW$58</f>
        <v>0</v>
      </c>
      <c r="AP42" s="297">
        <f>Calcs!AX$58</f>
        <v>0</v>
      </c>
      <c r="AQ42" s="297">
        <f>Calcs!AY$58</f>
        <v>0</v>
      </c>
      <c r="AR42" s="297">
        <f>Calcs!AZ$58</f>
        <v>0</v>
      </c>
      <c r="AS42" s="297">
        <f>Calcs!BA$58</f>
        <v>0</v>
      </c>
      <c r="AT42" s="297">
        <f>Calcs!BB$58</f>
        <v>0</v>
      </c>
      <c r="AU42" s="297">
        <f>Calcs!BC$58</f>
        <v>0</v>
      </c>
      <c r="AV42" s="297">
        <f>Calcs!BD$58</f>
        <v>0</v>
      </c>
      <c r="AW42" s="297">
        <f>Calcs!BE$58</f>
        <v>0</v>
      </c>
      <c r="AX42" s="297">
        <f>Calcs!BF$58</f>
        <v>0</v>
      </c>
      <c r="AY42" s="297">
        <f>Calcs!BG$58</f>
        <v>0</v>
      </c>
      <c r="AZ42" s="297">
        <f>Calcs!BH$58</f>
        <v>0</v>
      </c>
      <c r="BA42" s="297">
        <f>Calcs!BI$58</f>
        <v>0</v>
      </c>
      <c r="BB42" s="297">
        <f>Calcs!BJ$58</f>
        <v>0</v>
      </c>
      <c r="BC42" s="297">
        <f>Calcs!BK$58</f>
        <v>0</v>
      </c>
      <c r="BD42" s="297">
        <f>Calcs!BL$58</f>
        <v>0</v>
      </c>
      <c r="BE42" s="297">
        <f>Calcs!BM$58</f>
        <v>0</v>
      </c>
      <c r="BF42" s="297">
        <f>Calcs!BN$58</f>
        <v>0</v>
      </c>
      <c r="BG42" s="297">
        <f>Calcs!BO$58</f>
        <v>0</v>
      </c>
      <c r="BH42" s="297">
        <f>Calcs!BP$58</f>
        <v>0</v>
      </c>
    </row>
    <row r="43" spans="4:60" s="265" customFormat="1" ht="18" hidden="1" outlineLevel="1" x14ac:dyDescent="0.35">
      <c r="D43" s="299" t="s">
        <v>170</v>
      </c>
      <c r="I43" s="297">
        <f>SUM(J43:BH43)</f>
        <v>0</v>
      </c>
      <c r="J43" s="298">
        <f>Calcs!R$59</f>
        <v>0</v>
      </c>
      <c r="K43" s="297">
        <f>Calcs!S$59</f>
        <v>0</v>
      </c>
      <c r="L43" s="297">
        <f>Calcs!T$59</f>
        <v>0</v>
      </c>
      <c r="M43" s="297">
        <f>Calcs!U$59</f>
        <v>0</v>
      </c>
      <c r="N43" s="297">
        <f>Calcs!V$59</f>
        <v>0</v>
      </c>
      <c r="O43" s="297">
        <f>Calcs!W$59</f>
        <v>0</v>
      </c>
      <c r="P43" s="297">
        <f>Calcs!X$59</f>
        <v>0</v>
      </c>
      <c r="Q43" s="297">
        <f>Calcs!Y$59</f>
        <v>0</v>
      </c>
      <c r="R43" s="297">
        <f>Calcs!Z$59</f>
        <v>0</v>
      </c>
      <c r="S43" s="297">
        <f>Calcs!AA$59</f>
        <v>0</v>
      </c>
      <c r="T43" s="297">
        <f>Calcs!AB$59</f>
        <v>0</v>
      </c>
      <c r="U43" s="297">
        <f>Calcs!AC$59</f>
        <v>0</v>
      </c>
      <c r="V43" s="297">
        <f>Calcs!AD$59</f>
        <v>0</v>
      </c>
      <c r="W43" s="297">
        <f>Calcs!AE$59</f>
        <v>0</v>
      </c>
      <c r="X43" s="297">
        <f>Calcs!AF$59</f>
        <v>0</v>
      </c>
      <c r="Y43" s="297">
        <f>Calcs!AG$59</f>
        <v>0</v>
      </c>
      <c r="Z43" s="297">
        <f>Calcs!AH$59</f>
        <v>0</v>
      </c>
      <c r="AA43" s="297">
        <f>Calcs!AI$59</f>
        <v>0</v>
      </c>
      <c r="AB43" s="297">
        <f>Calcs!AJ$59</f>
        <v>0</v>
      </c>
      <c r="AC43" s="297">
        <f>Calcs!AK$59</f>
        <v>0</v>
      </c>
      <c r="AD43" s="297">
        <f>Calcs!AL$59</f>
        <v>0</v>
      </c>
      <c r="AE43" s="297">
        <f>Calcs!AM$59</f>
        <v>0</v>
      </c>
      <c r="AF43" s="297">
        <f>Calcs!AN$59</f>
        <v>0</v>
      </c>
      <c r="AG43" s="297">
        <f>Calcs!AO$59</f>
        <v>0</v>
      </c>
      <c r="AH43" s="297">
        <f>Calcs!AP$59</f>
        <v>0</v>
      </c>
      <c r="AI43" s="297">
        <f>Calcs!AQ$59</f>
        <v>0</v>
      </c>
      <c r="AJ43" s="297">
        <f>Calcs!AR$59</f>
        <v>0</v>
      </c>
      <c r="AK43" s="297">
        <f>Calcs!AS$59</f>
        <v>0</v>
      </c>
      <c r="AL43" s="297">
        <f>Calcs!AT$59</f>
        <v>0</v>
      </c>
      <c r="AM43" s="297">
        <f>Calcs!AU$59</f>
        <v>0</v>
      </c>
      <c r="AN43" s="297">
        <f>Calcs!AV$59</f>
        <v>0</v>
      </c>
      <c r="AO43" s="297">
        <f>Calcs!AW$59</f>
        <v>0</v>
      </c>
      <c r="AP43" s="297">
        <f>Calcs!AX$59</f>
        <v>0</v>
      </c>
      <c r="AQ43" s="297">
        <f>Calcs!AY$59</f>
        <v>0</v>
      </c>
      <c r="AR43" s="297">
        <f>Calcs!AZ$59</f>
        <v>0</v>
      </c>
      <c r="AS43" s="297">
        <f>Calcs!BA$59</f>
        <v>0</v>
      </c>
      <c r="AT43" s="297">
        <f>Calcs!BB$59</f>
        <v>0</v>
      </c>
      <c r="AU43" s="297">
        <f>Calcs!BC$59</f>
        <v>0</v>
      </c>
      <c r="AV43" s="297">
        <f>Calcs!BD$59</f>
        <v>0</v>
      </c>
      <c r="AW43" s="297">
        <f>Calcs!BE$59</f>
        <v>0</v>
      </c>
      <c r="AX43" s="297">
        <f>Calcs!BF$59</f>
        <v>0</v>
      </c>
      <c r="AY43" s="297">
        <f>Calcs!BG$59</f>
        <v>0</v>
      </c>
      <c r="AZ43" s="297">
        <f>Calcs!BH$59</f>
        <v>0</v>
      </c>
      <c r="BA43" s="297">
        <f>Calcs!BI$59</f>
        <v>0</v>
      </c>
      <c r="BB43" s="297">
        <f>Calcs!BJ$59</f>
        <v>0</v>
      </c>
      <c r="BC43" s="297">
        <f>Calcs!BK$59</f>
        <v>0</v>
      </c>
      <c r="BD43" s="297">
        <f>Calcs!BL$59</f>
        <v>0</v>
      </c>
      <c r="BE43" s="297">
        <f>Calcs!BM$59</f>
        <v>0</v>
      </c>
      <c r="BF43" s="297">
        <f>Calcs!BN$59</f>
        <v>0</v>
      </c>
      <c r="BG43" s="297">
        <f>Calcs!BO$59</f>
        <v>0</v>
      </c>
      <c r="BH43" s="297">
        <f>Calcs!BP$59</f>
        <v>0</v>
      </c>
    </row>
    <row r="44" spans="4:60" s="265" customFormat="1" ht="18" hidden="1" outlineLevel="1" x14ac:dyDescent="0.35">
      <c r="D44" s="299"/>
      <c r="I44" s="297"/>
      <c r="J44" s="298"/>
      <c r="K44" s="297"/>
      <c r="L44" s="297"/>
      <c r="M44" s="297"/>
      <c r="N44" s="297"/>
      <c r="O44" s="297"/>
      <c r="P44" s="297"/>
      <c r="Q44" s="297"/>
      <c r="R44" s="297"/>
      <c r="S44" s="297"/>
      <c r="T44" s="297"/>
      <c r="U44" s="297"/>
      <c r="V44" s="297"/>
      <c r="W44" s="297"/>
      <c r="X44" s="297"/>
      <c r="Y44" s="297"/>
      <c r="Z44" s="297"/>
      <c r="AA44" s="297"/>
      <c r="AB44" s="297"/>
      <c r="AC44" s="297"/>
      <c r="AD44" s="297"/>
      <c r="AE44" s="297"/>
      <c r="AF44" s="297"/>
      <c r="AG44" s="297"/>
      <c r="AH44" s="297"/>
      <c r="AI44" s="297"/>
      <c r="AJ44" s="297"/>
      <c r="AK44" s="297"/>
      <c r="AL44" s="297"/>
      <c r="AM44" s="297"/>
      <c r="AN44" s="297"/>
      <c r="AO44" s="297"/>
      <c r="AP44" s="297"/>
      <c r="AQ44" s="297"/>
      <c r="AR44" s="297"/>
      <c r="AS44" s="297"/>
      <c r="AT44" s="297"/>
      <c r="AU44" s="297"/>
      <c r="AV44" s="297"/>
      <c r="AW44" s="297"/>
      <c r="AX44" s="297"/>
      <c r="AY44" s="297"/>
      <c r="AZ44" s="297"/>
      <c r="BA44" s="297"/>
      <c r="BB44" s="297"/>
      <c r="BC44" s="297"/>
      <c r="BD44" s="297"/>
      <c r="BE44" s="297"/>
      <c r="BF44" s="297"/>
      <c r="BG44" s="297"/>
      <c r="BH44" s="297"/>
    </row>
    <row r="45" spans="4:60" s="265" customFormat="1" ht="18" hidden="1" outlineLevel="1" x14ac:dyDescent="0.35">
      <c r="D45" s="332" t="s">
        <v>129</v>
      </c>
      <c r="I45" s="297">
        <f>SUM(J45:BH45)</f>
        <v>6829031.86905412</v>
      </c>
      <c r="J45" s="298">
        <f>Calcs!R157</f>
        <v>0</v>
      </c>
      <c r="K45" s="297">
        <f>Calcs!S157</f>
        <v>0</v>
      </c>
      <c r="L45" s="297">
        <f>Calcs!T157</f>
        <v>0</v>
      </c>
      <c r="M45" s="297">
        <f>Calcs!U157</f>
        <v>984614.10454988095</v>
      </c>
      <c r="N45" s="297">
        <f>Calcs!V157</f>
        <v>999022.85284218902</v>
      </c>
      <c r="O45" s="297">
        <f>Calcs!W157</f>
        <v>1005767.09087051</v>
      </c>
      <c r="P45" s="297">
        <f>Calcs!X157</f>
        <v>1006463.54237789</v>
      </c>
      <c r="Q45" s="297">
        <f>Calcs!Y157</f>
        <v>1008165.42569475</v>
      </c>
      <c r="R45" s="297">
        <f>Calcs!Z157</f>
        <v>1824998.8527189</v>
      </c>
      <c r="S45" s="297">
        <f>Calcs!AA157</f>
        <v>0</v>
      </c>
      <c r="T45" s="297">
        <f>Calcs!AB157</f>
        <v>0</v>
      </c>
      <c r="U45" s="297">
        <f>Calcs!AC157</f>
        <v>0</v>
      </c>
      <c r="V45" s="297">
        <f>Calcs!AD157</f>
        <v>0</v>
      </c>
      <c r="W45" s="297">
        <f>Calcs!AE157</f>
        <v>0</v>
      </c>
      <c r="X45" s="297">
        <f>Calcs!AF157</f>
        <v>0</v>
      </c>
      <c r="Y45" s="297">
        <f>Calcs!AG157</f>
        <v>0</v>
      </c>
      <c r="Z45" s="297">
        <f>Calcs!AH157</f>
        <v>0</v>
      </c>
      <c r="AA45" s="297">
        <f>Calcs!AI157</f>
        <v>0</v>
      </c>
      <c r="AB45" s="297">
        <f>Calcs!AJ157</f>
        <v>0</v>
      </c>
      <c r="AC45" s="297">
        <f>Calcs!AK157</f>
        <v>0</v>
      </c>
      <c r="AD45" s="297">
        <f>Calcs!AL157</f>
        <v>0</v>
      </c>
      <c r="AE45" s="297">
        <f>Calcs!AM157</f>
        <v>0</v>
      </c>
      <c r="AF45" s="297">
        <f>Calcs!AN157</f>
        <v>0</v>
      </c>
      <c r="AG45" s="297">
        <f>Calcs!AO157</f>
        <v>0</v>
      </c>
      <c r="AH45" s="297">
        <f>Calcs!AP157</f>
        <v>0</v>
      </c>
      <c r="AI45" s="297">
        <f>Calcs!AQ157</f>
        <v>0</v>
      </c>
      <c r="AJ45" s="297">
        <f>Calcs!AR157</f>
        <v>0</v>
      </c>
      <c r="AK45" s="297">
        <f>Calcs!AS157</f>
        <v>0</v>
      </c>
      <c r="AL45" s="297">
        <f>Calcs!AT157</f>
        <v>0</v>
      </c>
      <c r="AM45" s="297">
        <f>Calcs!AU157</f>
        <v>0</v>
      </c>
      <c r="AN45" s="297">
        <f>Calcs!AV157</f>
        <v>0</v>
      </c>
      <c r="AO45" s="297">
        <f>Calcs!AW157</f>
        <v>0</v>
      </c>
      <c r="AP45" s="297">
        <f>Calcs!AX157</f>
        <v>0</v>
      </c>
      <c r="AQ45" s="297">
        <f>Calcs!AY157</f>
        <v>0</v>
      </c>
      <c r="AR45" s="297">
        <f>Calcs!AZ157</f>
        <v>0</v>
      </c>
      <c r="AS45" s="297">
        <f>Calcs!BA157</f>
        <v>0</v>
      </c>
      <c r="AT45" s="297">
        <f>Calcs!BB157</f>
        <v>0</v>
      </c>
      <c r="AU45" s="297">
        <f>Calcs!BC157</f>
        <v>0</v>
      </c>
      <c r="AV45" s="297">
        <f>Calcs!BD157</f>
        <v>0</v>
      </c>
      <c r="AW45" s="297">
        <f>Calcs!BE157</f>
        <v>0</v>
      </c>
      <c r="AX45" s="297">
        <f>Calcs!BF157</f>
        <v>0</v>
      </c>
      <c r="AY45" s="297">
        <f>Calcs!BG157</f>
        <v>0</v>
      </c>
      <c r="AZ45" s="297">
        <f>Calcs!BH157</f>
        <v>0</v>
      </c>
      <c r="BA45" s="297">
        <f>Calcs!BI157</f>
        <v>0</v>
      </c>
      <c r="BB45" s="297">
        <f>Calcs!BJ157</f>
        <v>0</v>
      </c>
      <c r="BC45" s="297">
        <f>Calcs!BK157</f>
        <v>0</v>
      </c>
      <c r="BD45" s="297">
        <f>Calcs!BL157</f>
        <v>0</v>
      </c>
      <c r="BE45" s="297">
        <f>Calcs!BM157</f>
        <v>0</v>
      </c>
      <c r="BF45" s="297">
        <f>Calcs!BN157</f>
        <v>0</v>
      </c>
      <c r="BG45" s="297">
        <f>Calcs!BO157</f>
        <v>0</v>
      </c>
      <c r="BH45" s="297">
        <f>Calcs!BP157</f>
        <v>0</v>
      </c>
    </row>
    <row r="46" spans="4:60" s="265" customFormat="1" ht="18" hidden="1" outlineLevel="1" x14ac:dyDescent="0.35">
      <c r="D46" s="299"/>
      <c r="I46" s="268"/>
      <c r="J46" s="298"/>
      <c r="K46" s="297"/>
      <c r="L46" s="297"/>
      <c r="M46" s="297"/>
      <c r="N46" s="297"/>
      <c r="O46" s="297"/>
      <c r="P46" s="297"/>
      <c r="Q46" s="297"/>
      <c r="R46" s="297"/>
      <c r="S46" s="297"/>
      <c r="T46" s="297"/>
      <c r="U46" s="297"/>
      <c r="V46" s="297"/>
      <c r="W46" s="297"/>
      <c r="X46" s="297"/>
      <c r="Y46" s="297"/>
      <c r="Z46" s="297"/>
      <c r="AA46" s="297"/>
      <c r="AB46" s="297"/>
      <c r="AC46" s="297"/>
      <c r="AD46" s="297"/>
      <c r="AE46" s="297"/>
      <c r="AF46" s="297"/>
      <c r="AG46" s="297"/>
      <c r="AH46" s="297"/>
      <c r="AI46" s="297"/>
      <c r="AJ46" s="297"/>
      <c r="AK46" s="297"/>
      <c r="AL46" s="297"/>
      <c r="AM46" s="297"/>
      <c r="AN46" s="297"/>
      <c r="AO46" s="297"/>
      <c r="AP46" s="297"/>
      <c r="AQ46" s="297"/>
      <c r="AR46" s="297"/>
      <c r="AS46" s="297"/>
      <c r="AT46" s="297"/>
      <c r="AU46" s="297"/>
      <c r="AV46" s="297"/>
      <c r="AW46" s="297"/>
      <c r="AX46" s="297"/>
      <c r="AY46" s="297"/>
      <c r="AZ46" s="297"/>
      <c r="BA46" s="297"/>
      <c r="BB46" s="297"/>
      <c r="BC46" s="297"/>
      <c r="BD46" s="297"/>
      <c r="BE46" s="297"/>
      <c r="BF46" s="297"/>
      <c r="BG46" s="297"/>
      <c r="BH46" s="297"/>
    </row>
    <row r="47" spans="4:60" s="265" customFormat="1" ht="18" hidden="1" outlineLevel="1" x14ac:dyDescent="0.35">
      <c r="D47" s="266" t="s">
        <v>171</v>
      </c>
      <c r="I47" s="304">
        <f>SUM(J47:BH47)</f>
        <v>-8501407.13094588</v>
      </c>
      <c r="J47" s="305">
        <f>SUM(J31,J37,J40,J42:J43,J45)</f>
        <v>0</v>
      </c>
      <c r="K47" s="305">
        <f>SUM(K31,K37,K40,K42:K43,K45)</f>
        <v>0</v>
      </c>
      <c r="L47" s="305">
        <f t="shared" ref="L47:BH47" si="3">SUM(L31,L37,L40,L42:L43,L45)</f>
        <v>0</v>
      </c>
      <c r="M47" s="305">
        <f t="shared" si="3"/>
        <v>-1729755.8954501189</v>
      </c>
      <c r="N47" s="305">
        <f t="shared" si="3"/>
        <v>-2262202.1471578111</v>
      </c>
      <c r="O47" s="305">
        <f t="shared" si="3"/>
        <v>-2268708.9091294901</v>
      </c>
      <c r="P47" s="305">
        <f t="shared" si="3"/>
        <v>-1724282.4576221099</v>
      </c>
      <c r="Q47" s="305">
        <f t="shared" si="3"/>
        <v>-2341456.5743052498</v>
      </c>
      <c r="R47" s="305">
        <f t="shared" si="3"/>
        <v>1824998.8527189</v>
      </c>
      <c r="S47" s="305">
        <f t="shared" si="3"/>
        <v>0</v>
      </c>
      <c r="T47" s="305">
        <f t="shared" si="3"/>
        <v>0</v>
      </c>
      <c r="U47" s="305">
        <f t="shared" si="3"/>
        <v>0</v>
      </c>
      <c r="V47" s="305">
        <f t="shared" si="3"/>
        <v>0</v>
      </c>
      <c r="W47" s="305">
        <f t="shared" si="3"/>
        <v>0</v>
      </c>
      <c r="X47" s="305">
        <f t="shared" si="3"/>
        <v>0</v>
      </c>
      <c r="Y47" s="305">
        <f t="shared" si="3"/>
        <v>0</v>
      </c>
      <c r="Z47" s="305">
        <f t="shared" si="3"/>
        <v>0</v>
      </c>
      <c r="AA47" s="305">
        <f t="shared" si="3"/>
        <v>0</v>
      </c>
      <c r="AB47" s="305">
        <f t="shared" si="3"/>
        <v>0</v>
      </c>
      <c r="AC47" s="305">
        <f t="shared" si="3"/>
        <v>0</v>
      </c>
      <c r="AD47" s="305">
        <f t="shared" si="3"/>
        <v>0</v>
      </c>
      <c r="AE47" s="305">
        <f t="shared" si="3"/>
        <v>0</v>
      </c>
      <c r="AF47" s="305">
        <f t="shared" si="3"/>
        <v>0</v>
      </c>
      <c r="AG47" s="305">
        <f t="shared" si="3"/>
        <v>0</v>
      </c>
      <c r="AH47" s="305">
        <f t="shared" si="3"/>
        <v>0</v>
      </c>
      <c r="AI47" s="305">
        <f t="shared" si="3"/>
        <v>0</v>
      </c>
      <c r="AJ47" s="305">
        <f t="shared" si="3"/>
        <v>0</v>
      </c>
      <c r="AK47" s="305">
        <f t="shared" si="3"/>
        <v>0</v>
      </c>
      <c r="AL47" s="305">
        <f t="shared" si="3"/>
        <v>0</v>
      </c>
      <c r="AM47" s="305">
        <f t="shared" si="3"/>
        <v>0</v>
      </c>
      <c r="AN47" s="305">
        <f t="shared" si="3"/>
        <v>0</v>
      </c>
      <c r="AO47" s="305">
        <f t="shared" si="3"/>
        <v>0</v>
      </c>
      <c r="AP47" s="305">
        <f t="shared" si="3"/>
        <v>0</v>
      </c>
      <c r="AQ47" s="305">
        <f t="shared" si="3"/>
        <v>0</v>
      </c>
      <c r="AR47" s="305">
        <f t="shared" si="3"/>
        <v>0</v>
      </c>
      <c r="AS47" s="305">
        <f t="shared" si="3"/>
        <v>0</v>
      </c>
      <c r="AT47" s="305">
        <f t="shared" si="3"/>
        <v>0</v>
      </c>
      <c r="AU47" s="305">
        <f t="shared" si="3"/>
        <v>0</v>
      </c>
      <c r="AV47" s="305">
        <f t="shared" si="3"/>
        <v>0</v>
      </c>
      <c r="AW47" s="305">
        <f t="shared" si="3"/>
        <v>0</v>
      </c>
      <c r="AX47" s="305">
        <f t="shared" si="3"/>
        <v>0</v>
      </c>
      <c r="AY47" s="305">
        <f t="shared" si="3"/>
        <v>0</v>
      </c>
      <c r="AZ47" s="305">
        <f t="shared" si="3"/>
        <v>0</v>
      </c>
      <c r="BA47" s="305">
        <f t="shared" si="3"/>
        <v>0</v>
      </c>
      <c r="BB47" s="305">
        <f t="shared" si="3"/>
        <v>0</v>
      </c>
      <c r="BC47" s="305">
        <f t="shared" si="3"/>
        <v>0</v>
      </c>
      <c r="BD47" s="305">
        <f t="shared" si="3"/>
        <v>0</v>
      </c>
      <c r="BE47" s="305">
        <f t="shared" si="3"/>
        <v>0</v>
      </c>
      <c r="BF47" s="305">
        <f t="shared" si="3"/>
        <v>0</v>
      </c>
      <c r="BG47" s="305">
        <f t="shared" si="3"/>
        <v>0</v>
      </c>
      <c r="BH47" s="305">
        <f t="shared" si="3"/>
        <v>0</v>
      </c>
    </row>
    <row r="48" spans="4:60" s="265" customFormat="1" ht="18" hidden="1" outlineLevel="1" x14ac:dyDescent="0.35"/>
    <row r="49" spans="2:26" s="307" customFormat="1" ht="18" collapsed="1" x14ac:dyDescent="0.35">
      <c r="C49" s="306" t="s">
        <v>172</v>
      </c>
    </row>
    <row r="50" spans="2:26" s="265" customFormat="1" ht="18" hidden="1" outlineLevel="1" x14ac:dyDescent="0.35">
      <c r="C50" s="308"/>
    </row>
    <row r="51" spans="2:26" s="265" customFormat="1" ht="18" hidden="1" outlineLevel="1" x14ac:dyDescent="0.35">
      <c r="C51" s="308"/>
    </row>
    <row r="52" spans="2:26" s="265" customFormat="1" ht="18" hidden="1" outlineLevel="1" x14ac:dyDescent="0.35">
      <c r="C52" s="308"/>
    </row>
    <row r="53" spans="2:26" s="265" customFormat="1" ht="18" hidden="1" outlineLevel="1" x14ac:dyDescent="0.35"/>
    <row r="54" spans="2:26" s="265" customFormat="1" ht="54" hidden="1" outlineLevel="1" x14ac:dyDescent="0.35">
      <c r="I54" s="268"/>
      <c r="J54" s="309" t="s">
        <v>173</v>
      </c>
      <c r="K54" s="309" t="s">
        <v>174</v>
      </c>
      <c r="L54" s="309" t="s">
        <v>41</v>
      </c>
      <c r="M54" s="309" t="s">
        <v>175</v>
      </c>
      <c r="N54" s="309" t="s">
        <v>176</v>
      </c>
      <c r="O54" s="319" t="s">
        <v>28</v>
      </c>
      <c r="P54" s="319" t="s">
        <v>32</v>
      </c>
      <c r="R54" s="309" t="s">
        <v>177</v>
      </c>
      <c r="T54" s="309" t="s">
        <v>178</v>
      </c>
    </row>
    <row r="55" spans="2:26" s="265" customFormat="1" ht="18" hidden="1" outlineLevel="1" x14ac:dyDescent="0.35">
      <c r="I55" s="268"/>
      <c r="J55" s="268"/>
      <c r="K55" s="268"/>
      <c r="L55" s="268"/>
      <c r="M55" s="268"/>
      <c r="N55" s="268"/>
      <c r="R55" s="268"/>
    </row>
    <row r="56" spans="2:26" s="265" customFormat="1" ht="18" hidden="1" outlineLevel="1" x14ac:dyDescent="0.35">
      <c r="D56" s="266" t="s">
        <v>179</v>
      </c>
      <c r="H56" s="268" t="s">
        <v>180</v>
      </c>
      <c r="J56" s="288">
        <f>$AN$243</f>
        <v>-13.43255451712584</v>
      </c>
      <c r="K56" s="288">
        <f>$AN$244+$AN$245</f>
        <v>4.8206653303843439</v>
      </c>
      <c r="L56" s="288">
        <f>$AN$248</f>
        <v>0</v>
      </c>
      <c r="M56" s="288">
        <f>$AN$251</f>
        <v>33.254402760670537</v>
      </c>
      <c r="N56" s="288">
        <f>$AN$249</f>
        <v>0</v>
      </c>
      <c r="O56" s="288">
        <f>$AN$247</f>
        <v>0</v>
      </c>
      <c r="P56" s="288">
        <f>$AN$246</f>
        <v>0</v>
      </c>
      <c r="Q56" s="310"/>
      <c r="R56" s="288">
        <f>SUM(J56:Q56)</f>
        <v>24.64251357392904</v>
      </c>
      <c r="T56" s="267" t="str">
        <f>IF(ROUND($R$56,7)=ROUND(Calcs!$K$448/1000000,7),"Ok","Check")</f>
        <v>Ok</v>
      </c>
    </row>
    <row r="57" spans="2:26" s="265" customFormat="1" ht="18" hidden="1" outlineLevel="1" x14ac:dyDescent="0.35">
      <c r="H57" s="268"/>
      <c r="J57" s="268"/>
      <c r="K57" s="268"/>
      <c r="L57" s="268"/>
      <c r="N57" s="268"/>
      <c r="O57" s="268"/>
      <c r="P57" s="268"/>
      <c r="Q57" s="268"/>
    </row>
    <row r="58" spans="2:26" s="265" customFormat="1" ht="54" hidden="1" outlineLevel="1" x14ac:dyDescent="0.35">
      <c r="H58" s="268"/>
      <c r="J58" s="309" t="s">
        <v>160</v>
      </c>
      <c r="K58" s="309" t="s">
        <v>110</v>
      </c>
      <c r="L58" s="309" t="s">
        <v>181</v>
      </c>
      <c r="M58" s="319" t="s">
        <v>32</v>
      </c>
      <c r="N58" s="309" t="s">
        <v>182</v>
      </c>
      <c r="O58" s="309" t="s">
        <v>174</v>
      </c>
      <c r="P58" s="309" t="s">
        <v>176</v>
      </c>
      <c r="Q58" s="309" t="s">
        <v>175</v>
      </c>
      <c r="R58" s="309" t="s">
        <v>183</v>
      </c>
      <c r="T58" s="309" t="s">
        <v>178</v>
      </c>
    </row>
    <row r="59" spans="2:26" s="265" customFormat="1" ht="18" hidden="1" outlineLevel="1" x14ac:dyDescent="0.35">
      <c r="H59" s="268"/>
      <c r="J59" s="268"/>
      <c r="K59" s="268"/>
      <c r="L59" s="268"/>
      <c r="N59" s="268"/>
      <c r="O59" s="268"/>
      <c r="P59" s="268"/>
      <c r="Q59" s="268"/>
    </row>
    <row r="60" spans="2:26" s="265" customFormat="1" ht="18" hidden="1" outlineLevel="1" x14ac:dyDescent="0.35">
      <c r="D60" s="266" t="s">
        <v>184</v>
      </c>
      <c r="H60" s="268" t="s">
        <v>180</v>
      </c>
      <c r="J60" s="288">
        <f>(Calcs!$K$302)/1000000</f>
        <v>-12.938751245002702</v>
      </c>
      <c r="K60" s="288">
        <f>(Calcs!$K$303+Calcs!$K$308)/1000000</f>
        <v>0</v>
      </c>
      <c r="L60" s="288">
        <f>Calcs!$K$307/1000000</f>
        <v>0</v>
      </c>
      <c r="M60" s="288">
        <f>$AN$210</f>
        <v>0.16284685430382861</v>
      </c>
      <c r="N60" s="288">
        <f>$AN$211</f>
        <v>1.1804364060402988</v>
      </c>
      <c r="O60" s="288">
        <f>$AN$212+$AN$213+$AN$214</f>
        <v>0</v>
      </c>
      <c r="P60" s="288">
        <f>$AN$215</f>
        <v>0</v>
      </c>
      <c r="Q60" s="288">
        <f>$AN$217</f>
        <v>0</v>
      </c>
      <c r="R60" s="288">
        <f>SUM(J60:Q60)</f>
        <v>-11.595467984658574</v>
      </c>
      <c r="T60" s="267" t="str">
        <f>IF(ROUND($R$60,7)=ROUND(Calcs!$K$369/1000000,7),"Ok","Check")</f>
        <v>Check</v>
      </c>
    </row>
    <row r="61" spans="2:26" s="265" customFormat="1" ht="18" hidden="1" outlineLevel="1" x14ac:dyDescent="0.35">
      <c r="I61" s="268"/>
      <c r="J61" s="268"/>
      <c r="K61" s="268"/>
      <c r="L61" s="268"/>
      <c r="M61" s="268"/>
      <c r="N61" s="268"/>
      <c r="O61" s="268"/>
      <c r="P61" s="268"/>
    </row>
    <row r="62" spans="2:26" s="265" customFormat="1" ht="18" hidden="1" outlineLevel="1" x14ac:dyDescent="0.35">
      <c r="I62" s="268"/>
      <c r="J62" s="268"/>
      <c r="K62" s="268"/>
      <c r="L62" s="268"/>
      <c r="M62" s="268"/>
      <c r="N62" s="268"/>
      <c r="O62" s="268"/>
      <c r="P62" s="268"/>
    </row>
    <row r="63" spans="2:26" s="265" customFormat="1" ht="18" hidden="1" outlineLevel="1" x14ac:dyDescent="0.35">
      <c r="X63" s="192"/>
      <c r="Y63" s="192"/>
      <c r="Z63" s="192"/>
    </row>
    <row r="64" spans="2:26" s="215" customFormat="1" collapsed="1" x14ac:dyDescent="0.3">
      <c r="B64" s="216" t="s">
        <v>185</v>
      </c>
    </row>
    <row r="65" spans="2:51" s="311" customFormat="1" ht="21" hidden="1" outlineLevel="1" x14ac:dyDescent="0.4">
      <c r="B65" s="312"/>
    </row>
    <row r="66" spans="2:51" s="311" customFormat="1" ht="21" hidden="1" outlineLevel="1" x14ac:dyDescent="0.4"/>
    <row r="67" spans="2:51" s="311" customFormat="1" ht="21" hidden="1" outlineLevel="1" x14ac:dyDescent="0.4"/>
    <row r="68" spans="2:51" s="311" customFormat="1" ht="21" hidden="1" outlineLevel="1" x14ac:dyDescent="0.4"/>
    <row r="69" spans="2:51" s="311" customFormat="1" ht="21" hidden="1" outlineLevel="1" x14ac:dyDescent="0.4"/>
    <row r="70" spans="2:51" ht="10.35" hidden="1" customHeight="1" outlineLevel="1" x14ac:dyDescent="0.3"/>
    <row r="71" spans="2:51" ht="10.35" hidden="1" customHeight="1" outlineLevel="1" x14ac:dyDescent="0.3">
      <c r="AB71" s="195"/>
    </row>
    <row r="72" spans="2:51" ht="9.9" hidden="1" customHeight="1" outlineLevel="1" x14ac:dyDescent="0.3">
      <c r="AB72" s="195"/>
      <c r="AM72" s="200" t="s">
        <v>186</v>
      </c>
      <c r="AN72" s="200" t="s">
        <v>187</v>
      </c>
    </row>
    <row r="73" spans="2:51" ht="14.1" hidden="1" customHeight="1" outlineLevel="1" x14ac:dyDescent="0.3">
      <c r="AB73" s="195"/>
      <c r="AN73" s="200" t="s">
        <v>188</v>
      </c>
    </row>
    <row r="74" spans="2:51" ht="14.1" hidden="1" customHeight="1" outlineLevel="1" x14ac:dyDescent="0.3">
      <c r="AB74" s="195"/>
      <c r="AN74" s="200" t="s">
        <v>189</v>
      </c>
    </row>
    <row r="75" spans="2:51" ht="14.1" hidden="1" customHeight="1" outlineLevel="1" x14ac:dyDescent="0.3">
      <c r="AB75" s="195"/>
      <c r="AN75" s="200" t="s">
        <v>190</v>
      </c>
    </row>
    <row r="76" spans="2:51" ht="14.1" hidden="1" customHeight="1" outlineLevel="1" x14ac:dyDescent="0.3">
      <c r="AB76" s="195"/>
    </row>
    <row r="77" spans="2:51" ht="14.1" hidden="1" customHeight="1" outlineLevel="1" x14ac:dyDescent="0.3">
      <c r="AB77" s="195"/>
      <c r="AH77" s="386"/>
      <c r="AM77" s="227" t="s">
        <v>183</v>
      </c>
      <c r="AN77" s="227"/>
      <c r="AO77" s="227"/>
      <c r="AP77" s="228" t="s">
        <v>191</v>
      </c>
      <c r="AQ77" s="229"/>
      <c r="AR77" s="229"/>
      <c r="AS77" s="229"/>
      <c r="AT77" s="229"/>
      <c r="AU77" s="229"/>
      <c r="AV77" s="229"/>
      <c r="AW77" s="229"/>
    </row>
    <row r="78" spans="2:51" ht="14.1" hidden="1" customHeight="1" outlineLevel="1" x14ac:dyDescent="0.3">
      <c r="AB78" s="195"/>
      <c r="AM78" s="230" t="s">
        <v>192</v>
      </c>
      <c r="AN78" s="231" t="s">
        <v>193</v>
      </c>
      <c r="AO78" s="232" t="s">
        <v>194</v>
      </c>
      <c r="AP78" s="232" t="s">
        <v>195</v>
      </c>
      <c r="AQ78" s="233" t="s">
        <v>196</v>
      </c>
      <c r="AR78" s="233" t="s">
        <v>197</v>
      </c>
      <c r="AS78" s="233" t="s">
        <v>198</v>
      </c>
      <c r="AT78" s="233" t="s">
        <v>199</v>
      </c>
      <c r="AU78" s="233" t="s">
        <v>200</v>
      </c>
      <c r="AV78" s="233" t="s">
        <v>201</v>
      </c>
      <c r="AW78" s="233" t="s">
        <v>202</v>
      </c>
      <c r="AX78" s="201"/>
      <c r="AY78" s="201"/>
    </row>
    <row r="79" spans="2:51" ht="14.1" hidden="1" customHeight="1" outlineLevel="1" x14ac:dyDescent="0.3">
      <c r="AB79" s="195"/>
      <c r="AH79" s="506"/>
      <c r="AM79" s="507" t="s">
        <v>160</v>
      </c>
      <c r="AN79" s="234">
        <f>SUMIF(Calcs!$J$296:$J$370,AM79,Calcs!$K$296:$K$370)/1000000</f>
        <v>-12.938751245002702</v>
      </c>
      <c r="AO79" s="235">
        <f>AN79</f>
        <v>-12.938751245002702</v>
      </c>
      <c r="AP79" s="236"/>
      <c r="AQ79" s="237"/>
      <c r="AR79" s="238">
        <f>MAX(0,MIN(AN79,AO79))</f>
        <v>0</v>
      </c>
      <c r="AS79" s="237"/>
      <c r="AT79" s="237"/>
      <c r="AU79" s="239">
        <f>MIN(0,MAX(AN79,AO79))</f>
        <v>-12.938751245002702</v>
      </c>
      <c r="AV79" s="239" t="e">
        <f>IF(AN79&lt;0,NA(),SUM(AQ79:AU79)-AT79-$AW$105)</f>
        <v>#N/A</v>
      </c>
      <c r="AW79" s="239">
        <f>IF(AN79&lt;0,SUM(AQ79:AU79)-AS79+$AW$105,NA())</f>
        <v>-12.938751245002702</v>
      </c>
      <c r="AX79" s="202"/>
      <c r="AY79" s="202"/>
    </row>
    <row r="80" spans="2:51" ht="14.1" hidden="1" customHeight="1" outlineLevel="1" x14ac:dyDescent="0.3">
      <c r="AB80" s="195"/>
      <c r="AH80" s="506"/>
      <c r="AM80" s="507" t="s">
        <v>181</v>
      </c>
      <c r="AN80" s="234">
        <f>SUMIF(Calcs!$J$296:$J$370,AM80,Calcs!$K$296:$K$370)/1000000</f>
        <v>0</v>
      </c>
      <c r="AO80" s="235">
        <f>AN80+AO79</f>
        <v>-12.938751245002702</v>
      </c>
      <c r="AP80" s="240"/>
      <c r="AQ80" s="238">
        <f t="shared" ref="AQ80" si="4">MAX(0,MIN(AO80,AO79))+MIN(0,MAX(AO79,AO80))</f>
        <v>-12.938751245002702</v>
      </c>
      <c r="AR80" s="238">
        <f t="shared" ref="AR80" si="5">MAX(0,MIN(AN80,AO80))</f>
        <v>0</v>
      </c>
      <c r="AS80" s="238">
        <f t="shared" ref="AS80" si="6">MAX(0,AU80-AN80)</f>
        <v>0</v>
      </c>
      <c r="AT80" s="238">
        <f t="shared" ref="AT80" si="7">-MAX(0,AN80-AR80)</f>
        <v>0</v>
      </c>
      <c r="AU80" s="239">
        <f t="shared" ref="AU80" si="8">MIN(0,MAX(AN80,AO80))</f>
        <v>0</v>
      </c>
      <c r="AV80" s="239">
        <f>IF(AN80&lt;0,NA(),SUM(AQ80:AU80)-AT80-$AW$105)</f>
        <v>-12.938751245002702</v>
      </c>
      <c r="AW80" s="239" t="e">
        <f>IF(AN80&lt;0,SUM(AQ80:AU80)-AS80+$AW$105,NA())</f>
        <v>#N/A</v>
      </c>
      <c r="AX80" s="202"/>
      <c r="AY80" s="202"/>
    </row>
    <row r="81" spans="28:51" ht="14.1" hidden="1" customHeight="1" outlineLevel="1" x14ac:dyDescent="0.3">
      <c r="AB81" s="195"/>
      <c r="AH81" s="506"/>
      <c r="AM81" s="507" t="s">
        <v>28</v>
      </c>
      <c r="AN81" s="234">
        <f>SUMIF(Calcs!$J$296:$J$370,AM81,Calcs!$K$296:$K$370)/1000000</f>
        <v>0.16284685430382861</v>
      </c>
      <c r="AO81" s="235">
        <f>AN81+AO80</f>
        <v>-12.775904390698873</v>
      </c>
      <c r="AP81" s="240"/>
      <c r="AQ81" s="238">
        <f t="shared" ref="AQ81:AQ86" si="9">MAX(0,MIN(AO81,AO80))+MIN(0,MAX(AO80,AO81))</f>
        <v>-12.775904390698873</v>
      </c>
      <c r="AR81" s="238">
        <f>MAX(0,MIN(AN81,AO81))</f>
        <v>0</v>
      </c>
      <c r="AS81" s="238">
        <f>MAX(0,AU81-AN81)</f>
        <v>0</v>
      </c>
      <c r="AT81" s="238">
        <f>-MAX(0,AN81-AR81)</f>
        <v>-0.16284685430382861</v>
      </c>
      <c r="AU81" s="239">
        <f>MIN(0,MAX(AN81,AO81))</f>
        <v>0</v>
      </c>
      <c r="AV81" s="239">
        <f>IF(AN81&lt;0,NA(),SUM(AQ81:AU81)-AT81-$AW$105)</f>
        <v>-12.775904390698873</v>
      </c>
      <c r="AW81" s="239" t="e">
        <f>IF(AN81&lt;0,SUM(AQ81:AU81)-AS81+$AW$105,NA())</f>
        <v>#N/A</v>
      </c>
      <c r="AX81" s="202"/>
      <c r="AY81" s="202"/>
    </row>
    <row r="82" spans="28:51" ht="14.1" hidden="1" customHeight="1" outlineLevel="1" x14ac:dyDescent="0.3">
      <c r="AB82" s="195"/>
      <c r="AH82" s="506"/>
      <c r="AM82" s="507" t="s">
        <v>32</v>
      </c>
      <c r="AN82" s="234">
        <f>SUMIF(Calcs!$J$296:$J$370,AM82,Calcs!$K$296:$K$370)/1000000</f>
        <v>1.1804364060402988</v>
      </c>
      <c r="AO82" s="235">
        <f>AN82+AO81</f>
        <v>-11.595467984658574</v>
      </c>
      <c r="AP82" s="240"/>
      <c r="AQ82" s="238">
        <f t="shared" si="9"/>
        <v>-11.595467984658574</v>
      </c>
      <c r="AR82" s="238">
        <f>MAX(0,MIN(AN82,AO82))</f>
        <v>0</v>
      </c>
      <c r="AS82" s="238">
        <f>MAX(0,AU82-AN82)</f>
        <v>0</v>
      </c>
      <c r="AT82" s="238">
        <f>-MAX(0,AN82-AR82)</f>
        <v>-1.1804364060402988</v>
      </c>
      <c r="AU82" s="239">
        <f>MIN(0,MAX(AN82,AO82))</f>
        <v>0</v>
      </c>
      <c r="AV82" s="239">
        <f>IF(AN82&lt;0,NA(),SUM(AQ82:AU82)-AT82-$AW$105)</f>
        <v>-11.595467984658574</v>
      </c>
      <c r="AW82" s="239" t="e">
        <f>IF(AN82&lt;0,SUM(AQ82:AU82)-AS82+$AW$105,NA())</f>
        <v>#N/A</v>
      </c>
      <c r="AX82" s="202"/>
      <c r="AY82" s="202"/>
    </row>
    <row r="83" spans="28:51" ht="14.1" hidden="1" customHeight="1" outlineLevel="1" x14ac:dyDescent="0.3">
      <c r="AB83" s="195"/>
      <c r="AH83" s="506"/>
      <c r="AM83" s="507" t="s">
        <v>182</v>
      </c>
      <c r="AN83" s="234">
        <f>SUMIF(Calcs!$J$296:$J$370,AM83,Calcs!$K$296:$K$370)/1000000</f>
        <v>13.43255451712584</v>
      </c>
      <c r="AO83" s="235">
        <f>AN83+AO82</f>
        <v>1.8370865324672661</v>
      </c>
      <c r="AP83" s="237"/>
      <c r="AQ83" s="238">
        <f t="shared" si="9"/>
        <v>0</v>
      </c>
      <c r="AR83" s="238">
        <f t="shared" ref="AR83:AR89" si="10">MAX(0,MIN(AN83,AO83))</f>
        <v>1.8370865324672661</v>
      </c>
      <c r="AS83" s="238">
        <f t="shared" ref="AS83:AS89" si="11">MAX(0,AU83-AN83)</f>
        <v>0</v>
      </c>
      <c r="AT83" s="238">
        <f t="shared" ref="AT83:AT89" si="12">-MAX(0,AN83-AR83)</f>
        <v>-11.595467984658574</v>
      </c>
      <c r="AU83" s="239">
        <f t="shared" ref="AU83:AU89" si="13">MIN(0,MAX(AN83,AO83))</f>
        <v>0</v>
      </c>
      <c r="AV83" s="239">
        <f t="shared" ref="AV83:AV89" si="14">IF(AN83&lt;0,NA(),SUM(AQ83:AU83)-AT83-$AW$105)</f>
        <v>1.8370865324672661</v>
      </c>
      <c r="AW83" s="239" t="e">
        <f t="shared" ref="AW83:AW89" si="15">IF(AN83&lt;0,SUM(AQ83:AU83)-AS83+$AW$105,NA())</f>
        <v>#N/A</v>
      </c>
    </row>
    <row r="84" spans="28:51" ht="14.1" hidden="1" customHeight="1" outlineLevel="1" x14ac:dyDescent="0.3">
      <c r="AB84" s="195"/>
      <c r="AH84" s="506"/>
      <c r="AM84" s="507" t="s">
        <v>173</v>
      </c>
      <c r="AN84" s="241">
        <v>0</v>
      </c>
      <c r="AO84" s="235">
        <f>AN84+AO83</f>
        <v>1.8370865324672661</v>
      </c>
      <c r="AP84" s="237"/>
      <c r="AQ84" s="238">
        <f t="shared" si="9"/>
        <v>1.8370865324672661</v>
      </c>
      <c r="AR84" s="238">
        <f t="shared" si="10"/>
        <v>0</v>
      </c>
      <c r="AS84" s="238">
        <f t="shared" si="11"/>
        <v>0</v>
      </c>
      <c r="AT84" s="238">
        <f t="shared" si="12"/>
        <v>0</v>
      </c>
      <c r="AU84" s="239">
        <f t="shared" si="13"/>
        <v>0</v>
      </c>
      <c r="AV84" s="239">
        <f t="shared" si="14"/>
        <v>1.8370865324672661</v>
      </c>
      <c r="AW84" s="239" t="e">
        <f t="shared" si="15"/>
        <v>#N/A</v>
      </c>
    </row>
    <row r="85" spans="28:51" ht="14.1" hidden="1" customHeight="1" outlineLevel="1" x14ac:dyDescent="0.3">
      <c r="AB85" s="195"/>
      <c r="AH85" s="506"/>
      <c r="AM85" s="507" t="s">
        <v>122</v>
      </c>
      <c r="AN85" s="234">
        <f>SUMIF(Calcs!$J$296:$J$370,AM85,Calcs!$K$296:$K$370)/1000000</f>
        <v>0</v>
      </c>
      <c r="AO85" s="235">
        <f t="shared" ref="AO85:AO102" si="16">AN85+AO84</f>
        <v>1.8370865324672661</v>
      </c>
      <c r="AP85" s="237"/>
      <c r="AQ85" s="238">
        <f t="shared" si="9"/>
        <v>1.8370865324672661</v>
      </c>
      <c r="AR85" s="238">
        <f t="shared" si="10"/>
        <v>0</v>
      </c>
      <c r="AS85" s="238">
        <f t="shared" si="11"/>
        <v>0</v>
      </c>
      <c r="AT85" s="238">
        <f t="shared" si="12"/>
        <v>0</v>
      </c>
      <c r="AU85" s="239">
        <f t="shared" si="13"/>
        <v>0</v>
      </c>
      <c r="AV85" s="239">
        <f t="shared" si="14"/>
        <v>1.8370865324672661</v>
      </c>
      <c r="AW85" s="239" t="e">
        <f t="shared" si="15"/>
        <v>#N/A</v>
      </c>
    </row>
    <row r="86" spans="28:51" ht="14.1" hidden="1" customHeight="1" outlineLevel="1" x14ac:dyDescent="0.3">
      <c r="AB86" s="195"/>
      <c r="AH86" s="506"/>
      <c r="AM86" s="507" t="s">
        <v>203</v>
      </c>
      <c r="AN86" s="234">
        <f>SUMIF(Calcs!$J$296:$J$370,AM86,Calcs!$K$296:$K$370)/1000000</f>
        <v>0</v>
      </c>
      <c r="AO86" s="235">
        <f t="shared" si="16"/>
        <v>1.8370865324672661</v>
      </c>
      <c r="AP86" s="237"/>
      <c r="AQ86" s="238">
        <f t="shared" si="9"/>
        <v>1.8370865324672661</v>
      </c>
      <c r="AR86" s="238">
        <f t="shared" si="10"/>
        <v>0</v>
      </c>
      <c r="AS86" s="238">
        <f t="shared" si="11"/>
        <v>0</v>
      </c>
      <c r="AT86" s="238">
        <f t="shared" si="12"/>
        <v>0</v>
      </c>
      <c r="AU86" s="239">
        <f t="shared" si="13"/>
        <v>0</v>
      </c>
      <c r="AV86" s="239">
        <f t="shared" si="14"/>
        <v>1.8370865324672661</v>
      </c>
      <c r="AW86" s="239" t="e">
        <f t="shared" si="15"/>
        <v>#N/A</v>
      </c>
    </row>
    <row r="87" spans="28:51" ht="14.1" hidden="1" customHeight="1" outlineLevel="1" x14ac:dyDescent="0.3">
      <c r="AB87" s="195"/>
      <c r="AH87" s="506"/>
      <c r="AM87" s="507" t="s">
        <v>204</v>
      </c>
      <c r="AN87" s="234">
        <f>SUMIF(Calcs!$J$296:$J$370,AM87,Calcs!$K$296:$K$370)/1000000</f>
        <v>0</v>
      </c>
      <c r="AO87" s="235">
        <f t="shared" si="16"/>
        <v>1.8370865324672661</v>
      </c>
      <c r="AP87" s="237"/>
      <c r="AQ87" s="238">
        <f t="shared" ref="AQ87:AQ89" si="17">MAX(0,MIN(AO87,AO86))+MIN(0,MAX(AO86,AO87))</f>
        <v>1.8370865324672661</v>
      </c>
      <c r="AR87" s="238">
        <f t="shared" si="10"/>
        <v>0</v>
      </c>
      <c r="AS87" s="238">
        <f t="shared" si="11"/>
        <v>0</v>
      </c>
      <c r="AT87" s="238">
        <f t="shared" si="12"/>
        <v>0</v>
      </c>
      <c r="AU87" s="239">
        <f t="shared" si="13"/>
        <v>0</v>
      </c>
      <c r="AV87" s="239">
        <f t="shared" si="14"/>
        <v>1.8370865324672661</v>
      </c>
      <c r="AW87" s="239" t="e">
        <f t="shared" si="15"/>
        <v>#N/A</v>
      </c>
    </row>
    <row r="88" spans="28:51" ht="14.1" hidden="1" customHeight="1" outlineLevel="1" x14ac:dyDescent="0.3">
      <c r="AB88" s="195"/>
      <c r="AH88" s="506"/>
      <c r="AM88" s="507" t="s">
        <v>124</v>
      </c>
      <c r="AN88" s="234">
        <f>SUMIF(Calcs!$J$296:$J$370,AM88,Calcs!$K$296:$K$370)/1000000</f>
        <v>0</v>
      </c>
      <c r="AO88" s="235">
        <f t="shared" si="16"/>
        <v>1.8370865324672661</v>
      </c>
      <c r="AP88" s="237"/>
      <c r="AQ88" s="238">
        <f t="shared" si="17"/>
        <v>1.8370865324672661</v>
      </c>
      <c r="AR88" s="238">
        <f t="shared" si="10"/>
        <v>0</v>
      </c>
      <c r="AS88" s="238">
        <f t="shared" si="11"/>
        <v>0</v>
      </c>
      <c r="AT88" s="238">
        <f t="shared" si="12"/>
        <v>0</v>
      </c>
      <c r="AU88" s="239">
        <f t="shared" si="13"/>
        <v>0</v>
      </c>
      <c r="AV88" s="239">
        <f t="shared" si="14"/>
        <v>1.8370865324672661</v>
      </c>
      <c r="AW88" s="239" t="e">
        <f t="shared" si="15"/>
        <v>#N/A</v>
      </c>
    </row>
    <row r="89" spans="28:51" ht="14.1" hidden="1" customHeight="1" outlineLevel="1" x14ac:dyDescent="0.3">
      <c r="AB89" s="195"/>
      <c r="AH89" s="506"/>
      <c r="AM89" s="507" t="s">
        <v>31</v>
      </c>
      <c r="AN89" s="234">
        <f>SUMIF(Calcs!$J$296:$J$370,AM89,Calcs!$K$296:$K$370)/1000000</f>
        <v>0</v>
      </c>
      <c r="AO89" s="235">
        <f t="shared" si="16"/>
        <v>1.8370865324672661</v>
      </c>
      <c r="AP89" s="237"/>
      <c r="AQ89" s="238">
        <f t="shared" si="17"/>
        <v>1.8370865324672661</v>
      </c>
      <c r="AR89" s="238">
        <f t="shared" si="10"/>
        <v>0</v>
      </c>
      <c r="AS89" s="238">
        <f t="shared" si="11"/>
        <v>0</v>
      </c>
      <c r="AT89" s="238">
        <f t="shared" si="12"/>
        <v>0</v>
      </c>
      <c r="AU89" s="239">
        <f t="shared" si="13"/>
        <v>0</v>
      </c>
      <c r="AV89" s="239">
        <f t="shared" si="14"/>
        <v>1.8370865324672661</v>
      </c>
      <c r="AW89" s="239" t="e">
        <f t="shared" si="15"/>
        <v>#N/A</v>
      </c>
    </row>
    <row r="90" spans="28:51" ht="14.1" hidden="1" customHeight="1" outlineLevel="1" x14ac:dyDescent="0.3">
      <c r="AB90" s="195"/>
      <c r="AH90" s="387"/>
      <c r="AM90" s="353" t="s">
        <v>205</v>
      </c>
      <c r="AN90" s="234">
        <f>AO89</f>
        <v>1.8370865324672661</v>
      </c>
      <c r="AO90" s="235">
        <f>AN90</f>
        <v>1.8370865324672661</v>
      </c>
      <c r="AP90" s="242">
        <f>AO90</f>
        <v>1.8370865324672661</v>
      </c>
      <c r="AQ90" s="237"/>
      <c r="AR90" s="237"/>
      <c r="AS90" s="237"/>
      <c r="AT90" s="237"/>
      <c r="AU90" s="237"/>
      <c r="AV90" s="239">
        <f>IF(AP90&gt;0,AP90,NA())</f>
        <v>1.8370865324672661</v>
      </c>
      <c r="AW90" s="239" t="e">
        <f>IF(AP90&lt;0,AP90,NA())</f>
        <v>#N/A</v>
      </c>
    </row>
    <row r="91" spans="28:51" ht="14.1" hidden="1" customHeight="1" outlineLevel="1" x14ac:dyDescent="0.3">
      <c r="AB91" s="195"/>
      <c r="AH91" s="506"/>
      <c r="AM91" s="507" t="s">
        <v>35</v>
      </c>
      <c r="AN91" s="234">
        <f>SUMIF(Calcs!$J$296:$J$370,AM91,Calcs!$K$296:$K$370)/1000000</f>
        <v>0</v>
      </c>
      <c r="AO91" s="235">
        <f>AN91+AO90</f>
        <v>1.8370865324672661</v>
      </c>
      <c r="AP91" s="237"/>
      <c r="AQ91" s="238">
        <f t="shared" ref="AQ91:AQ102" si="18">MAX(0,MIN(AO91,AO90))+MIN(0,MAX(AO90,AO91))</f>
        <v>1.8370865324672661</v>
      </c>
      <c r="AR91" s="238">
        <f t="shared" ref="AR91:AR102" si="19">MAX(0,MIN(AN91,AO91))</f>
        <v>0</v>
      </c>
      <c r="AS91" s="238">
        <f t="shared" ref="AS91:AS102" si="20">MAX(0,AU91-AN91)</f>
        <v>0</v>
      </c>
      <c r="AT91" s="238">
        <f t="shared" ref="AT91:AT102" si="21">-MAX(0,AN91-AR91)</f>
        <v>0</v>
      </c>
      <c r="AU91" s="239">
        <f t="shared" ref="AU91:AU102" si="22">MIN(0,MAX(AN91,AO91))</f>
        <v>0</v>
      </c>
      <c r="AV91" s="239">
        <f t="shared" ref="AV91:AV102" si="23">IF(AN91&lt;0,NA(),SUM(AQ91:AU91)-AT91-$AW$105)</f>
        <v>1.8370865324672661</v>
      </c>
      <c r="AW91" s="239" t="e">
        <f t="shared" ref="AW91:AW102" si="24">IF(AN91&lt;0,SUM(AQ91:AU91)-AS91+$AW$105,NA())</f>
        <v>#N/A</v>
      </c>
    </row>
    <row r="92" spans="28:51" ht="14.1" hidden="1" customHeight="1" outlineLevel="1" x14ac:dyDescent="0.3">
      <c r="AB92" s="195"/>
      <c r="AH92" s="506"/>
      <c r="AM92" s="507" t="s">
        <v>36</v>
      </c>
      <c r="AN92" s="234">
        <f>SUMIF(Calcs!$J$296:$J$370,AM92,Calcs!$K$296:$K$370)/1000000</f>
        <v>0</v>
      </c>
      <c r="AO92" s="235">
        <f t="shared" si="16"/>
        <v>1.8370865324672661</v>
      </c>
      <c r="AP92" s="237"/>
      <c r="AQ92" s="238">
        <f t="shared" si="18"/>
        <v>1.8370865324672661</v>
      </c>
      <c r="AR92" s="238">
        <f t="shared" si="19"/>
        <v>0</v>
      </c>
      <c r="AS92" s="238">
        <f t="shared" si="20"/>
        <v>0</v>
      </c>
      <c r="AT92" s="238">
        <f t="shared" si="21"/>
        <v>0</v>
      </c>
      <c r="AU92" s="239">
        <f t="shared" si="22"/>
        <v>0</v>
      </c>
      <c r="AV92" s="239">
        <f t="shared" si="23"/>
        <v>1.8370865324672661</v>
      </c>
      <c r="AW92" s="239" t="e">
        <f t="shared" si="24"/>
        <v>#N/A</v>
      </c>
    </row>
    <row r="93" spans="28:51" ht="14.1" hidden="1" customHeight="1" outlineLevel="1" x14ac:dyDescent="0.3">
      <c r="AB93" s="195"/>
      <c r="AH93" s="506"/>
      <c r="AM93" s="507" t="s">
        <v>37</v>
      </c>
      <c r="AN93" s="234">
        <f>SUMIF(Calcs!$J$296:$J$370,AM93,Calcs!$K$296:$K$370)/1000000</f>
        <v>0</v>
      </c>
      <c r="AO93" s="235">
        <f t="shared" si="16"/>
        <v>1.8370865324672661</v>
      </c>
      <c r="AP93" s="237"/>
      <c r="AQ93" s="238">
        <f t="shared" si="18"/>
        <v>1.8370865324672661</v>
      </c>
      <c r="AR93" s="238">
        <f t="shared" si="19"/>
        <v>0</v>
      </c>
      <c r="AS93" s="238">
        <f t="shared" si="20"/>
        <v>0</v>
      </c>
      <c r="AT93" s="238">
        <f t="shared" si="21"/>
        <v>0</v>
      </c>
      <c r="AU93" s="239">
        <f t="shared" si="22"/>
        <v>0</v>
      </c>
      <c r="AV93" s="239">
        <f t="shared" si="23"/>
        <v>1.8370865324672661</v>
      </c>
      <c r="AW93" s="239" t="e">
        <f t="shared" si="24"/>
        <v>#N/A</v>
      </c>
    </row>
    <row r="94" spans="28:51" ht="14.1" hidden="1" customHeight="1" outlineLevel="1" x14ac:dyDescent="0.3">
      <c r="AB94" s="195"/>
      <c r="AH94" s="506"/>
      <c r="AM94" s="507" t="s">
        <v>38</v>
      </c>
      <c r="AN94" s="234">
        <f>SUMIF(Calcs!$J$296:$J$370,AM94,Calcs!$K$296:$K$370)/1000000</f>
        <v>0</v>
      </c>
      <c r="AO94" s="235">
        <f t="shared" si="16"/>
        <v>1.8370865324672661</v>
      </c>
      <c r="AP94" s="237"/>
      <c r="AQ94" s="238">
        <f t="shared" si="18"/>
        <v>1.8370865324672661</v>
      </c>
      <c r="AR94" s="238">
        <f t="shared" si="19"/>
        <v>0</v>
      </c>
      <c r="AS94" s="238">
        <f t="shared" si="20"/>
        <v>0</v>
      </c>
      <c r="AT94" s="238">
        <f t="shared" si="21"/>
        <v>0</v>
      </c>
      <c r="AU94" s="239">
        <f t="shared" si="22"/>
        <v>0</v>
      </c>
      <c r="AV94" s="239">
        <f t="shared" si="23"/>
        <v>1.8370865324672661</v>
      </c>
      <c r="AW94" s="239" t="e">
        <f t="shared" si="24"/>
        <v>#N/A</v>
      </c>
    </row>
    <row r="95" spans="28:51" ht="14.1" hidden="1" customHeight="1" outlineLevel="1" x14ac:dyDescent="0.3">
      <c r="AB95" s="195"/>
      <c r="AH95" s="506"/>
      <c r="AM95" s="507" t="s">
        <v>39</v>
      </c>
      <c r="AN95" s="234">
        <f>SUMIF(Calcs!$J$296:$J$370,AM95,Calcs!$K$296:$K$370)/1000000</f>
        <v>0</v>
      </c>
      <c r="AO95" s="235">
        <f t="shared" si="16"/>
        <v>1.8370865324672661</v>
      </c>
      <c r="AP95" s="237"/>
      <c r="AQ95" s="238">
        <f t="shared" si="18"/>
        <v>1.8370865324672661</v>
      </c>
      <c r="AR95" s="238">
        <f t="shared" si="19"/>
        <v>0</v>
      </c>
      <c r="AS95" s="238">
        <f t="shared" si="20"/>
        <v>0</v>
      </c>
      <c r="AT95" s="238">
        <f t="shared" si="21"/>
        <v>0</v>
      </c>
      <c r="AU95" s="239">
        <f t="shared" si="22"/>
        <v>0</v>
      </c>
      <c r="AV95" s="239">
        <f t="shared" si="23"/>
        <v>1.8370865324672661</v>
      </c>
      <c r="AW95" s="239" t="e">
        <f t="shared" si="24"/>
        <v>#N/A</v>
      </c>
    </row>
    <row r="96" spans="28:51" ht="14.1" hidden="1" customHeight="1" outlineLevel="1" x14ac:dyDescent="0.3">
      <c r="AB96" s="195"/>
      <c r="AH96" s="506"/>
      <c r="AM96" s="507" t="s">
        <v>40</v>
      </c>
      <c r="AN96" s="234">
        <f>SUMIF(Calcs!$J$296:$J$370,AM96,Calcs!$K$296:$K$370)/1000000</f>
        <v>0</v>
      </c>
      <c r="AO96" s="235">
        <f t="shared" si="16"/>
        <v>1.8370865324672661</v>
      </c>
      <c r="AP96" s="237"/>
      <c r="AQ96" s="238">
        <f t="shared" si="18"/>
        <v>1.8370865324672661</v>
      </c>
      <c r="AR96" s="238">
        <f t="shared" si="19"/>
        <v>0</v>
      </c>
      <c r="AS96" s="238">
        <f t="shared" si="20"/>
        <v>0</v>
      </c>
      <c r="AT96" s="238">
        <f t="shared" si="21"/>
        <v>0</v>
      </c>
      <c r="AU96" s="239">
        <f t="shared" si="22"/>
        <v>0</v>
      </c>
      <c r="AV96" s="239">
        <f t="shared" si="23"/>
        <v>1.8370865324672661</v>
      </c>
      <c r="AW96" s="239" t="e">
        <f t="shared" si="24"/>
        <v>#N/A</v>
      </c>
    </row>
    <row r="97" spans="28:49" ht="14.1" hidden="1" customHeight="1" outlineLevel="1" x14ac:dyDescent="0.3">
      <c r="AB97" s="195"/>
      <c r="AH97" s="506"/>
      <c r="AM97" s="507" t="s">
        <v>41</v>
      </c>
      <c r="AN97" s="234">
        <f>SUMIF(Calcs!$J$296:$J$370,AM97,Calcs!$K$296:$K$370)/1000000</f>
        <v>0</v>
      </c>
      <c r="AO97" s="235">
        <f t="shared" si="16"/>
        <v>1.8370865324672661</v>
      </c>
      <c r="AP97" s="237"/>
      <c r="AQ97" s="238">
        <f t="shared" si="18"/>
        <v>1.8370865324672661</v>
      </c>
      <c r="AR97" s="238">
        <f t="shared" si="19"/>
        <v>0</v>
      </c>
      <c r="AS97" s="238">
        <f t="shared" si="20"/>
        <v>0</v>
      </c>
      <c r="AT97" s="238">
        <f t="shared" si="21"/>
        <v>0</v>
      </c>
      <c r="AU97" s="239">
        <f t="shared" si="22"/>
        <v>0</v>
      </c>
      <c r="AV97" s="239">
        <f t="shared" si="23"/>
        <v>1.8370865324672661</v>
      </c>
      <c r="AW97" s="239" t="e">
        <f t="shared" si="24"/>
        <v>#N/A</v>
      </c>
    </row>
    <row r="98" spans="28:49" ht="14.1" hidden="1" customHeight="1" outlineLevel="1" x14ac:dyDescent="0.3">
      <c r="AB98" s="195"/>
      <c r="AH98" s="506"/>
      <c r="AM98" s="507" t="s">
        <v>42</v>
      </c>
      <c r="AN98" s="234">
        <f>SUMIF(Calcs!$J$296:$J$370,AM98,Calcs!$K$296:$K$370)/1000000</f>
        <v>0</v>
      </c>
      <c r="AO98" s="235">
        <f t="shared" si="16"/>
        <v>1.8370865324672661</v>
      </c>
      <c r="AP98" s="237"/>
      <c r="AQ98" s="238">
        <f t="shared" si="18"/>
        <v>1.8370865324672661</v>
      </c>
      <c r="AR98" s="238">
        <f t="shared" si="19"/>
        <v>0</v>
      </c>
      <c r="AS98" s="238">
        <f t="shared" si="20"/>
        <v>0</v>
      </c>
      <c r="AT98" s="238">
        <f t="shared" si="21"/>
        <v>0</v>
      </c>
      <c r="AU98" s="239">
        <f t="shared" si="22"/>
        <v>0</v>
      </c>
      <c r="AV98" s="239">
        <f t="shared" si="23"/>
        <v>1.8370865324672661</v>
      </c>
      <c r="AW98" s="239" t="e">
        <f t="shared" si="24"/>
        <v>#N/A</v>
      </c>
    </row>
    <row r="99" spans="28:49" ht="14.1" hidden="1" customHeight="1" outlineLevel="1" x14ac:dyDescent="0.3">
      <c r="AB99" s="195"/>
      <c r="AH99" s="506"/>
      <c r="AM99" s="507" t="s">
        <v>43</v>
      </c>
      <c r="AN99" s="234">
        <f>SUMIF(Calcs!$J$296:$J$370,AM99,Calcs!$K$296:$K$370)/1000000</f>
        <v>0</v>
      </c>
      <c r="AO99" s="235">
        <f t="shared" si="16"/>
        <v>1.8370865324672661</v>
      </c>
      <c r="AP99" s="237"/>
      <c r="AQ99" s="238">
        <f t="shared" si="18"/>
        <v>1.8370865324672661</v>
      </c>
      <c r="AR99" s="238">
        <f t="shared" si="19"/>
        <v>0</v>
      </c>
      <c r="AS99" s="238">
        <f t="shared" si="20"/>
        <v>0</v>
      </c>
      <c r="AT99" s="238">
        <f t="shared" si="21"/>
        <v>0</v>
      </c>
      <c r="AU99" s="239">
        <f t="shared" si="22"/>
        <v>0</v>
      </c>
      <c r="AV99" s="239">
        <f t="shared" si="23"/>
        <v>1.8370865324672661</v>
      </c>
      <c r="AW99" s="239" t="e">
        <f t="shared" si="24"/>
        <v>#N/A</v>
      </c>
    </row>
    <row r="100" spans="28:49" ht="14.1" hidden="1" customHeight="1" outlineLevel="1" x14ac:dyDescent="0.3">
      <c r="AB100" s="195"/>
      <c r="AH100" s="506"/>
      <c r="AM100" s="507" t="s">
        <v>51</v>
      </c>
      <c r="AN100" s="234">
        <f>SUMIF(Calcs!$J$296:$J$370,AM100,Calcs!$K$296:$K$370)/1000000</f>
        <v>0</v>
      </c>
      <c r="AO100" s="235">
        <f t="shared" si="16"/>
        <v>1.8370865324672661</v>
      </c>
      <c r="AP100" s="237"/>
      <c r="AQ100" s="238">
        <f t="shared" si="18"/>
        <v>1.8370865324672661</v>
      </c>
      <c r="AR100" s="238">
        <f t="shared" si="19"/>
        <v>0</v>
      </c>
      <c r="AS100" s="238">
        <f t="shared" si="20"/>
        <v>0</v>
      </c>
      <c r="AT100" s="238">
        <f t="shared" si="21"/>
        <v>0</v>
      </c>
      <c r="AU100" s="239">
        <f t="shared" si="22"/>
        <v>0</v>
      </c>
      <c r="AV100" s="239">
        <f t="shared" si="23"/>
        <v>1.8370865324672661</v>
      </c>
      <c r="AW100" s="239" t="e">
        <f t="shared" si="24"/>
        <v>#N/A</v>
      </c>
    </row>
    <row r="101" spans="28:49" ht="14.1" hidden="1" customHeight="1" outlineLevel="1" x14ac:dyDescent="0.3">
      <c r="AB101" s="195"/>
      <c r="AH101" s="506"/>
      <c r="AM101" s="507" t="s">
        <v>53</v>
      </c>
      <c r="AN101" s="234">
        <f>SUMIF(Calcs!$J$296:$J$370,AM101,Calcs!$K$296:$K$370)/1000000</f>
        <v>0</v>
      </c>
      <c r="AO101" s="235">
        <f t="shared" si="16"/>
        <v>1.8370865324672661</v>
      </c>
      <c r="AP101" s="237"/>
      <c r="AQ101" s="238">
        <f t="shared" si="18"/>
        <v>1.8370865324672661</v>
      </c>
      <c r="AR101" s="238">
        <f t="shared" si="19"/>
        <v>0</v>
      </c>
      <c r="AS101" s="238">
        <f t="shared" si="20"/>
        <v>0</v>
      </c>
      <c r="AT101" s="238">
        <f t="shared" si="21"/>
        <v>0</v>
      </c>
      <c r="AU101" s="239">
        <f t="shared" si="22"/>
        <v>0</v>
      </c>
      <c r="AV101" s="239">
        <f t="shared" si="23"/>
        <v>1.8370865324672661</v>
      </c>
      <c r="AW101" s="239" t="e">
        <f t="shared" si="24"/>
        <v>#N/A</v>
      </c>
    </row>
    <row r="102" spans="28:49" ht="14.1" hidden="1" customHeight="1" outlineLevel="1" x14ac:dyDescent="0.3">
      <c r="AB102" s="195"/>
      <c r="AH102" s="506"/>
      <c r="AM102" s="507" t="s">
        <v>54</v>
      </c>
      <c r="AN102" s="234">
        <f>SUMIF(Calcs!$J$296:$J$370,AM102,Calcs!$K$296:$K$370)/1000000</f>
        <v>0</v>
      </c>
      <c r="AO102" s="235">
        <f t="shared" si="16"/>
        <v>1.8370865324672661</v>
      </c>
      <c r="AP102" s="237"/>
      <c r="AQ102" s="238">
        <f t="shared" si="18"/>
        <v>1.8370865324672661</v>
      </c>
      <c r="AR102" s="238">
        <f t="shared" si="19"/>
        <v>0</v>
      </c>
      <c r="AS102" s="238">
        <f t="shared" si="20"/>
        <v>0</v>
      </c>
      <c r="AT102" s="238">
        <f t="shared" si="21"/>
        <v>0</v>
      </c>
      <c r="AU102" s="239">
        <f t="shared" si="22"/>
        <v>0</v>
      </c>
      <c r="AV102" s="239">
        <f t="shared" si="23"/>
        <v>1.8370865324672661</v>
      </c>
      <c r="AW102" s="239" t="e">
        <f t="shared" si="24"/>
        <v>#N/A</v>
      </c>
    </row>
    <row r="103" spans="28:49" ht="14.1" hidden="1" customHeight="1" outlineLevel="1" x14ac:dyDescent="0.3">
      <c r="AB103" s="195"/>
      <c r="AH103" s="388"/>
      <c r="AM103" s="354" t="s">
        <v>206</v>
      </c>
      <c r="AN103" s="238">
        <f>SUM(AN90:AN102)</f>
        <v>1.8370865324672661</v>
      </c>
      <c r="AO103" s="243">
        <f>AN103</f>
        <v>1.8370865324672661</v>
      </c>
      <c r="AP103" s="242">
        <f>AN103</f>
        <v>1.8370865324672661</v>
      </c>
      <c r="AQ103" s="237"/>
      <c r="AR103" s="237"/>
      <c r="AS103" s="237"/>
      <c r="AT103" s="237"/>
      <c r="AU103" s="237"/>
      <c r="AV103" s="239">
        <f>IF(AP103&gt;0,AP103,NA())</f>
        <v>1.8370865324672661</v>
      </c>
      <c r="AW103" s="239" t="e">
        <f>IF(AP103&lt;0,AP103,NA())</f>
        <v>#N/A</v>
      </c>
    </row>
    <row r="104" spans="28:49" ht="14.1" hidden="1" customHeight="1" outlineLevel="1" x14ac:dyDescent="0.3">
      <c r="AB104" s="195"/>
      <c r="AM104" s="203"/>
      <c r="AN104" s="204"/>
      <c r="AO104" s="204"/>
      <c r="AP104" s="204"/>
      <c r="AQ104" s="205"/>
      <c r="AR104" s="205"/>
      <c r="AS104" s="205"/>
      <c r="AT104" s="205"/>
      <c r="AU104" s="205"/>
      <c r="AV104" s="205"/>
      <c r="AW104" s="205"/>
    </row>
    <row r="105" spans="28:49" ht="14.1" hidden="1" customHeight="1" outlineLevel="1" x14ac:dyDescent="0.3">
      <c r="AB105" s="195"/>
      <c r="AM105" s="206" t="s">
        <v>207</v>
      </c>
      <c r="AN105" s="193" t="str">
        <f>IF(ROUND($AN$103,7)=ROUND(Calcs!$K$370/1000000,7),"Ok","Check")</f>
        <v>Ok</v>
      </c>
      <c r="AO105" s="205"/>
      <c r="AP105" s="205"/>
      <c r="AQ105" s="205"/>
      <c r="AR105" s="205"/>
      <c r="AS105" s="205"/>
      <c r="AT105" s="205"/>
      <c r="AU105" s="205"/>
      <c r="AV105" s="207" t="s">
        <v>208</v>
      </c>
      <c r="AW105" s="208">
        <v>0</v>
      </c>
    </row>
    <row r="106" spans="28:49" ht="10.35" hidden="1" customHeight="1" outlineLevel="1" x14ac:dyDescent="0.3">
      <c r="AB106" s="195"/>
      <c r="AM106" s="205"/>
      <c r="AN106" s="205"/>
      <c r="AO106" s="205"/>
      <c r="AP106" s="205"/>
      <c r="AQ106" s="205"/>
      <c r="AR106" s="205"/>
      <c r="AS106" s="205"/>
      <c r="AT106" s="205"/>
      <c r="AU106" s="205"/>
      <c r="AV106" s="209" t="s">
        <v>209</v>
      </c>
      <c r="AW106" s="210">
        <f>ROUNDUP(MAX(0,MAX(AO79:AO103))-MIN(0,MIN(AO79:AO103)),1-LEN(INT(MAX(0,MAX(AO79:AO103))-MIN(0,MIN(AO79:AO103)))))/40</f>
        <v>0.5</v>
      </c>
    </row>
    <row r="107" spans="28:49" ht="10.35" hidden="1" customHeight="1" outlineLevel="1" x14ac:dyDescent="0.3">
      <c r="AB107" s="195"/>
    </row>
    <row r="108" spans="28:49" ht="10.35" hidden="1" customHeight="1" outlineLevel="1" x14ac:dyDescent="0.3">
      <c r="AB108" s="195"/>
    </row>
    <row r="109" spans="28:49" ht="10.35" hidden="1" customHeight="1" outlineLevel="1" x14ac:dyDescent="0.3">
      <c r="AB109" s="195"/>
    </row>
    <row r="110" spans="28:49" ht="10.35" hidden="1" customHeight="1" outlineLevel="1" x14ac:dyDescent="0.3"/>
    <row r="111" spans="28:49" ht="10.35" hidden="1" customHeight="1" outlineLevel="1" x14ac:dyDescent="0.3"/>
    <row r="112" spans="28:49" ht="10.35" hidden="1" customHeight="1" outlineLevel="1" x14ac:dyDescent="0.3">
      <c r="AM112" s="200" t="s">
        <v>186</v>
      </c>
      <c r="AN112" s="200" t="s">
        <v>187</v>
      </c>
    </row>
    <row r="113" spans="34:51" ht="10.35" hidden="1" customHeight="1" outlineLevel="1" x14ac:dyDescent="0.3">
      <c r="AN113" s="200" t="s">
        <v>188</v>
      </c>
    </row>
    <row r="114" spans="34:51" ht="10.35" hidden="1" customHeight="1" outlineLevel="1" x14ac:dyDescent="0.3">
      <c r="AN114" s="200" t="s">
        <v>189</v>
      </c>
    </row>
    <row r="115" spans="34:51" ht="10.35" hidden="1" customHeight="1" outlineLevel="1" x14ac:dyDescent="0.3">
      <c r="AN115" s="200" t="s">
        <v>190</v>
      </c>
    </row>
    <row r="116" spans="34:51" ht="10.35" hidden="1" customHeight="1" outlineLevel="1" x14ac:dyDescent="0.3"/>
    <row r="117" spans="34:51" ht="15.9" hidden="1" customHeight="1" outlineLevel="1" x14ac:dyDescent="0.3">
      <c r="AH117" s="386"/>
      <c r="AM117" s="227" t="s">
        <v>177</v>
      </c>
      <c r="AN117" s="227"/>
      <c r="AO117" s="227"/>
      <c r="AP117" s="228" t="s">
        <v>191</v>
      </c>
      <c r="AQ117" s="229"/>
      <c r="AR117" s="229"/>
      <c r="AS117" s="229"/>
      <c r="AT117" s="229"/>
      <c r="AU117" s="229"/>
      <c r="AV117" s="229"/>
      <c r="AW117" s="229"/>
    </row>
    <row r="118" spans="34:51" ht="15.9" hidden="1" customHeight="1" outlineLevel="1" x14ac:dyDescent="0.3">
      <c r="AM118" s="244" t="s">
        <v>192</v>
      </c>
      <c r="AN118" s="231" t="s">
        <v>193</v>
      </c>
      <c r="AO118" s="232" t="s">
        <v>194</v>
      </c>
      <c r="AP118" s="232" t="s">
        <v>195</v>
      </c>
      <c r="AQ118" s="233" t="s">
        <v>196</v>
      </c>
      <c r="AR118" s="233" t="s">
        <v>197</v>
      </c>
      <c r="AS118" s="233" t="s">
        <v>198</v>
      </c>
      <c r="AT118" s="233" t="s">
        <v>199</v>
      </c>
      <c r="AU118" s="233" t="s">
        <v>200</v>
      </c>
      <c r="AV118" s="233" t="s">
        <v>201</v>
      </c>
      <c r="AW118" s="233" t="s">
        <v>202</v>
      </c>
    </row>
    <row r="119" spans="34:51" ht="15.9" hidden="1" customHeight="1" outlineLevel="1" x14ac:dyDescent="0.3">
      <c r="AH119" s="506"/>
      <c r="AK119" s="194"/>
      <c r="AM119" s="507" t="s">
        <v>160</v>
      </c>
      <c r="AN119" s="234">
        <f>SUMIF(Calcs!$J$374:$J$449,AM119,Calcs!$K$374:$K$449)/1000000</f>
        <v>0</v>
      </c>
      <c r="AO119" s="235">
        <f>AN119</f>
        <v>0</v>
      </c>
      <c r="AP119" s="236"/>
      <c r="AQ119" s="237"/>
      <c r="AR119" s="238">
        <f t="shared" ref="AR119:AR124" si="25">MAX(0,MIN(AN119,AO119))</f>
        <v>0</v>
      </c>
      <c r="AS119" s="237"/>
      <c r="AT119" s="240"/>
      <c r="AU119" s="239">
        <f>MIN(0,MAX(AN119,AO119))</f>
        <v>0</v>
      </c>
      <c r="AV119" s="239">
        <f t="shared" ref="AV119:AV129" si="26">IF(AN119&lt;0,NA(),SUM(AQ119:AU119)-AT119-$AW$145)</f>
        <v>0</v>
      </c>
      <c r="AW119" s="239" t="e">
        <f t="shared" ref="AW119:AW129" si="27">IF(AN119&lt;0,SUM(AQ119:AU119)-AS119+$AW$145,NA())</f>
        <v>#N/A</v>
      </c>
    </row>
    <row r="120" spans="34:51" ht="15.9" hidden="1" customHeight="1" outlineLevel="1" x14ac:dyDescent="0.3">
      <c r="AH120" s="506"/>
      <c r="AK120" s="194"/>
      <c r="AM120" s="507" t="s">
        <v>181</v>
      </c>
      <c r="AN120" s="234">
        <f>SUMIF(Calcs!$J$374:$J$449,AM120,Calcs!$K$374:$K$449)/1000000</f>
        <v>0</v>
      </c>
      <c r="AO120" s="235">
        <f t="shared" ref="AO120:AO125" si="28">AN120+AO119</f>
        <v>0</v>
      </c>
      <c r="AP120" s="236"/>
      <c r="AQ120" s="238">
        <f t="shared" ref="AQ120:AQ126" si="29">MAX(0,MIN(AO120,AO119))+MIN(0,MAX(AO119,AO120))</f>
        <v>0</v>
      </c>
      <c r="AR120" s="238">
        <f t="shared" si="25"/>
        <v>0</v>
      </c>
      <c r="AS120" s="238">
        <f>MAX(0,AU120-AN120)</f>
        <v>0</v>
      </c>
      <c r="AT120" s="238">
        <f t="shared" ref="AT120" si="30">-MAX(0,AN120-AR120)</f>
        <v>0</v>
      </c>
      <c r="AU120" s="239">
        <f t="shared" ref="AU120" si="31">MIN(0,MAX(AN120,AO120))</f>
        <v>0</v>
      </c>
      <c r="AV120" s="239">
        <f t="shared" si="26"/>
        <v>0</v>
      </c>
      <c r="AW120" s="239" t="e">
        <f t="shared" si="27"/>
        <v>#N/A</v>
      </c>
    </row>
    <row r="121" spans="34:51" ht="15.9" hidden="1" customHeight="1" outlineLevel="1" x14ac:dyDescent="0.3">
      <c r="AH121" s="506"/>
      <c r="AK121" s="194"/>
      <c r="AM121" s="507" t="s">
        <v>28</v>
      </c>
      <c r="AN121" s="234">
        <f>SUMIF(Calcs!$J$374:$J$449,AM121,Calcs!$K$374:$K$449)/1000000</f>
        <v>0.37997599337559995</v>
      </c>
      <c r="AO121" s="235">
        <f t="shared" si="28"/>
        <v>0.37997599337559995</v>
      </c>
      <c r="AP121" s="236"/>
      <c r="AQ121" s="238">
        <f t="shared" si="29"/>
        <v>0</v>
      </c>
      <c r="AR121" s="238">
        <f t="shared" si="25"/>
        <v>0.37997599337559995</v>
      </c>
      <c r="AS121" s="238">
        <f>MAX(0,AU121-AN121)</f>
        <v>0</v>
      </c>
      <c r="AT121" s="238">
        <f t="shared" ref="AT121" si="32">-MAX(0,AN121-AR121)</f>
        <v>0</v>
      </c>
      <c r="AU121" s="239">
        <f t="shared" ref="AU121" si="33">MIN(0,MAX(AN121,AO121))</f>
        <v>0</v>
      </c>
      <c r="AV121" s="239">
        <f t="shared" si="26"/>
        <v>0.37997599337559995</v>
      </c>
      <c r="AW121" s="239" t="e">
        <f t="shared" si="27"/>
        <v>#N/A</v>
      </c>
    </row>
    <row r="122" spans="34:51" ht="15.9" hidden="1" customHeight="1" outlineLevel="1" x14ac:dyDescent="0.3">
      <c r="AH122" s="506"/>
      <c r="AK122" s="194"/>
      <c r="AM122" s="507" t="s">
        <v>32</v>
      </c>
      <c r="AN122" s="234">
        <f>SUMIF(Calcs!$J$374:$J$449,AM122,Calcs!$K$374:$K$449)/1000000</f>
        <v>4.4406893370087435</v>
      </c>
      <c r="AO122" s="235">
        <f t="shared" si="28"/>
        <v>4.8206653303843439</v>
      </c>
      <c r="AP122" s="236"/>
      <c r="AQ122" s="238">
        <f t="shared" si="29"/>
        <v>0.37997599337559995</v>
      </c>
      <c r="AR122" s="238">
        <f t="shared" si="25"/>
        <v>4.4406893370087435</v>
      </c>
      <c r="AS122" s="238">
        <f>MAX(0,AU122-AN122)</f>
        <v>0</v>
      </c>
      <c r="AT122" s="238">
        <f t="shared" ref="AT122" si="34">-MAX(0,AN122-AR122)</f>
        <v>0</v>
      </c>
      <c r="AU122" s="239">
        <f>MIN(0,MAX(AN122,AO122))</f>
        <v>0</v>
      </c>
      <c r="AV122" s="239">
        <f t="shared" si="26"/>
        <v>4.8206653303843439</v>
      </c>
      <c r="AW122" s="239" t="e">
        <f t="shared" si="27"/>
        <v>#N/A</v>
      </c>
    </row>
    <row r="123" spans="34:51" ht="15.9" hidden="1" customHeight="1" outlineLevel="1" x14ac:dyDescent="0.3">
      <c r="AH123" s="506"/>
      <c r="AK123" s="194"/>
      <c r="AM123" s="507" t="s">
        <v>182</v>
      </c>
      <c r="AN123" s="241">
        <v>0</v>
      </c>
      <c r="AO123" s="235">
        <f t="shared" si="28"/>
        <v>4.8206653303843439</v>
      </c>
      <c r="AP123" s="236"/>
      <c r="AQ123" s="238">
        <f t="shared" si="29"/>
        <v>4.8206653303843439</v>
      </c>
      <c r="AR123" s="238">
        <f t="shared" si="25"/>
        <v>0</v>
      </c>
      <c r="AS123" s="238">
        <f>MAX(0,AU123-AN123)</f>
        <v>0</v>
      </c>
      <c r="AT123" s="238">
        <f t="shared" ref="AT123" si="35">-MAX(0,AN123-AR123)</f>
        <v>0</v>
      </c>
      <c r="AU123" s="239">
        <f>MIN(0,MAX(AN123,AO123))</f>
        <v>0</v>
      </c>
      <c r="AV123" s="239">
        <f t="shared" si="26"/>
        <v>4.8206653303843439</v>
      </c>
      <c r="AW123" s="239" t="e">
        <f t="shared" si="27"/>
        <v>#N/A</v>
      </c>
      <c r="AY123" s="355" t="s">
        <v>210</v>
      </c>
    </row>
    <row r="124" spans="34:51" ht="15.9" hidden="1" customHeight="1" outlineLevel="1" x14ac:dyDescent="0.3">
      <c r="AH124" s="506"/>
      <c r="AK124" s="194"/>
      <c r="AM124" s="507" t="s">
        <v>173</v>
      </c>
      <c r="AN124" s="234">
        <f>SUMIF(Calcs!$J$374:$J$449,AY124,Calcs!$K$374:$K$449)/1000000</f>
        <v>-13.43255451712584</v>
      </c>
      <c r="AO124" s="235">
        <f t="shared" si="28"/>
        <v>-8.6118891867414966</v>
      </c>
      <c r="AP124" s="237"/>
      <c r="AQ124" s="238">
        <f t="shared" si="29"/>
        <v>0</v>
      </c>
      <c r="AR124" s="238">
        <f t="shared" si="25"/>
        <v>0</v>
      </c>
      <c r="AS124" s="238">
        <f t="shared" ref="AS124:AS129" si="36">MAX(0,AU124-AN124)</f>
        <v>4.8206653303843439</v>
      </c>
      <c r="AT124" s="238">
        <f t="shared" ref="AT124:AT129" si="37">-MAX(0,AN124-AR124)</f>
        <v>0</v>
      </c>
      <c r="AU124" s="239">
        <f t="shared" ref="AU124:AU129" si="38">MIN(0,MAX(AN124,AO124))</f>
        <v>-8.6118891867414966</v>
      </c>
      <c r="AV124" s="239" t="e">
        <f t="shared" si="26"/>
        <v>#N/A</v>
      </c>
      <c r="AW124" s="239">
        <f t="shared" si="27"/>
        <v>-8.6118891867414966</v>
      </c>
      <c r="AY124" s="356" t="s">
        <v>182</v>
      </c>
    </row>
    <row r="125" spans="34:51" ht="15.9" hidden="1" customHeight="1" outlineLevel="1" x14ac:dyDescent="0.3">
      <c r="AH125" s="506"/>
      <c r="AJ125" s="194"/>
      <c r="AM125" s="507" t="s">
        <v>122</v>
      </c>
      <c r="AN125" s="234">
        <f>SUMIF(Calcs!$J$374:$J$449,AM125,Calcs!$K$374:$K$449)/1000000</f>
        <v>0</v>
      </c>
      <c r="AO125" s="235">
        <f t="shared" si="28"/>
        <v>-8.6118891867414966</v>
      </c>
      <c r="AP125" s="237"/>
      <c r="AQ125" s="238">
        <f t="shared" si="29"/>
        <v>-8.6118891867414966</v>
      </c>
      <c r="AR125" s="238">
        <f t="shared" ref="AR125:AR129" si="39">MAX(0,MIN(AN125,AO125))</f>
        <v>0</v>
      </c>
      <c r="AS125" s="238">
        <f t="shared" si="36"/>
        <v>0</v>
      </c>
      <c r="AT125" s="238">
        <f t="shared" si="37"/>
        <v>0</v>
      </c>
      <c r="AU125" s="239">
        <f t="shared" si="38"/>
        <v>0</v>
      </c>
      <c r="AV125" s="239">
        <f t="shared" si="26"/>
        <v>-8.6118891867414966</v>
      </c>
      <c r="AW125" s="239" t="e">
        <f t="shared" si="27"/>
        <v>#N/A</v>
      </c>
    </row>
    <row r="126" spans="34:51" ht="15.9" hidden="1" customHeight="1" outlineLevel="1" x14ac:dyDescent="0.3">
      <c r="AH126" s="506"/>
      <c r="AJ126" s="194"/>
      <c r="AM126" s="507" t="s">
        <v>203</v>
      </c>
      <c r="AN126" s="234">
        <f>SUMIF(Calcs!$J$374:$J$449,AM126,Calcs!$K$374:$K$449)/1000000</f>
        <v>0</v>
      </c>
      <c r="AO126" s="235">
        <f t="shared" ref="AO126:AO129" si="40">AN126+AO125</f>
        <v>-8.6118891867414966</v>
      </c>
      <c r="AP126" s="237"/>
      <c r="AQ126" s="238">
        <f t="shared" si="29"/>
        <v>-8.6118891867414966</v>
      </c>
      <c r="AR126" s="238">
        <f t="shared" si="39"/>
        <v>0</v>
      </c>
      <c r="AS126" s="238">
        <f t="shared" si="36"/>
        <v>0</v>
      </c>
      <c r="AT126" s="238">
        <f t="shared" si="37"/>
        <v>0</v>
      </c>
      <c r="AU126" s="239">
        <f t="shared" si="38"/>
        <v>0</v>
      </c>
      <c r="AV126" s="239">
        <f t="shared" si="26"/>
        <v>-8.6118891867414966</v>
      </c>
      <c r="AW126" s="239" t="e">
        <f t="shared" si="27"/>
        <v>#N/A</v>
      </c>
    </row>
    <row r="127" spans="34:51" ht="15.9" hidden="1" customHeight="1" outlineLevel="1" x14ac:dyDescent="0.3">
      <c r="AH127" s="506"/>
      <c r="AJ127" s="194"/>
      <c r="AM127" s="507" t="s">
        <v>204</v>
      </c>
      <c r="AN127" s="234">
        <f>SUMIF(Calcs!$J$374:$J$449,AM127,Calcs!$K$374:$K$449)/1000000</f>
        <v>0</v>
      </c>
      <c r="AO127" s="235">
        <f t="shared" si="40"/>
        <v>-8.6118891867414966</v>
      </c>
      <c r="AP127" s="237"/>
      <c r="AQ127" s="238">
        <f t="shared" ref="AQ127:AQ129" si="41">MAX(0,MIN(AO127,AO126))+MIN(0,MAX(AO126,AO127))</f>
        <v>-8.6118891867414966</v>
      </c>
      <c r="AR127" s="238">
        <f t="shared" si="39"/>
        <v>0</v>
      </c>
      <c r="AS127" s="238">
        <f t="shared" si="36"/>
        <v>0</v>
      </c>
      <c r="AT127" s="238">
        <f t="shared" si="37"/>
        <v>0</v>
      </c>
      <c r="AU127" s="239">
        <f t="shared" si="38"/>
        <v>0</v>
      </c>
      <c r="AV127" s="239">
        <f t="shared" si="26"/>
        <v>-8.6118891867414966</v>
      </c>
      <c r="AW127" s="239" t="e">
        <f t="shared" si="27"/>
        <v>#N/A</v>
      </c>
    </row>
    <row r="128" spans="34:51" ht="15.9" hidden="1" customHeight="1" outlineLevel="1" x14ac:dyDescent="0.3">
      <c r="AH128" s="506"/>
      <c r="AJ128" s="194"/>
      <c r="AM128" s="507" t="s">
        <v>124</v>
      </c>
      <c r="AN128" s="234">
        <f>SUMIF(Calcs!$J$374:$J$449,AM128,Calcs!$K$374:$K$449)/1000000</f>
        <v>0</v>
      </c>
      <c r="AO128" s="235">
        <f t="shared" si="40"/>
        <v>-8.6118891867414966</v>
      </c>
      <c r="AP128" s="237"/>
      <c r="AQ128" s="238">
        <f t="shared" si="41"/>
        <v>-8.6118891867414966</v>
      </c>
      <c r="AR128" s="238">
        <f t="shared" si="39"/>
        <v>0</v>
      </c>
      <c r="AS128" s="238">
        <f t="shared" si="36"/>
        <v>0</v>
      </c>
      <c r="AT128" s="238">
        <f t="shared" si="37"/>
        <v>0</v>
      </c>
      <c r="AU128" s="239">
        <f t="shared" si="38"/>
        <v>0</v>
      </c>
      <c r="AV128" s="239">
        <f t="shared" si="26"/>
        <v>-8.6118891867414966</v>
      </c>
      <c r="AW128" s="239" t="e">
        <f t="shared" si="27"/>
        <v>#N/A</v>
      </c>
    </row>
    <row r="129" spans="34:49" ht="15.9" hidden="1" customHeight="1" outlineLevel="1" x14ac:dyDescent="0.3">
      <c r="AH129" s="506"/>
      <c r="AM129" s="507" t="s">
        <v>31</v>
      </c>
      <c r="AN129" s="234">
        <f>SUMIF(Calcs!$J$374:$J$449,AM129,Calcs!$K$374:$K$449)/1000000</f>
        <v>0</v>
      </c>
      <c r="AO129" s="235">
        <f t="shared" si="40"/>
        <v>-8.6118891867414966</v>
      </c>
      <c r="AP129" s="237"/>
      <c r="AQ129" s="238">
        <f t="shared" si="41"/>
        <v>-8.6118891867414966</v>
      </c>
      <c r="AR129" s="238">
        <f t="shared" si="39"/>
        <v>0</v>
      </c>
      <c r="AS129" s="238">
        <f t="shared" si="36"/>
        <v>0</v>
      </c>
      <c r="AT129" s="238">
        <f t="shared" si="37"/>
        <v>0</v>
      </c>
      <c r="AU129" s="239">
        <f t="shared" si="38"/>
        <v>0</v>
      </c>
      <c r="AV129" s="239">
        <f t="shared" si="26"/>
        <v>-8.6118891867414966</v>
      </c>
      <c r="AW129" s="239" t="e">
        <f t="shared" si="27"/>
        <v>#N/A</v>
      </c>
    </row>
    <row r="130" spans="34:49" ht="15.9" hidden="1" customHeight="1" outlineLevel="1" x14ac:dyDescent="0.3">
      <c r="AH130" s="387"/>
      <c r="AM130" s="353" t="s">
        <v>205</v>
      </c>
      <c r="AN130" s="234">
        <f>AO129</f>
        <v>-8.6118891867414966</v>
      </c>
      <c r="AO130" s="235">
        <f>AN130</f>
        <v>-8.6118891867414966</v>
      </c>
      <c r="AP130" s="242">
        <f>AO130</f>
        <v>-8.6118891867414966</v>
      </c>
      <c r="AQ130" s="237"/>
      <c r="AR130" s="237"/>
      <c r="AS130" s="237"/>
      <c r="AT130" s="237"/>
      <c r="AU130" s="237"/>
      <c r="AV130" s="239" t="e">
        <f>IF(AP130&gt;0,AP130,NA())</f>
        <v>#N/A</v>
      </c>
      <c r="AW130" s="239">
        <f>IF(AP130&lt;0,AP130,NA())</f>
        <v>-8.6118891867414966</v>
      </c>
    </row>
    <row r="131" spans="34:49" ht="15.9" hidden="1" customHeight="1" outlineLevel="1" x14ac:dyDescent="0.3">
      <c r="AH131" s="506"/>
      <c r="AM131" s="507" t="s">
        <v>35</v>
      </c>
      <c r="AN131" s="234">
        <f>SUMIF(Calcs!$J$374:$J$449,AM131,Calcs!$K$374:$K$449)/1000000</f>
        <v>20.551310612568727</v>
      </c>
      <c r="AO131" s="235">
        <f t="shared" ref="AO131:AO142" si="42">AN131+AO130</f>
        <v>11.939421425827231</v>
      </c>
      <c r="AP131" s="237"/>
      <c r="AQ131" s="238">
        <f t="shared" ref="AQ131:AQ142" si="43">MAX(0,MIN(AO131,AO130))+MIN(0,MAX(AO130,AO131))</f>
        <v>0</v>
      </c>
      <c r="AR131" s="238">
        <f t="shared" ref="AR131:AR142" si="44">MAX(0,MIN(AN131,AO131))</f>
        <v>11.939421425827231</v>
      </c>
      <c r="AS131" s="238">
        <f t="shared" ref="AS131:AS142" si="45">MAX(0,AU131-AN131)</f>
        <v>0</v>
      </c>
      <c r="AT131" s="238">
        <f t="shared" ref="AT131:AT142" si="46">-MAX(0,AN131-AR131)</f>
        <v>-8.6118891867414966</v>
      </c>
      <c r="AU131" s="239">
        <f t="shared" ref="AU131:AU142" si="47">MIN(0,MAX(AN131,AO131))</f>
        <v>0</v>
      </c>
      <c r="AV131" s="239">
        <f>IF(AN131&lt;0,NA(),SUM(AQ131:AU131)-AT131-$AW$145)</f>
        <v>11.939421425827231</v>
      </c>
      <c r="AW131" s="239" t="e">
        <f>IF(AN131&lt;0,SUM(AQ131:AU131)-AS131+$AW$145,NA())</f>
        <v>#N/A</v>
      </c>
    </row>
    <row r="132" spans="34:49" ht="15.9" hidden="1" customHeight="1" outlineLevel="1" x14ac:dyDescent="0.3">
      <c r="AH132" s="506"/>
      <c r="AM132" s="507" t="s">
        <v>36</v>
      </c>
      <c r="AN132" s="234">
        <f>SUMIF(Calcs!$J$374:$J$449,AM132,Calcs!$K$374:$K$449)/1000000</f>
        <v>0</v>
      </c>
      <c r="AO132" s="235">
        <f t="shared" si="42"/>
        <v>11.939421425827231</v>
      </c>
      <c r="AP132" s="237"/>
      <c r="AQ132" s="238">
        <f t="shared" si="43"/>
        <v>11.939421425827231</v>
      </c>
      <c r="AR132" s="238">
        <f t="shared" si="44"/>
        <v>0</v>
      </c>
      <c r="AS132" s="238">
        <f t="shared" si="45"/>
        <v>0</v>
      </c>
      <c r="AT132" s="238">
        <f t="shared" si="46"/>
        <v>0</v>
      </c>
      <c r="AU132" s="239">
        <f t="shared" si="47"/>
        <v>0</v>
      </c>
      <c r="AV132" s="239">
        <f>IF(AN132&lt;0,NA(),SUM(AQ132:AU132)-AT132-$AW$145)</f>
        <v>11.939421425827231</v>
      </c>
      <c r="AW132" s="239" t="e">
        <f>IF(AN132&lt;0,SUM(AQ132:AU132)-AS132+$AW$145,NA())</f>
        <v>#N/A</v>
      </c>
    </row>
    <row r="133" spans="34:49" ht="15.9" hidden="1" customHeight="1" outlineLevel="1" x14ac:dyDescent="0.3">
      <c r="AH133" s="506"/>
      <c r="AM133" s="507" t="s">
        <v>37</v>
      </c>
      <c r="AN133" s="234">
        <f>SUMIF(Calcs!$J$374:$J$449,AM133,Calcs!$K$374:$K$449)/1000000</f>
        <v>0</v>
      </c>
      <c r="AO133" s="235">
        <f t="shared" si="42"/>
        <v>11.939421425827231</v>
      </c>
      <c r="AP133" s="237"/>
      <c r="AQ133" s="238">
        <f t="shared" si="43"/>
        <v>11.939421425827231</v>
      </c>
      <c r="AR133" s="238">
        <f t="shared" si="44"/>
        <v>0</v>
      </c>
      <c r="AS133" s="238">
        <f t="shared" si="45"/>
        <v>0</v>
      </c>
      <c r="AT133" s="238">
        <f t="shared" si="46"/>
        <v>0</v>
      </c>
      <c r="AU133" s="239">
        <f t="shared" si="47"/>
        <v>0</v>
      </c>
      <c r="AV133" s="239">
        <f>IF(AN133&lt;0,NA(),SUM(AQ133:AU133)-AT133-$AW$145)</f>
        <v>11.939421425827231</v>
      </c>
      <c r="AW133" s="239" t="e">
        <f>IF(AN133&lt;0,SUM(AQ133:AU133)-AS133+$AW$145,NA())</f>
        <v>#N/A</v>
      </c>
    </row>
    <row r="134" spans="34:49" ht="15.9" hidden="1" customHeight="1" outlineLevel="1" x14ac:dyDescent="0.3">
      <c r="AH134" s="506"/>
      <c r="AM134" s="507" t="s">
        <v>38</v>
      </c>
      <c r="AN134" s="234">
        <f>SUMIF(Calcs!$J$374:$J$449,AM134,Calcs!$K$374:$K$449)/1000000</f>
        <v>8.7338383751617208</v>
      </c>
      <c r="AO134" s="235">
        <f t="shared" si="42"/>
        <v>20.673259800988951</v>
      </c>
      <c r="AP134" s="237"/>
      <c r="AQ134" s="238">
        <f t="shared" ref="AQ134:AQ139" si="48">MAX(0,MIN(AO134,AO133))+MIN(0,MAX(AO133,AO134))</f>
        <v>11.939421425827231</v>
      </c>
      <c r="AR134" s="238">
        <f t="shared" ref="AR134:AR139" si="49">MAX(0,MIN(AN134,AO134))</f>
        <v>8.7338383751617208</v>
      </c>
      <c r="AS134" s="238">
        <f t="shared" ref="AS134:AS139" si="50">MAX(0,AU134-AN134)</f>
        <v>0</v>
      </c>
      <c r="AT134" s="238">
        <f t="shared" ref="AT134:AT139" si="51">-MAX(0,AN134-AR134)</f>
        <v>0</v>
      </c>
      <c r="AU134" s="239">
        <f t="shared" ref="AU134:AU139" si="52">MIN(0,MAX(AN134,AO134))</f>
        <v>0</v>
      </c>
      <c r="AV134" s="239">
        <f t="shared" ref="AV134:AV139" si="53">IF(AN134&lt;0,NA(),SUM(AQ134:AU134)-AT134-$AW$145)</f>
        <v>20.673259800988951</v>
      </c>
      <c r="AW134" s="239" t="e">
        <f t="shared" ref="AW134:AW139" si="54">IF(AN134&lt;0,SUM(AQ134:AU134)-AS134+$AW$145,NA())</f>
        <v>#N/A</v>
      </c>
    </row>
    <row r="135" spans="34:49" ht="15.9" hidden="1" customHeight="1" outlineLevel="1" x14ac:dyDescent="0.3">
      <c r="AH135" s="506"/>
      <c r="AM135" s="507" t="s">
        <v>39</v>
      </c>
      <c r="AN135" s="234">
        <f>SUMIF(Calcs!$J$374:$J$449,AM135,Calcs!$K$374:$K$449)/1000000</f>
        <v>0</v>
      </c>
      <c r="AO135" s="235">
        <f t="shared" si="42"/>
        <v>20.673259800988951</v>
      </c>
      <c r="AP135" s="237"/>
      <c r="AQ135" s="238">
        <f t="shared" si="48"/>
        <v>20.673259800988951</v>
      </c>
      <c r="AR135" s="238">
        <f t="shared" si="49"/>
        <v>0</v>
      </c>
      <c r="AS135" s="238">
        <f t="shared" si="50"/>
        <v>0</v>
      </c>
      <c r="AT135" s="238">
        <f t="shared" si="51"/>
        <v>0</v>
      </c>
      <c r="AU135" s="239">
        <f t="shared" si="52"/>
        <v>0</v>
      </c>
      <c r="AV135" s="239">
        <f t="shared" si="53"/>
        <v>20.673259800988951</v>
      </c>
      <c r="AW135" s="239" t="e">
        <f t="shared" si="54"/>
        <v>#N/A</v>
      </c>
    </row>
    <row r="136" spans="34:49" ht="15.9" hidden="1" customHeight="1" outlineLevel="1" x14ac:dyDescent="0.3">
      <c r="AH136" s="506"/>
      <c r="AM136" s="507" t="s">
        <v>40</v>
      </c>
      <c r="AN136" s="234">
        <f>SUMIF(Calcs!$J$374:$J$449,AM136,Calcs!$K$374:$K$449)/1000000</f>
        <v>0</v>
      </c>
      <c r="AO136" s="235">
        <f t="shared" si="42"/>
        <v>20.673259800988951</v>
      </c>
      <c r="AP136" s="237"/>
      <c r="AQ136" s="238">
        <f t="shared" si="48"/>
        <v>20.673259800988951</v>
      </c>
      <c r="AR136" s="238">
        <f t="shared" si="49"/>
        <v>0</v>
      </c>
      <c r="AS136" s="238">
        <f t="shared" si="50"/>
        <v>0</v>
      </c>
      <c r="AT136" s="238">
        <f t="shared" si="51"/>
        <v>0</v>
      </c>
      <c r="AU136" s="239">
        <f t="shared" si="52"/>
        <v>0</v>
      </c>
      <c r="AV136" s="239">
        <f t="shared" si="53"/>
        <v>20.673259800988951</v>
      </c>
      <c r="AW136" s="239" t="e">
        <f t="shared" si="54"/>
        <v>#N/A</v>
      </c>
    </row>
    <row r="137" spans="34:49" ht="15.9" hidden="1" customHeight="1" outlineLevel="1" x14ac:dyDescent="0.3">
      <c r="AH137" s="506"/>
      <c r="AM137" s="507" t="s">
        <v>41</v>
      </c>
      <c r="AN137" s="234">
        <f>SUMIF(Calcs!$J$374:$J$449,AM137,Calcs!$K$374:$K$449)/1000000</f>
        <v>0</v>
      </c>
      <c r="AO137" s="235">
        <f t="shared" si="42"/>
        <v>20.673259800988951</v>
      </c>
      <c r="AP137" s="237"/>
      <c r="AQ137" s="238">
        <f t="shared" si="48"/>
        <v>20.673259800988951</v>
      </c>
      <c r="AR137" s="238">
        <f t="shared" si="49"/>
        <v>0</v>
      </c>
      <c r="AS137" s="238">
        <f t="shared" si="50"/>
        <v>0</v>
      </c>
      <c r="AT137" s="238">
        <f t="shared" si="51"/>
        <v>0</v>
      </c>
      <c r="AU137" s="239">
        <f t="shared" si="52"/>
        <v>0</v>
      </c>
      <c r="AV137" s="239">
        <f t="shared" si="53"/>
        <v>20.673259800988951</v>
      </c>
      <c r="AW137" s="239" t="e">
        <f t="shared" si="54"/>
        <v>#N/A</v>
      </c>
    </row>
    <row r="138" spans="34:49" ht="15.9" hidden="1" customHeight="1" outlineLevel="1" x14ac:dyDescent="0.3">
      <c r="AH138" s="506"/>
      <c r="AM138" s="507" t="s">
        <v>42</v>
      </c>
      <c r="AN138" s="234">
        <f>SUMIF(Calcs!$J$374:$J$449,AM138,Calcs!$K$374:$K$449)/1000000</f>
        <v>0</v>
      </c>
      <c r="AO138" s="235">
        <f t="shared" si="42"/>
        <v>20.673259800988951</v>
      </c>
      <c r="AP138" s="237"/>
      <c r="AQ138" s="238">
        <f t="shared" si="48"/>
        <v>20.673259800988951</v>
      </c>
      <c r="AR138" s="238">
        <f t="shared" si="49"/>
        <v>0</v>
      </c>
      <c r="AS138" s="238">
        <f t="shared" si="50"/>
        <v>0</v>
      </c>
      <c r="AT138" s="238">
        <f t="shared" si="51"/>
        <v>0</v>
      </c>
      <c r="AU138" s="239">
        <f t="shared" si="52"/>
        <v>0</v>
      </c>
      <c r="AV138" s="239">
        <f t="shared" si="53"/>
        <v>20.673259800988951</v>
      </c>
      <c r="AW138" s="239" t="e">
        <f t="shared" si="54"/>
        <v>#N/A</v>
      </c>
    </row>
    <row r="139" spans="34:49" ht="15.9" hidden="1" customHeight="1" outlineLevel="1" x14ac:dyDescent="0.3">
      <c r="AH139" s="506"/>
      <c r="AM139" s="507" t="s">
        <v>43</v>
      </c>
      <c r="AN139" s="234">
        <f>SUMIF(Calcs!$J$374:$J$449,AM139,Calcs!$K$374:$K$449)/1000000</f>
        <v>0</v>
      </c>
      <c r="AO139" s="235">
        <f t="shared" si="42"/>
        <v>20.673259800988951</v>
      </c>
      <c r="AP139" s="237"/>
      <c r="AQ139" s="238">
        <f t="shared" si="48"/>
        <v>20.673259800988951</v>
      </c>
      <c r="AR139" s="238">
        <f t="shared" si="49"/>
        <v>0</v>
      </c>
      <c r="AS139" s="238">
        <f t="shared" si="50"/>
        <v>0</v>
      </c>
      <c r="AT139" s="238">
        <f t="shared" si="51"/>
        <v>0</v>
      </c>
      <c r="AU139" s="239">
        <f t="shared" si="52"/>
        <v>0</v>
      </c>
      <c r="AV139" s="239">
        <f t="shared" si="53"/>
        <v>20.673259800988951</v>
      </c>
      <c r="AW139" s="239" t="e">
        <f t="shared" si="54"/>
        <v>#N/A</v>
      </c>
    </row>
    <row r="140" spans="34:49" ht="15.9" hidden="1" customHeight="1" outlineLevel="1" x14ac:dyDescent="0.3">
      <c r="AH140" s="506"/>
      <c r="AM140" s="507" t="s">
        <v>51</v>
      </c>
      <c r="AN140" s="234">
        <f>SUMIF(Calcs!$J$374:$J$449,AM140,Calcs!$K$374:$K$449)/1000000</f>
        <v>0</v>
      </c>
      <c r="AO140" s="235">
        <f t="shared" si="42"/>
        <v>20.673259800988951</v>
      </c>
      <c r="AP140" s="237"/>
      <c r="AQ140" s="238">
        <f t="shared" si="43"/>
        <v>20.673259800988951</v>
      </c>
      <c r="AR140" s="238">
        <f t="shared" si="44"/>
        <v>0</v>
      </c>
      <c r="AS140" s="238">
        <f t="shared" si="45"/>
        <v>0</v>
      </c>
      <c r="AT140" s="238">
        <f t="shared" si="46"/>
        <v>0</v>
      </c>
      <c r="AU140" s="239">
        <f t="shared" si="47"/>
        <v>0</v>
      </c>
      <c r="AV140" s="239">
        <f>IF(AN140&lt;0,NA(),SUM(AQ140:AU140)-AT140-$AW$145)</f>
        <v>20.673259800988951</v>
      </c>
      <c r="AW140" s="239" t="e">
        <f>IF(AN140&lt;0,SUM(AQ140:AU140)-AS140+$AW$145,NA())</f>
        <v>#N/A</v>
      </c>
    </row>
    <row r="141" spans="34:49" ht="15.9" hidden="1" customHeight="1" outlineLevel="1" x14ac:dyDescent="0.3">
      <c r="AH141" s="506"/>
      <c r="AM141" s="507" t="s">
        <v>53</v>
      </c>
      <c r="AN141" s="234">
        <f>SUMIF(Calcs!$J$374:$J$449,AM141,Calcs!$K$374:$K$449)/1000000</f>
        <v>0</v>
      </c>
      <c r="AO141" s="235">
        <f t="shared" si="42"/>
        <v>20.673259800988951</v>
      </c>
      <c r="AP141" s="237"/>
      <c r="AQ141" s="238">
        <f t="shared" si="43"/>
        <v>20.673259800988951</v>
      </c>
      <c r="AR141" s="238">
        <f t="shared" si="44"/>
        <v>0</v>
      </c>
      <c r="AS141" s="238">
        <f t="shared" si="45"/>
        <v>0</v>
      </c>
      <c r="AT141" s="238">
        <f t="shared" si="46"/>
        <v>0</v>
      </c>
      <c r="AU141" s="239">
        <f t="shared" si="47"/>
        <v>0</v>
      </c>
      <c r="AV141" s="239">
        <f>IF(AN141&lt;0,NA(),SUM(AQ141:AU141)-AT141-$AW$145)</f>
        <v>20.673259800988951</v>
      </c>
      <c r="AW141" s="239" t="e">
        <f>IF(AN141&lt;0,SUM(AQ141:AU141)-AS141+$AW$145,NA())</f>
        <v>#N/A</v>
      </c>
    </row>
    <row r="142" spans="34:49" ht="15.9" hidden="1" customHeight="1" outlineLevel="1" x14ac:dyDescent="0.3">
      <c r="AH142" s="506"/>
      <c r="AM142" s="507" t="s">
        <v>54</v>
      </c>
      <c r="AN142" s="234">
        <f>SUMIF(Calcs!$J$374:$J$449,AM142,Calcs!$K$374:$K$449)/1000000</f>
        <v>3.9692537729400867</v>
      </c>
      <c r="AO142" s="235">
        <f t="shared" si="42"/>
        <v>24.642513573929037</v>
      </c>
      <c r="AP142" s="237"/>
      <c r="AQ142" s="238">
        <f t="shared" si="43"/>
        <v>20.673259800988951</v>
      </c>
      <c r="AR142" s="238">
        <f t="shared" si="44"/>
        <v>3.9692537729400867</v>
      </c>
      <c r="AS142" s="238">
        <f t="shared" si="45"/>
        <v>0</v>
      </c>
      <c r="AT142" s="238">
        <f t="shared" si="46"/>
        <v>0</v>
      </c>
      <c r="AU142" s="239">
        <f t="shared" si="47"/>
        <v>0</v>
      </c>
      <c r="AV142" s="239">
        <f>IF(AN142&lt;0,NA(),SUM(AQ142:AU142)-AT142-$AW$145)</f>
        <v>24.642513573929037</v>
      </c>
      <c r="AW142" s="239" t="e">
        <f>IF(AN142&lt;0,SUM(AQ142:AU142)-AS142+$AW$145,NA())</f>
        <v>#N/A</v>
      </c>
    </row>
    <row r="143" spans="34:49" ht="15.9" hidden="1" customHeight="1" outlineLevel="1" x14ac:dyDescent="0.3">
      <c r="AH143" s="388"/>
      <c r="AM143" s="354" t="s">
        <v>211</v>
      </c>
      <c r="AN143" s="238">
        <f>SUM(AN130:AN142)</f>
        <v>24.642513573929037</v>
      </c>
      <c r="AO143" s="243">
        <f>AN143</f>
        <v>24.642513573929037</v>
      </c>
      <c r="AP143" s="242">
        <f>AN143</f>
        <v>24.642513573929037</v>
      </c>
      <c r="AQ143" s="237"/>
      <c r="AR143" s="237"/>
      <c r="AS143" s="237"/>
      <c r="AT143" s="237"/>
      <c r="AU143" s="237"/>
      <c r="AV143" s="239">
        <f>IF(AP143&gt;0,AP143,NA())</f>
        <v>24.642513573929037</v>
      </c>
      <c r="AW143" s="239" t="e">
        <f>IF(AP143&lt;0,AP143,NA())</f>
        <v>#N/A</v>
      </c>
    </row>
    <row r="144" spans="34:49" ht="15.9" hidden="1" customHeight="1" outlineLevel="1" x14ac:dyDescent="0.3">
      <c r="AM144" s="203"/>
      <c r="AN144" s="204"/>
      <c r="AO144" s="204"/>
      <c r="AP144" s="204"/>
      <c r="AQ144" s="205"/>
      <c r="AR144" s="205"/>
      <c r="AS144" s="205"/>
      <c r="AT144" s="205"/>
      <c r="AU144" s="205"/>
      <c r="AV144" s="205"/>
      <c r="AW144" s="205"/>
    </row>
    <row r="145" spans="34:49" ht="15.9" hidden="1" customHeight="1" outlineLevel="1" x14ac:dyDescent="0.3">
      <c r="AM145" s="206" t="s">
        <v>207</v>
      </c>
      <c r="AN145" s="193" t="str">
        <f>IF(ROUND($AN$143,7)=ROUND(Calcs!$K$448/1000000,7),"Ok","Check")</f>
        <v>Ok</v>
      </c>
      <c r="AO145" s="205"/>
      <c r="AP145" s="205"/>
      <c r="AQ145" s="205"/>
      <c r="AR145" s="205"/>
      <c r="AS145" s="205"/>
      <c r="AT145" s="205"/>
      <c r="AU145" s="205"/>
      <c r="AV145" s="207" t="s">
        <v>208</v>
      </c>
      <c r="AW145" s="208">
        <v>0</v>
      </c>
    </row>
    <row r="146" spans="34:49" ht="10.35" hidden="1" customHeight="1" outlineLevel="1" x14ac:dyDescent="0.3">
      <c r="AM146" s="205"/>
      <c r="AN146" s="205"/>
      <c r="AO146" s="205"/>
      <c r="AP146" s="205"/>
      <c r="AQ146" s="205"/>
      <c r="AR146" s="205"/>
      <c r="AS146" s="205"/>
      <c r="AT146" s="205"/>
      <c r="AU146" s="205"/>
      <c r="AV146" s="209" t="s">
        <v>209</v>
      </c>
      <c r="AW146" s="210">
        <f>ROUNDUP(MAX(0,MAX(AO119:AO143))-MIN(0,MIN(AO119:AO143)),1-LEN(INT(MAX(0,MAX(AO119:AO143))-MIN(0,MIN(AO119:AO143)))))/40</f>
        <v>1</v>
      </c>
    </row>
    <row r="147" spans="34:49" ht="10.35" hidden="1" customHeight="1" outlineLevel="1" x14ac:dyDescent="0.3"/>
    <row r="148" spans="34:49" hidden="1" outlineLevel="1" x14ac:dyDescent="0.3"/>
    <row r="149" spans="34:49" hidden="1" outlineLevel="1" x14ac:dyDescent="0.3"/>
    <row r="150" spans="34:49" hidden="1" outlineLevel="1" x14ac:dyDescent="0.3">
      <c r="AM150" s="200" t="s">
        <v>186</v>
      </c>
      <c r="AN150" s="200" t="s">
        <v>187</v>
      </c>
    </row>
    <row r="151" spans="34:49" hidden="1" outlineLevel="1" x14ac:dyDescent="0.3">
      <c r="AN151" s="200" t="s">
        <v>188</v>
      </c>
    </row>
    <row r="152" spans="34:49" hidden="1" outlineLevel="1" x14ac:dyDescent="0.3">
      <c r="AN152" s="200" t="s">
        <v>189</v>
      </c>
    </row>
    <row r="153" spans="34:49" hidden="1" outlineLevel="1" x14ac:dyDescent="0.3">
      <c r="AN153" s="200" t="s">
        <v>190</v>
      </c>
    </row>
    <row r="154" spans="34:49" hidden="1" outlineLevel="1" x14ac:dyDescent="0.3"/>
    <row r="155" spans="34:49" ht="14.4" hidden="1" outlineLevel="1" x14ac:dyDescent="0.3">
      <c r="AH155" s="386"/>
      <c r="AJ155" s="212"/>
      <c r="AM155" s="227" t="s">
        <v>58</v>
      </c>
      <c r="AN155" s="227"/>
      <c r="AO155" s="227"/>
      <c r="AP155" s="228" t="s">
        <v>191</v>
      </c>
      <c r="AQ155" s="229"/>
      <c r="AR155" s="229"/>
      <c r="AS155" s="229"/>
      <c r="AT155" s="229"/>
      <c r="AU155" s="229"/>
      <c r="AV155" s="229"/>
      <c r="AW155" s="229"/>
    </row>
    <row r="156" spans="34:49" ht="28.8" hidden="1" outlineLevel="1" x14ac:dyDescent="0.3">
      <c r="AJ156" s="194"/>
      <c r="AM156" s="230" t="s">
        <v>192</v>
      </c>
      <c r="AN156" s="231" t="s">
        <v>193</v>
      </c>
      <c r="AO156" s="232" t="s">
        <v>194</v>
      </c>
      <c r="AP156" s="232" t="s">
        <v>195</v>
      </c>
      <c r="AQ156" s="233" t="s">
        <v>196</v>
      </c>
      <c r="AR156" s="233" t="s">
        <v>197</v>
      </c>
      <c r="AS156" s="233" t="s">
        <v>198</v>
      </c>
      <c r="AT156" s="233" t="s">
        <v>199</v>
      </c>
      <c r="AU156" s="233" t="s">
        <v>200</v>
      </c>
      <c r="AV156" s="233" t="s">
        <v>201</v>
      </c>
      <c r="AW156" s="233" t="s">
        <v>202</v>
      </c>
    </row>
    <row r="157" spans="34:49" ht="14.4" hidden="1" outlineLevel="1" x14ac:dyDescent="0.3">
      <c r="AH157" s="506"/>
      <c r="AM157" s="507" t="s">
        <v>160</v>
      </c>
      <c r="AN157" s="234">
        <f t="shared" ref="AN157:AN167" si="55">AN79+AN119</f>
        <v>-12.938751245002702</v>
      </c>
      <c r="AO157" s="235">
        <f>AN157</f>
        <v>-12.938751245002702</v>
      </c>
      <c r="AP157" s="236"/>
      <c r="AQ157" s="237"/>
      <c r="AR157" s="238">
        <f>MAX(0,MIN(AN157,AO157))</f>
        <v>0</v>
      </c>
      <c r="AS157" s="237"/>
      <c r="AT157" s="240"/>
      <c r="AU157" s="239">
        <f t="shared" ref="AU157:AU158" si="56">MIN(0,MAX(AN157,AO157))</f>
        <v>-12.938751245002702</v>
      </c>
      <c r="AV157" s="239" t="e">
        <f t="shared" ref="AV157:AV167" si="57">IF(AN157&lt;0,NA(),SUM(AQ157:AU157)-AT157-$AW$183)</f>
        <v>#N/A</v>
      </c>
      <c r="AW157" s="239">
        <f t="shared" ref="AW157:AW167" si="58">IF(AN157&lt;0,SUM(AQ157:AU157)-AS157+$AW$183,NA())</f>
        <v>-12.938751245002702</v>
      </c>
    </row>
    <row r="158" spans="34:49" ht="14.4" hidden="1" outlineLevel="1" x14ac:dyDescent="0.3">
      <c r="AH158" s="506"/>
      <c r="AM158" s="507" t="s">
        <v>181</v>
      </c>
      <c r="AN158" s="234">
        <f t="shared" si="55"/>
        <v>0</v>
      </c>
      <c r="AO158" s="235">
        <f>AN158+AO157</f>
        <v>-12.938751245002702</v>
      </c>
      <c r="AP158" s="240"/>
      <c r="AQ158" s="238">
        <f t="shared" ref="AQ158" si="59">MAX(0,MIN(AO158,AO157))+MIN(0,MAX(AO157,AO158))</f>
        <v>-12.938751245002702</v>
      </c>
      <c r="AR158" s="238">
        <f t="shared" ref="AR158" si="60">MAX(0,MIN(AN158,AO158))</f>
        <v>0</v>
      </c>
      <c r="AS158" s="238">
        <f t="shared" ref="AS158" si="61">MAX(0,AU158-AN158)</f>
        <v>0</v>
      </c>
      <c r="AT158" s="238">
        <f t="shared" ref="AT158" si="62">-MAX(0,AN158-AR158)</f>
        <v>0</v>
      </c>
      <c r="AU158" s="239">
        <f t="shared" si="56"/>
        <v>0</v>
      </c>
      <c r="AV158" s="239">
        <f t="shared" si="57"/>
        <v>-12.938751245002702</v>
      </c>
      <c r="AW158" s="239" t="e">
        <f t="shared" si="58"/>
        <v>#N/A</v>
      </c>
    </row>
    <row r="159" spans="34:49" ht="14.4" hidden="1" outlineLevel="1" x14ac:dyDescent="0.3">
      <c r="AH159" s="506"/>
      <c r="AM159" s="507" t="s">
        <v>28</v>
      </c>
      <c r="AN159" s="234">
        <f t="shared" si="55"/>
        <v>0.54282284767942857</v>
      </c>
      <c r="AO159" s="235">
        <f>AN159+AO158</f>
        <v>-12.395928397323274</v>
      </c>
      <c r="AP159" s="240"/>
      <c r="AQ159" s="238">
        <f>MAX(0,MIN(AO159,AO158))+MIN(0,MAX(AO158,AO159))</f>
        <v>-12.395928397323274</v>
      </c>
      <c r="AR159" s="238">
        <f>MAX(0,MIN(AN159,AO159))</f>
        <v>0</v>
      </c>
      <c r="AS159" s="238">
        <f t="shared" ref="AS159" si="63">MAX(0,AU159-AN159)</f>
        <v>0</v>
      </c>
      <c r="AT159" s="238">
        <f t="shared" ref="AT159" si="64">-MAX(0,AN159-AR159)</f>
        <v>-0.54282284767942857</v>
      </c>
      <c r="AU159" s="239">
        <f t="shared" ref="AU159" si="65">MIN(0,MAX(AN159,AO159))</f>
        <v>0</v>
      </c>
      <c r="AV159" s="239">
        <f t="shared" si="57"/>
        <v>-12.395928397323274</v>
      </c>
      <c r="AW159" s="239" t="e">
        <f t="shared" si="58"/>
        <v>#N/A</v>
      </c>
    </row>
    <row r="160" spans="34:49" ht="14.4" hidden="1" outlineLevel="1" x14ac:dyDescent="0.3">
      <c r="AH160" s="506"/>
      <c r="AM160" s="507" t="s">
        <v>32</v>
      </c>
      <c r="AN160" s="234">
        <f t="shared" si="55"/>
        <v>5.621125743049042</v>
      </c>
      <c r="AO160" s="235">
        <f>AN160+AO159</f>
        <v>-6.7748026542742323</v>
      </c>
      <c r="AP160" s="240"/>
      <c r="AQ160" s="238">
        <f>MAX(0,MIN(AO160,AO159))+MIN(0,MAX(AO159,AO160))</f>
        <v>-6.7748026542742323</v>
      </c>
      <c r="AR160" s="238">
        <f>MAX(0,MIN(AN160,AO160))</f>
        <v>0</v>
      </c>
      <c r="AS160" s="238">
        <f>MAX(0,AU160-AN160)</f>
        <v>0</v>
      </c>
      <c r="AT160" s="238">
        <f>-MAX(0,AN160-AR160)</f>
        <v>-5.621125743049042</v>
      </c>
      <c r="AU160" s="239">
        <f>MIN(0,MAX(AN160,AO160))</f>
        <v>0</v>
      </c>
      <c r="AV160" s="239">
        <f t="shared" si="57"/>
        <v>-6.7748026542742323</v>
      </c>
      <c r="AW160" s="239" t="e">
        <f t="shared" si="58"/>
        <v>#N/A</v>
      </c>
    </row>
    <row r="161" spans="34:49" ht="14.4" hidden="1" customHeight="1" outlineLevel="1" x14ac:dyDescent="0.3">
      <c r="AH161" s="506"/>
      <c r="AM161" s="507" t="s">
        <v>182</v>
      </c>
      <c r="AN161" s="234">
        <f t="shared" si="55"/>
        <v>13.43255451712584</v>
      </c>
      <c r="AO161" s="235">
        <f>AN161+AO160</f>
        <v>6.6577518628516081</v>
      </c>
      <c r="AP161" s="237"/>
      <c r="AQ161" s="238">
        <f>MAX(0,MIN(AO161,AO160))+MIN(0,MAX(AO160,AO161))</f>
        <v>0</v>
      </c>
      <c r="AR161" s="238">
        <f t="shared" ref="AR161:AR162" si="66">MAX(0,MIN(AN161,AO161))</f>
        <v>6.6577518628516081</v>
      </c>
      <c r="AS161" s="238">
        <f t="shared" ref="AS161:AS162" si="67">MAX(0,AU161-AN161)</f>
        <v>0</v>
      </c>
      <c r="AT161" s="238">
        <f t="shared" ref="AT161:AT162" si="68">-MAX(0,AN161-AR161)</f>
        <v>-6.7748026542742323</v>
      </c>
      <c r="AU161" s="239">
        <f>MIN(0,MAX(AN161,AO161))</f>
        <v>0</v>
      </c>
      <c r="AV161" s="239">
        <f t="shared" si="57"/>
        <v>6.6577518628516081</v>
      </c>
      <c r="AW161" s="239" t="e">
        <f t="shared" si="58"/>
        <v>#N/A</v>
      </c>
    </row>
    <row r="162" spans="34:49" ht="14.4" hidden="1" customHeight="1" outlineLevel="1" x14ac:dyDescent="0.3">
      <c r="AH162" s="506"/>
      <c r="AM162" s="507" t="s">
        <v>173</v>
      </c>
      <c r="AN162" s="234">
        <f t="shared" si="55"/>
        <v>-13.43255451712584</v>
      </c>
      <c r="AO162" s="235">
        <f>AN162+AO161</f>
        <v>-6.7748026542742323</v>
      </c>
      <c r="AP162" s="237"/>
      <c r="AQ162" s="238">
        <f>MAX(0,MIN(AO162,AO161))+MIN(0,MAX(AO161,AO162))</f>
        <v>0</v>
      </c>
      <c r="AR162" s="238">
        <f t="shared" si="66"/>
        <v>0</v>
      </c>
      <c r="AS162" s="238">
        <f t="shared" si="67"/>
        <v>6.6577518628516081</v>
      </c>
      <c r="AT162" s="238">
        <f t="shared" si="68"/>
        <v>0</v>
      </c>
      <c r="AU162" s="239">
        <f t="shared" ref="AU162" si="69">MIN(0,MAX(AN162,AO162))</f>
        <v>-6.7748026542742323</v>
      </c>
      <c r="AV162" s="239" t="e">
        <f t="shared" si="57"/>
        <v>#N/A</v>
      </c>
      <c r="AW162" s="239">
        <f t="shared" si="58"/>
        <v>-6.7748026542742323</v>
      </c>
    </row>
    <row r="163" spans="34:49" ht="14.4" hidden="1" customHeight="1" outlineLevel="1" x14ac:dyDescent="0.3">
      <c r="AH163" s="506"/>
      <c r="AM163" s="507" t="s">
        <v>122</v>
      </c>
      <c r="AN163" s="234">
        <f t="shared" si="55"/>
        <v>0</v>
      </c>
      <c r="AO163" s="235">
        <f t="shared" ref="AO163:AO180" si="70">AN163+AO162</f>
        <v>-6.7748026542742323</v>
      </c>
      <c r="AP163" s="237"/>
      <c r="AQ163" s="238">
        <f t="shared" ref="AQ163:AQ167" si="71">MAX(0,MIN(AO163,AO162))+MIN(0,MAX(AO162,AO163))</f>
        <v>-6.7748026542742323</v>
      </c>
      <c r="AR163" s="238">
        <f t="shared" ref="AR163:AR167" si="72">MAX(0,MIN(AN163,AO163))</f>
        <v>0</v>
      </c>
      <c r="AS163" s="238">
        <f t="shared" ref="AS163:AS167" si="73">MAX(0,AU163-AN163)</f>
        <v>0</v>
      </c>
      <c r="AT163" s="238">
        <f t="shared" ref="AT163:AT167" si="74">-MAX(0,AN163-AR163)</f>
        <v>0</v>
      </c>
      <c r="AU163" s="239">
        <f t="shared" ref="AU163:AU167" si="75">MIN(0,MAX(AN163,AO163))</f>
        <v>0</v>
      </c>
      <c r="AV163" s="239">
        <f t="shared" si="57"/>
        <v>-6.7748026542742323</v>
      </c>
      <c r="AW163" s="239" t="e">
        <f t="shared" si="58"/>
        <v>#N/A</v>
      </c>
    </row>
    <row r="164" spans="34:49" ht="14.4" hidden="1" customHeight="1" outlineLevel="1" x14ac:dyDescent="0.3">
      <c r="AH164" s="506"/>
      <c r="AM164" s="507" t="s">
        <v>203</v>
      </c>
      <c r="AN164" s="234">
        <f t="shared" si="55"/>
        <v>0</v>
      </c>
      <c r="AO164" s="235">
        <f t="shared" si="70"/>
        <v>-6.7748026542742323</v>
      </c>
      <c r="AP164" s="237"/>
      <c r="AQ164" s="238">
        <f t="shared" si="71"/>
        <v>-6.7748026542742323</v>
      </c>
      <c r="AR164" s="238">
        <f t="shared" si="72"/>
        <v>0</v>
      </c>
      <c r="AS164" s="238">
        <f t="shared" si="73"/>
        <v>0</v>
      </c>
      <c r="AT164" s="238">
        <f t="shared" si="74"/>
        <v>0</v>
      </c>
      <c r="AU164" s="239">
        <f t="shared" si="75"/>
        <v>0</v>
      </c>
      <c r="AV164" s="239">
        <f t="shared" si="57"/>
        <v>-6.7748026542742323</v>
      </c>
      <c r="AW164" s="239" t="e">
        <f t="shared" si="58"/>
        <v>#N/A</v>
      </c>
    </row>
    <row r="165" spans="34:49" ht="14.4" hidden="1" customHeight="1" outlineLevel="1" x14ac:dyDescent="0.3">
      <c r="AH165" s="506"/>
      <c r="AM165" s="507" t="s">
        <v>204</v>
      </c>
      <c r="AN165" s="234">
        <f t="shared" si="55"/>
        <v>0</v>
      </c>
      <c r="AO165" s="235">
        <f t="shared" si="70"/>
        <v>-6.7748026542742323</v>
      </c>
      <c r="AP165" s="237"/>
      <c r="AQ165" s="238">
        <f t="shared" si="71"/>
        <v>-6.7748026542742323</v>
      </c>
      <c r="AR165" s="238">
        <f t="shared" si="72"/>
        <v>0</v>
      </c>
      <c r="AS165" s="238">
        <f t="shared" si="73"/>
        <v>0</v>
      </c>
      <c r="AT165" s="238">
        <f t="shared" si="74"/>
        <v>0</v>
      </c>
      <c r="AU165" s="239">
        <f t="shared" si="75"/>
        <v>0</v>
      </c>
      <c r="AV165" s="239">
        <f t="shared" si="57"/>
        <v>-6.7748026542742323</v>
      </c>
      <c r="AW165" s="239" t="e">
        <f t="shared" si="58"/>
        <v>#N/A</v>
      </c>
    </row>
    <row r="166" spans="34:49" ht="14.4" hidden="1" customHeight="1" outlineLevel="1" x14ac:dyDescent="0.3">
      <c r="AH166" s="506"/>
      <c r="AM166" s="507" t="s">
        <v>124</v>
      </c>
      <c r="AN166" s="234">
        <f t="shared" si="55"/>
        <v>0</v>
      </c>
      <c r="AO166" s="235">
        <f t="shared" si="70"/>
        <v>-6.7748026542742323</v>
      </c>
      <c r="AP166" s="237"/>
      <c r="AQ166" s="238">
        <f t="shared" si="71"/>
        <v>-6.7748026542742323</v>
      </c>
      <c r="AR166" s="238">
        <f t="shared" si="72"/>
        <v>0</v>
      </c>
      <c r="AS166" s="238">
        <f t="shared" si="73"/>
        <v>0</v>
      </c>
      <c r="AT166" s="238">
        <f t="shared" si="74"/>
        <v>0</v>
      </c>
      <c r="AU166" s="239">
        <f t="shared" si="75"/>
        <v>0</v>
      </c>
      <c r="AV166" s="239">
        <f t="shared" si="57"/>
        <v>-6.7748026542742323</v>
      </c>
      <c r="AW166" s="239" t="e">
        <f t="shared" si="58"/>
        <v>#N/A</v>
      </c>
    </row>
    <row r="167" spans="34:49" ht="14.4" hidden="1" customHeight="1" outlineLevel="1" x14ac:dyDescent="0.3">
      <c r="AH167" s="506"/>
      <c r="AM167" s="507" t="s">
        <v>31</v>
      </c>
      <c r="AN167" s="234">
        <f t="shared" si="55"/>
        <v>0</v>
      </c>
      <c r="AO167" s="235">
        <f t="shared" si="70"/>
        <v>-6.7748026542742323</v>
      </c>
      <c r="AP167" s="237"/>
      <c r="AQ167" s="238">
        <f t="shared" si="71"/>
        <v>-6.7748026542742323</v>
      </c>
      <c r="AR167" s="238">
        <f t="shared" si="72"/>
        <v>0</v>
      </c>
      <c r="AS167" s="238">
        <f t="shared" si="73"/>
        <v>0</v>
      </c>
      <c r="AT167" s="238">
        <f t="shared" si="74"/>
        <v>0</v>
      </c>
      <c r="AU167" s="239">
        <f t="shared" si="75"/>
        <v>0</v>
      </c>
      <c r="AV167" s="239">
        <f t="shared" si="57"/>
        <v>-6.7748026542742323</v>
      </c>
      <c r="AW167" s="239" t="e">
        <f t="shared" si="58"/>
        <v>#N/A</v>
      </c>
    </row>
    <row r="168" spans="34:49" ht="14.4" hidden="1" customHeight="1" outlineLevel="1" x14ac:dyDescent="0.3">
      <c r="AH168" s="387"/>
      <c r="AM168" s="353" t="s">
        <v>205</v>
      </c>
      <c r="AN168" s="234">
        <f>AO167</f>
        <v>-6.7748026542742323</v>
      </c>
      <c r="AO168" s="235">
        <f>AN168</f>
        <v>-6.7748026542742323</v>
      </c>
      <c r="AP168" s="242">
        <f>AO168</f>
        <v>-6.7748026542742323</v>
      </c>
      <c r="AQ168" s="237"/>
      <c r="AR168" s="237"/>
      <c r="AS168" s="237"/>
      <c r="AT168" s="237"/>
      <c r="AU168" s="237"/>
      <c r="AV168" s="239" t="e">
        <f>IF(AP168&gt;0,AP168,NA())</f>
        <v>#N/A</v>
      </c>
      <c r="AW168" s="239">
        <f>IF(AP168&lt;0,AP168,NA())</f>
        <v>-6.7748026542742323</v>
      </c>
    </row>
    <row r="169" spans="34:49" ht="14.4" hidden="1" customHeight="1" outlineLevel="1" x14ac:dyDescent="0.3">
      <c r="AH169" s="506"/>
      <c r="AM169" s="507" t="s">
        <v>35</v>
      </c>
      <c r="AN169" s="234">
        <f t="shared" ref="AN169:AN180" si="76">AN91+AN131</f>
        <v>20.551310612568727</v>
      </c>
      <c r="AO169" s="235">
        <f t="shared" si="70"/>
        <v>13.776507958294495</v>
      </c>
      <c r="AP169" s="237"/>
      <c r="AQ169" s="238">
        <f t="shared" ref="AQ169:AQ178" si="77">MAX(0,MIN(AO169,AO168))+MIN(0,MAX(AO168,AO169))</f>
        <v>0</v>
      </c>
      <c r="AR169" s="238">
        <f t="shared" ref="AR169:AR178" si="78">MAX(0,MIN(AN169,AO169))</f>
        <v>13.776507958294495</v>
      </c>
      <c r="AS169" s="238">
        <f t="shared" ref="AS169:AS178" si="79">MAX(0,AU169-AN169)</f>
        <v>0</v>
      </c>
      <c r="AT169" s="238">
        <f t="shared" ref="AT169:AT178" si="80">-MAX(0,AN169-AR169)</f>
        <v>-6.7748026542742323</v>
      </c>
      <c r="AU169" s="239">
        <f t="shared" ref="AU169:AU178" si="81">MIN(0,MAX(AN169,AO169))</f>
        <v>0</v>
      </c>
      <c r="AV169" s="239">
        <f t="shared" ref="AV169:AV180" si="82">IF(AN169&lt;0,NA(),SUM(AQ169:AU169)-AT169-$AW$183)</f>
        <v>13.776507958294495</v>
      </c>
      <c r="AW169" s="239" t="e">
        <f t="shared" ref="AW169:AW180" si="83">IF(AN169&lt;0,SUM(AQ169:AU169)-AS169+$AW$183,NA())</f>
        <v>#N/A</v>
      </c>
    </row>
    <row r="170" spans="34:49" ht="14.4" hidden="1" outlineLevel="1" x14ac:dyDescent="0.3">
      <c r="AH170" s="506"/>
      <c r="AM170" s="507" t="s">
        <v>36</v>
      </c>
      <c r="AN170" s="234">
        <f t="shared" si="76"/>
        <v>0</v>
      </c>
      <c r="AO170" s="235">
        <f t="shared" si="70"/>
        <v>13.776507958294495</v>
      </c>
      <c r="AP170" s="237"/>
      <c r="AQ170" s="238">
        <f t="shared" si="77"/>
        <v>13.776507958294495</v>
      </c>
      <c r="AR170" s="238">
        <f t="shared" si="78"/>
        <v>0</v>
      </c>
      <c r="AS170" s="238">
        <f t="shared" si="79"/>
        <v>0</v>
      </c>
      <c r="AT170" s="238">
        <f t="shared" si="80"/>
        <v>0</v>
      </c>
      <c r="AU170" s="239">
        <f t="shared" si="81"/>
        <v>0</v>
      </c>
      <c r="AV170" s="239">
        <f t="shared" si="82"/>
        <v>13.776507958294495</v>
      </c>
      <c r="AW170" s="239" t="e">
        <f t="shared" si="83"/>
        <v>#N/A</v>
      </c>
    </row>
    <row r="171" spans="34:49" ht="14.4" hidden="1" outlineLevel="1" x14ac:dyDescent="0.3">
      <c r="AH171" s="506"/>
      <c r="AM171" s="507" t="s">
        <v>37</v>
      </c>
      <c r="AN171" s="234">
        <f t="shared" si="76"/>
        <v>0</v>
      </c>
      <c r="AO171" s="235">
        <f t="shared" si="70"/>
        <v>13.776507958294495</v>
      </c>
      <c r="AP171" s="237"/>
      <c r="AQ171" s="238">
        <f>MAX(0,MIN(AO171,AO170))+MIN(0,MAX(AO170,AO171))</f>
        <v>13.776507958294495</v>
      </c>
      <c r="AR171" s="238">
        <f t="shared" si="78"/>
        <v>0</v>
      </c>
      <c r="AS171" s="238">
        <f t="shared" si="79"/>
        <v>0</v>
      </c>
      <c r="AT171" s="238">
        <f t="shared" si="80"/>
        <v>0</v>
      </c>
      <c r="AU171" s="239">
        <f t="shared" si="81"/>
        <v>0</v>
      </c>
      <c r="AV171" s="239">
        <f t="shared" si="82"/>
        <v>13.776507958294495</v>
      </c>
      <c r="AW171" s="239" t="e">
        <f t="shared" si="83"/>
        <v>#N/A</v>
      </c>
    </row>
    <row r="172" spans="34:49" ht="14.4" hidden="1" outlineLevel="1" x14ac:dyDescent="0.3">
      <c r="AH172" s="506"/>
      <c r="AM172" s="507" t="s">
        <v>38</v>
      </c>
      <c r="AN172" s="234">
        <f t="shared" si="76"/>
        <v>8.7338383751617208</v>
      </c>
      <c r="AO172" s="235">
        <f t="shared" si="70"/>
        <v>22.510346333456216</v>
      </c>
      <c r="AP172" s="237"/>
      <c r="AQ172" s="238">
        <f t="shared" si="77"/>
        <v>13.776507958294495</v>
      </c>
      <c r="AR172" s="238">
        <f t="shared" si="78"/>
        <v>8.7338383751617208</v>
      </c>
      <c r="AS172" s="238">
        <f t="shared" si="79"/>
        <v>0</v>
      </c>
      <c r="AT172" s="238">
        <f t="shared" si="80"/>
        <v>0</v>
      </c>
      <c r="AU172" s="239">
        <f t="shared" si="81"/>
        <v>0</v>
      </c>
      <c r="AV172" s="239">
        <f t="shared" si="82"/>
        <v>22.510346333456216</v>
      </c>
      <c r="AW172" s="239" t="e">
        <f t="shared" si="83"/>
        <v>#N/A</v>
      </c>
    </row>
    <row r="173" spans="34:49" ht="14.4" hidden="1" outlineLevel="1" x14ac:dyDescent="0.3">
      <c r="AH173" s="506"/>
      <c r="AM173" s="507" t="s">
        <v>39</v>
      </c>
      <c r="AN173" s="234">
        <f t="shared" si="76"/>
        <v>0</v>
      </c>
      <c r="AO173" s="235">
        <f t="shared" si="70"/>
        <v>22.510346333456216</v>
      </c>
      <c r="AP173" s="237"/>
      <c r="AQ173" s="238">
        <f t="shared" si="77"/>
        <v>22.510346333456216</v>
      </c>
      <c r="AR173" s="238">
        <f t="shared" si="78"/>
        <v>0</v>
      </c>
      <c r="AS173" s="238">
        <f t="shared" si="79"/>
        <v>0</v>
      </c>
      <c r="AT173" s="238">
        <f t="shared" si="80"/>
        <v>0</v>
      </c>
      <c r="AU173" s="239">
        <f t="shared" si="81"/>
        <v>0</v>
      </c>
      <c r="AV173" s="239">
        <f t="shared" si="82"/>
        <v>22.510346333456216</v>
      </c>
      <c r="AW173" s="239" t="e">
        <f t="shared" si="83"/>
        <v>#N/A</v>
      </c>
    </row>
    <row r="174" spans="34:49" ht="14.4" hidden="1" outlineLevel="1" x14ac:dyDescent="0.3">
      <c r="AH174" s="506"/>
      <c r="AM174" s="507" t="s">
        <v>40</v>
      </c>
      <c r="AN174" s="234">
        <f t="shared" si="76"/>
        <v>0</v>
      </c>
      <c r="AO174" s="235">
        <f t="shared" si="70"/>
        <v>22.510346333456216</v>
      </c>
      <c r="AP174" s="237"/>
      <c r="AQ174" s="238">
        <f t="shared" si="77"/>
        <v>22.510346333456216</v>
      </c>
      <c r="AR174" s="238">
        <f t="shared" si="78"/>
        <v>0</v>
      </c>
      <c r="AS174" s="238">
        <f t="shared" si="79"/>
        <v>0</v>
      </c>
      <c r="AT174" s="238">
        <f t="shared" si="80"/>
        <v>0</v>
      </c>
      <c r="AU174" s="239">
        <f t="shared" si="81"/>
        <v>0</v>
      </c>
      <c r="AV174" s="239">
        <f t="shared" si="82"/>
        <v>22.510346333456216</v>
      </c>
      <c r="AW174" s="239" t="e">
        <f t="shared" si="83"/>
        <v>#N/A</v>
      </c>
    </row>
    <row r="175" spans="34:49" ht="14.4" hidden="1" outlineLevel="1" x14ac:dyDescent="0.3">
      <c r="AH175" s="506"/>
      <c r="AM175" s="507" t="s">
        <v>41</v>
      </c>
      <c r="AN175" s="234">
        <f t="shared" si="76"/>
        <v>0</v>
      </c>
      <c r="AO175" s="235">
        <f t="shared" si="70"/>
        <v>22.510346333456216</v>
      </c>
      <c r="AP175" s="237"/>
      <c r="AQ175" s="238">
        <f t="shared" si="77"/>
        <v>22.510346333456216</v>
      </c>
      <c r="AR175" s="238">
        <f t="shared" si="78"/>
        <v>0</v>
      </c>
      <c r="AS175" s="238">
        <f t="shared" si="79"/>
        <v>0</v>
      </c>
      <c r="AT175" s="238">
        <f t="shared" si="80"/>
        <v>0</v>
      </c>
      <c r="AU175" s="239">
        <f t="shared" si="81"/>
        <v>0</v>
      </c>
      <c r="AV175" s="239">
        <f t="shared" si="82"/>
        <v>22.510346333456216</v>
      </c>
      <c r="AW175" s="239" t="e">
        <f t="shared" si="83"/>
        <v>#N/A</v>
      </c>
    </row>
    <row r="176" spans="34:49" ht="14.4" hidden="1" outlineLevel="1" x14ac:dyDescent="0.3">
      <c r="AH176" s="506"/>
      <c r="AM176" s="507" t="s">
        <v>42</v>
      </c>
      <c r="AN176" s="234">
        <f t="shared" si="76"/>
        <v>0</v>
      </c>
      <c r="AO176" s="235">
        <f t="shared" si="70"/>
        <v>22.510346333456216</v>
      </c>
      <c r="AP176" s="237"/>
      <c r="AQ176" s="238">
        <f t="shared" si="77"/>
        <v>22.510346333456216</v>
      </c>
      <c r="AR176" s="238">
        <f t="shared" si="78"/>
        <v>0</v>
      </c>
      <c r="AS176" s="238">
        <f t="shared" si="79"/>
        <v>0</v>
      </c>
      <c r="AT176" s="238">
        <f t="shared" si="80"/>
        <v>0</v>
      </c>
      <c r="AU176" s="239">
        <f t="shared" si="81"/>
        <v>0</v>
      </c>
      <c r="AV176" s="239">
        <f t="shared" si="82"/>
        <v>22.510346333456216</v>
      </c>
      <c r="AW176" s="239" t="e">
        <f t="shared" si="83"/>
        <v>#N/A</v>
      </c>
    </row>
    <row r="177" spans="34:49" ht="14.4" hidden="1" outlineLevel="1" x14ac:dyDescent="0.3">
      <c r="AH177" s="506"/>
      <c r="AM177" s="507" t="s">
        <v>43</v>
      </c>
      <c r="AN177" s="234">
        <f t="shared" si="76"/>
        <v>0</v>
      </c>
      <c r="AO177" s="235">
        <f t="shared" si="70"/>
        <v>22.510346333456216</v>
      </c>
      <c r="AP177" s="237"/>
      <c r="AQ177" s="238">
        <f t="shared" si="77"/>
        <v>22.510346333456216</v>
      </c>
      <c r="AR177" s="238">
        <f t="shared" si="78"/>
        <v>0</v>
      </c>
      <c r="AS177" s="238">
        <f t="shared" si="79"/>
        <v>0</v>
      </c>
      <c r="AT177" s="238">
        <f t="shared" si="80"/>
        <v>0</v>
      </c>
      <c r="AU177" s="239">
        <f t="shared" si="81"/>
        <v>0</v>
      </c>
      <c r="AV177" s="239">
        <f t="shared" si="82"/>
        <v>22.510346333456216</v>
      </c>
      <c r="AW177" s="239" t="e">
        <f t="shared" si="83"/>
        <v>#N/A</v>
      </c>
    </row>
    <row r="178" spans="34:49" ht="14.4" hidden="1" outlineLevel="1" x14ac:dyDescent="0.3">
      <c r="AH178" s="506"/>
      <c r="AM178" s="507" t="s">
        <v>51</v>
      </c>
      <c r="AN178" s="234">
        <f t="shared" si="76"/>
        <v>0</v>
      </c>
      <c r="AO178" s="235">
        <f t="shared" si="70"/>
        <v>22.510346333456216</v>
      </c>
      <c r="AP178" s="237"/>
      <c r="AQ178" s="238">
        <f t="shared" si="77"/>
        <v>22.510346333456216</v>
      </c>
      <c r="AR178" s="238">
        <f t="shared" si="78"/>
        <v>0</v>
      </c>
      <c r="AS178" s="238">
        <f t="shared" si="79"/>
        <v>0</v>
      </c>
      <c r="AT178" s="238">
        <f t="shared" si="80"/>
        <v>0</v>
      </c>
      <c r="AU178" s="239">
        <f t="shared" si="81"/>
        <v>0</v>
      </c>
      <c r="AV178" s="239">
        <f t="shared" si="82"/>
        <v>22.510346333456216</v>
      </c>
      <c r="AW178" s="239" t="e">
        <f t="shared" si="83"/>
        <v>#N/A</v>
      </c>
    </row>
    <row r="179" spans="34:49" ht="14.4" hidden="1" outlineLevel="1" x14ac:dyDescent="0.3">
      <c r="AH179" s="506"/>
      <c r="AM179" s="507" t="s">
        <v>53</v>
      </c>
      <c r="AN179" s="234">
        <f t="shared" si="76"/>
        <v>0</v>
      </c>
      <c r="AO179" s="235">
        <f t="shared" si="70"/>
        <v>22.510346333456216</v>
      </c>
      <c r="AP179" s="237"/>
      <c r="AQ179" s="238">
        <f t="shared" ref="AQ179:AQ180" si="84">MAX(0,MIN(AO179,AO178))+MIN(0,MAX(AO178,AO179))</f>
        <v>22.510346333456216</v>
      </c>
      <c r="AR179" s="238">
        <f t="shared" ref="AR179:AR180" si="85">MAX(0,MIN(AN179,AO179))</f>
        <v>0</v>
      </c>
      <c r="AS179" s="238">
        <f t="shared" ref="AS179:AS180" si="86">MAX(0,AU179-AN179)</f>
        <v>0</v>
      </c>
      <c r="AT179" s="238">
        <f t="shared" ref="AT179:AT180" si="87">-MAX(0,AN179-AR179)</f>
        <v>0</v>
      </c>
      <c r="AU179" s="239">
        <f t="shared" ref="AU179:AU180" si="88">MIN(0,MAX(AN179,AO179))</f>
        <v>0</v>
      </c>
      <c r="AV179" s="239">
        <f t="shared" si="82"/>
        <v>22.510346333456216</v>
      </c>
      <c r="AW179" s="239" t="e">
        <f t="shared" si="83"/>
        <v>#N/A</v>
      </c>
    </row>
    <row r="180" spans="34:49" ht="14.4" hidden="1" outlineLevel="1" x14ac:dyDescent="0.3">
      <c r="AH180" s="506"/>
      <c r="AM180" s="507" t="s">
        <v>54</v>
      </c>
      <c r="AN180" s="234">
        <f t="shared" si="76"/>
        <v>3.9692537729400867</v>
      </c>
      <c r="AO180" s="235">
        <f t="shared" si="70"/>
        <v>26.479600106396301</v>
      </c>
      <c r="AP180" s="237"/>
      <c r="AQ180" s="238">
        <f t="shared" si="84"/>
        <v>22.510346333456216</v>
      </c>
      <c r="AR180" s="238">
        <f t="shared" si="85"/>
        <v>3.9692537729400867</v>
      </c>
      <c r="AS180" s="238">
        <f t="shared" si="86"/>
        <v>0</v>
      </c>
      <c r="AT180" s="238">
        <f t="shared" si="87"/>
        <v>0</v>
      </c>
      <c r="AU180" s="239">
        <f t="shared" si="88"/>
        <v>0</v>
      </c>
      <c r="AV180" s="239">
        <f t="shared" si="82"/>
        <v>26.479600106396301</v>
      </c>
      <c r="AW180" s="239" t="e">
        <f t="shared" si="83"/>
        <v>#N/A</v>
      </c>
    </row>
    <row r="181" spans="34:49" ht="14.4" hidden="1" outlineLevel="1" x14ac:dyDescent="0.3">
      <c r="AH181" s="388"/>
      <c r="AM181" s="354" t="s">
        <v>212</v>
      </c>
      <c r="AN181" s="238">
        <f>SUM(AN169:AN180,AN157:AN167)</f>
        <v>26.479600106396301</v>
      </c>
      <c r="AO181" s="243">
        <f>AN181</f>
        <v>26.479600106396301</v>
      </c>
      <c r="AP181" s="242">
        <f>AN181</f>
        <v>26.479600106396301</v>
      </c>
      <c r="AQ181" s="237"/>
      <c r="AR181" s="237"/>
      <c r="AS181" s="237"/>
      <c r="AT181" s="237"/>
      <c r="AU181" s="237"/>
      <c r="AV181" s="239">
        <f>IF(AP181&gt;0,AP181,NA())</f>
        <v>26.479600106396301</v>
      </c>
      <c r="AW181" s="239" t="e">
        <f>IF(AP181&lt;0,AP181,NA())</f>
        <v>#N/A</v>
      </c>
    </row>
    <row r="182" spans="34:49" hidden="1" outlineLevel="1" x14ac:dyDescent="0.3">
      <c r="AM182" s="203"/>
      <c r="AN182" s="204"/>
      <c r="AO182" s="204"/>
      <c r="AP182" s="204"/>
      <c r="AQ182" s="205"/>
      <c r="AR182" s="205"/>
      <c r="AS182" s="205"/>
      <c r="AT182" s="205"/>
      <c r="AU182" s="205"/>
      <c r="AV182" s="205"/>
      <c r="AW182" s="205"/>
    </row>
    <row r="183" spans="34:49" hidden="1" outlineLevel="1" x14ac:dyDescent="0.3">
      <c r="AM183" s="206" t="s">
        <v>207</v>
      </c>
      <c r="AN183" s="193" t="str">
        <f>IF(ROUND($AN$181,7)=ROUND(Calcs!$K$526/1000000,7),"Ok","Check")</f>
        <v>Ok</v>
      </c>
      <c r="AO183" s="205"/>
      <c r="AP183" s="205"/>
      <c r="AQ183" s="205"/>
      <c r="AR183" s="205"/>
      <c r="AS183" s="205"/>
      <c r="AT183" s="205"/>
      <c r="AU183" s="205"/>
      <c r="AV183" s="207" t="s">
        <v>208</v>
      </c>
      <c r="AW183" s="208">
        <v>0</v>
      </c>
    </row>
    <row r="184" spans="34:49" hidden="1" outlineLevel="1" x14ac:dyDescent="0.3">
      <c r="AM184" s="205"/>
      <c r="AN184" s="205"/>
      <c r="AO184" s="205"/>
      <c r="AP184" s="205"/>
      <c r="AQ184" s="205"/>
      <c r="AR184" s="205"/>
      <c r="AS184" s="205"/>
      <c r="AT184" s="205"/>
      <c r="AU184" s="205"/>
      <c r="AV184" s="209" t="s">
        <v>209</v>
      </c>
      <c r="AW184" s="210">
        <f>ROUNDUP(MAX(0,MAX(AO157:AO181))-MIN(0,MIN(AO157:AO181)),1-LEN(INT(MAX(0,MAX(AO157:AO181))-MIN(0,MIN(AO157:AO181)))))/40</f>
        <v>1</v>
      </c>
    </row>
    <row r="185" spans="34:49" hidden="1" outlineLevel="1" x14ac:dyDescent="0.3"/>
    <row r="186" spans="34:49" hidden="1" outlineLevel="1" x14ac:dyDescent="0.3"/>
    <row r="201" spans="34:49" x14ac:dyDescent="0.3">
      <c r="AM201" s="200" t="s">
        <v>186</v>
      </c>
      <c r="AN201" s="200" t="s">
        <v>187</v>
      </c>
    </row>
    <row r="202" spans="34:49" x14ac:dyDescent="0.3">
      <c r="AN202" s="200" t="s">
        <v>188</v>
      </c>
    </row>
    <row r="203" spans="34:49" x14ac:dyDescent="0.3">
      <c r="AN203" s="200" t="s">
        <v>189</v>
      </c>
    </row>
    <row r="204" spans="34:49" x14ac:dyDescent="0.3">
      <c r="AN204" s="200" t="s">
        <v>190</v>
      </c>
    </row>
    <row r="206" spans="34:49" ht="14.4" x14ac:dyDescent="0.3">
      <c r="AH206" s="357" t="s">
        <v>213</v>
      </c>
      <c r="AM206" s="227" t="s">
        <v>183</v>
      </c>
      <c r="AN206" s="227"/>
      <c r="AO206" s="227"/>
      <c r="AP206" s="228" t="s">
        <v>191</v>
      </c>
      <c r="AQ206" s="229"/>
      <c r="AR206" s="229"/>
      <c r="AS206" s="229"/>
      <c r="AT206" s="229"/>
      <c r="AU206" s="229"/>
      <c r="AV206" s="229"/>
      <c r="AW206" s="229"/>
    </row>
    <row r="207" spans="34:49" ht="28.8" x14ac:dyDescent="0.3">
      <c r="AH207" s="358"/>
      <c r="AM207" s="230" t="s">
        <v>192</v>
      </c>
      <c r="AN207" s="231" t="s">
        <v>193</v>
      </c>
      <c r="AO207" s="232" t="s">
        <v>194</v>
      </c>
      <c r="AP207" s="232" t="s">
        <v>195</v>
      </c>
      <c r="AQ207" s="233" t="s">
        <v>196</v>
      </c>
      <c r="AR207" s="233" t="s">
        <v>197</v>
      </c>
      <c r="AS207" s="233" t="s">
        <v>198</v>
      </c>
      <c r="AT207" s="233" t="s">
        <v>199</v>
      </c>
      <c r="AU207" s="233" t="s">
        <v>200</v>
      </c>
      <c r="AV207" s="233" t="s">
        <v>201</v>
      </c>
      <c r="AW207" s="233" t="s">
        <v>202</v>
      </c>
    </row>
    <row r="208" spans="34:49" ht="14.4" x14ac:dyDescent="0.3">
      <c r="AH208" s="505" t="s">
        <v>160</v>
      </c>
      <c r="AM208" s="507" t="s">
        <v>160</v>
      </c>
      <c r="AN208" s="234">
        <f>AN79+AN80</f>
        <v>-12.938751245002702</v>
      </c>
      <c r="AO208" s="235">
        <f>AN208</f>
        <v>-12.938751245002702</v>
      </c>
      <c r="AP208" s="236"/>
      <c r="AQ208" s="237"/>
      <c r="AR208" s="238">
        <f>MAX(0,MIN(AN208,AO208))</f>
        <v>0</v>
      </c>
      <c r="AS208" s="237"/>
      <c r="AT208" s="240"/>
      <c r="AU208" s="239">
        <f>MIN(0,MAX(AN208,AO208))</f>
        <v>-12.938751245002702</v>
      </c>
      <c r="AV208" s="239" t="e">
        <f>IF(AN208&lt;0,NA(),SUM(AQ208:AU208)-AT208-$AW$220)</f>
        <v>#N/A</v>
      </c>
      <c r="AW208" s="239">
        <f>IF(AN208&lt;0,SUM(AQ208:AU208)-AS208+$AW$220,NA())</f>
        <v>-12.938751245002702</v>
      </c>
    </row>
    <row r="209" spans="34:49" ht="14.4" x14ac:dyDescent="0.3">
      <c r="AH209" s="505" t="s">
        <v>182</v>
      </c>
      <c r="AM209" s="507" t="s">
        <v>182</v>
      </c>
      <c r="AN209" s="234">
        <f>AN83</f>
        <v>13.43255451712584</v>
      </c>
      <c r="AO209" s="235">
        <f>AN209+AO208</f>
        <v>0.49380327212313802</v>
      </c>
      <c r="AP209" s="240"/>
      <c r="AQ209" s="238">
        <f>MAX(0,MIN(AO209,AO208))+MIN(0,MAX(AO208,AO209))</f>
        <v>0</v>
      </c>
      <c r="AR209" s="238">
        <f>MAX(0,MIN(AN209,AO209))</f>
        <v>0.49380327212313802</v>
      </c>
      <c r="AS209" s="238">
        <f>MAX(0,AU209-AN209)</f>
        <v>0</v>
      </c>
      <c r="AT209" s="238">
        <f>-MAX(0,AN209-AR209)</f>
        <v>-12.938751245002702</v>
      </c>
      <c r="AU209" s="239">
        <f>MIN(0,MAX(AN209,AO209))</f>
        <v>0</v>
      </c>
      <c r="AV209" s="239">
        <f>IF(AN209&lt;0,NA(),SUM(AQ209:AU209)-AT209-$AW$183)</f>
        <v>0.49380327212313802</v>
      </c>
      <c r="AW209" s="239" t="e">
        <f>IF(AN209&lt;0,SUM(AQ209:AU209)-AS209+$AW$183,NA())</f>
        <v>#N/A</v>
      </c>
    </row>
    <row r="210" spans="34:49" ht="14.4" x14ac:dyDescent="0.3">
      <c r="AH210" s="505" t="s">
        <v>214</v>
      </c>
      <c r="AM210" s="507" t="s">
        <v>28</v>
      </c>
      <c r="AN210" s="234">
        <f>AN81</f>
        <v>0.16284685430382861</v>
      </c>
      <c r="AO210" s="235">
        <f>AN210+AO209</f>
        <v>0.65665012642696663</v>
      </c>
      <c r="AP210" s="240"/>
      <c r="AQ210" s="238">
        <f>MAX(0,MIN(AO210,AO209))+MIN(0,MAX(AO209,AO210))</f>
        <v>0.49380327212313802</v>
      </c>
      <c r="AR210" s="238">
        <f>MAX(0,MIN(AN210,AO210))</f>
        <v>0.16284685430382861</v>
      </c>
      <c r="AS210" s="238">
        <f>MAX(0,AU210-AN210)</f>
        <v>0</v>
      </c>
      <c r="AT210" s="238">
        <f>-MAX(0,AN210-AR210)</f>
        <v>0</v>
      </c>
      <c r="AU210" s="239">
        <f>MIN(0,MAX(AN210,AO210))</f>
        <v>0</v>
      </c>
      <c r="AV210" s="239">
        <f>IF(AN210&lt;0,NA(),SUM(AQ210:AU210)-AT210-$AW$183)</f>
        <v>0.65665012642696663</v>
      </c>
      <c r="AW210" s="239" t="e">
        <f>IF(AN210&lt;0,SUM(AQ210:AU210)-AS210+$AW$183,NA())</f>
        <v>#N/A</v>
      </c>
    </row>
    <row r="211" spans="34:49" ht="14.4" x14ac:dyDescent="0.3">
      <c r="AH211" s="505" t="s">
        <v>215</v>
      </c>
      <c r="AM211" s="507" t="s">
        <v>32</v>
      </c>
      <c r="AN211" s="234">
        <f>AN82</f>
        <v>1.1804364060402988</v>
      </c>
      <c r="AO211" s="235">
        <f>AN211+AO210</f>
        <v>1.8370865324672654</v>
      </c>
      <c r="AP211" s="240"/>
      <c r="AQ211" s="238">
        <f>MAX(0,MIN(AO211,AO210))+MIN(0,MAX(AO210,AO211))</f>
        <v>0.65665012642696663</v>
      </c>
      <c r="AR211" s="238">
        <f t="shared" ref="AR211:AR217" si="89">MAX(0,MIN(AN211,AO211))</f>
        <v>1.1804364060402988</v>
      </c>
      <c r="AS211" s="238">
        <f t="shared" ref="AS211:AS217" si="90">MAX(0,AU211-AN211)</f>
        <v>0</v>
      </c>
      <c r="AT211" s="238">
        <f t="shared" ref="AT211:AT217" si="91">-MAX(0,AN211-AR211)</f>
        <v>0</v>
      </c>
      <c r="AU211" s="239">
        <f t="shared" ref="AU211:AU217" si="92">MIN(0,MAX(AN211,AO211))</f>
        <v>0</v>
      </c>
      <c r="AV211" s="239">
        <f>IF(AN211&lt;0,NA(),SUM(AQ211:AU211)-AT211-$AW$183)</f>
        <v>1.8370865324672654</v>
      </c>
      <c r="AW211" s="239" t="e">
        <f>IF(AN211&lt;0,SUM(AQ211:AU211)-AS211+$AW$183,NA())</f>
        <v>#N/A</v>
      </c>
    </row>
    <row r="212" spans="34:49" ht="14.4" x14ac:dyDescent="0.3">
      <c r="AH212" s="505" t="s">
        <v>216</v>
      </c>
      <c r="AM212" s="507" t="s">
        <v>203</v>
      </c>
      <c r="AN212" s="234">
        <f>AN86</f>
        <v>0</v>
      </c>
      <c r="AO212" s="235">
        <f t="shared" ref="AO212:AO217" si="93">AN212+AO211</f>
        <v>1.8370865324672654</v>
      </c>
      <c r="AP212" s="237"/>
      <c r="AQ212" s="238">
        <f>MAX(0,MIN(AO212,AO211))+MIN(0,MAX(AO211,AO212))</f>
        <v>1.8370865324672654</v>
      </c>
      <c r="AR212" s="238">
        <f t="shared" si="89"/>
        <v>0</v>
      </c>
      <c r="AS212" s="238">
        <f t="shared" si="90"/>
        <v>0</v>
      </c>
      <c r="AT212" s="238">
        <f>-MAX(0,AN212-AR212)</f>
        <v>0</v>
      </c>
      <c r="AU212" s="239">
        <f t="shared" si="92"/>
        <v>0</v>
      </c>
      <c r="AV212" s="239">
        <f>IF(AN212&lt;0,NA(),SUM(AQ212:AU212)-AT212-$AW$183)</f>
        <v>1.8370865324672654</v>
      </c>
      <c r="AW212" s="239" t="e">
        <f>IF(AN212&lt;0,SUM(AQ212:AU212)-AS212+$AW$183,NA())</f>
        <v>#N/A</v>
      </c>
    </row>
    <row r="213" spans="34:49" ht="14.4" x14ac:dyDescent="0.3">
      <c r="AH213" s="505" t="s">
        <v>122</v>
      </c>
      <c r="AM213" s="507" t="s">
        <v>122</v>
      </c>
      <c r="AN213" s="234">
        <f>AN85</f>
        <v>0</v>
      </c>
      <c r="AO213" s="235">
        <f t="shared" si="93"/>
        <v>1.8370865324672654</v>
      </c>
      <c r="AP213" s="237"/>
      <c r="AQ213" s="238">
        <f t="shared" ref="AQ213:AQ215" si="94">MAX(0,MIN(AO213,AO212))+MIN(0,MAX(AO212,AO213))</f>
        <v>1.8370865324672654</v>
      </c>
      <c r="AR213" s="238">
        <f t="shared" ref="AR213:AR214" si="95">MAX(0,MIN(AN213,AO213))</f>
        <v>0</v>
      </c>
      <c r="AS213" s="238">
        <f t="shared" ref="AS213:AS214" si="96">MAX(0,AU213-AN213)</f>
        <v>0</v>
      </c>
      <c r="AT213" s="238">
        <f t="shared" ref="AT213:AT214" si="97">-MAX(0,AN213-AR213)</f>
        <v>0</v>
      </c>
      <c r="AU213" s="239">
        <f t="shared" ref="AU213:AU214" si="98">MIN(0,MAX(AN213,AO213))</f>
        <v>0</v>
      </c>
      <c r="AV213" s="239">
        <f t="shared" ref="AV213:AV214" si="99">IF(AN213&lt;0,NA(),SUM(AQ213:AU213)-AT213-$AW$183)</f>
        <v>1.8370865324672654</v>
      </c>
      <c r="AW213" s="239" t="e">
        <f t="shared" ref="AW213:AW214" si="100">IF(AN213&lt;0,SUM(AQ213:AU213)-AS213+$AW$183,NA())</f>
        <v>#N/A</v>
      </c>
    </row>
    <row r="214" spans="34:49" ht="28.8" x14ac:dyDescent="0.3">
      <c r="AH214" s="508" t="s">
        <v>217</v>
      </c>
      <c r="AM214" s="509" t="s">
        <v>218</v>
      </c>
      <c r="AN214" s="234">
        <f>SUM(AN87:AN88)</f>
        <v>0</v>
      </c>
      <c r="AO214" s="235">
        <f t="shared" si="93"/>
        <v>1.8370865324672654</v>
      </c>
      <c r="AP214" s="237"/>
      <c r="AQ214" s="238">
        <f t="shared" si="94"/>
        <v>1.8370865324672654</v>
      </c>
      <c r="AR214" s="238">
        <f t="shared" si="95"/>
        <v>0</v>
      </c>
      <c r="AS214" s="238">
        <f t="shared" si="96"/>
        <v>0</v>
      </c>
      <c r="AT214" s="238">
        <f t="shared" si="97"/>
        <v>0</v>
      </c>
      <c r="AU214" s="239">
        <f t="shared" si="98"/>
        <v>0</v>
      </c>
      <c r="AV214" s="239">
        <f t="shared" si="99"/>
        <v>1.8370865324672654</v>
      </c>
      <c r="AW214" s="239" t="e">
        <f t="shared" si="100"/>
        <v>#N/A</v>
      </c>
    </row>
    <row r="215" spans="34:49" ht="14.4" x14ac:dyDescent="0.3">
      <c r="AH215" s="505" t="s">
        <v>31</v>
      </c>
      <c r="AM215" s="507" t="s">
        <v>31</v>
      </c>
      <c r="AN215" s="234">
        <f>AN89</f>
        <v>0</v>
      </c>
      <c r="AO215" s="235">
        <f t="shared" si="93"/>
        <v>1.8370865324672654</v>
      </c>
      <c r="AP215" s="237"/>
      <c r="AQ215" s="238">
        <f t="shared" si="94"/>
        <v>1.8370865324672654</v>
      </c>
      <c r="AR215" s="238">
        <f t="shared" si="89"/>
        <v>0</v>
      </c>
      <c r="AS215" s="238">
        <f t="shared" si="90"/>
        <v>0</v>
      </c>
      <c r="AT215" s="238">
        <f t="shared" si="91"/>
        <v>0</v>
      </c>
      <c r="AU215" s="239">
        <f t="shared" si="92"/>
        <v>0</v>
      </c>
      <c r="AV215" s="239">
        <f>IF(AN215&lt;0,NA(),SUM(AQ215:AU215)-AT215-$AW$183)</f>
        <v>1.8370865324672654</v>
      </c>
      <c r="AW215" s="239" t="e">
        <f>IF(AN215&lt;0,SUM(AQ215:AU215)-AS215+$AW$183,NA())</f>
        <v>#N/A</v>
      </c>
    </row>
    <row r="216" spans="34:49" ht="14.4" x14ac:dyDescent="0.3">
      <c r="AH216" s="359" t="s">
        <v>219</v>
      </c>
      <c r="AM216" s="353" t="s">
        <v>219</v>
      </c>
      <c r="AN216" s="234">
        <f>AO215</f>
        <v>1.8370865324672654</v>
      </c>
      <c r="AO216" s="235">
        <f>AN216</f>
        <v>1.8370865324672654</v>
      </c>
      <c r="AP216" s="242">
        <f>AO216</f>
        <v>1.8370865324672654</v>
      </c>
      <c r="AQ216" s="237"/>
      <c r="AR216" s="237"/>
      <c r="AS216" s="237"/>
      <c r="AT216" s="237"/>
      <c r="AU216" s="237"/>
      <c r="AV216" s="239">
        <f>IF(AP216&gt;0,AP216,NA())</f>
        <v>1.8370865324672654</v>
      </c>
      <c r="AW216" s="239" t="e">
        <f>IF(AP216&lt;0,AP216,NA())</f>
        <v>#N/A</v>
      </c>
    </row>
    <row r="217" spans="34:49" ht="14.4" x14ac:dyDescent="0.3">
      <c r="AH217" s="505" t="s">
        <v>220</v>
      </c>
      <c r="AM217" s="507" t="s">
        <v>220</v>
      </c>
      <c r="AN217" s="234">
        <f>SUM(AN91:AN96,AN98:AN102)+AN97</f>
        <v>0</v>
      </c>
      <c r="AO217" s="235">
        <f t="shared" si="93"/>
        <v>1.8370865324672654</v>
      </c>
      <c r="AP217" s="237"/>
      <c r="AQ217" s="238">
        <f t="shared" ref="AQ217" si="101">MAX(0,MIN(AO217,AO216))+MIN(0,MAX(AO216,AO217))</f>
        <v>1.8370865324672654</v>
      </c>
      <c r="AR217" s="238">
        <f t="shared" si="89"/>
        <v>0</v>
      </c>
      <c r="AS217" s="238">
        <f t="shared" si="90"/>
        <v>0</v>
      </c>
      <c r="AT217" s="238">
        <f t="shared" si="91"/>
        <v>0</v>
      </c>
      <c r="AU217" s="239">
        <f t="shared" si="92"/>
        <v>0</v>
      </c>
      <c r="AV217" s="239">
        <f>IF(AN217&lt;0,NA(),SUM(AQ217:AU217)-AT217-$AW$183)</f>
        <v>1.8370865324672654</v>
      </c>
      <c r="AW217" s="239" t="e">
        <f>IF(AN217&lt;0,SUM(AQ217:AU217)-AS217+$AW$183,NA())</f>
        <v>#N/A</v>
      </c>
    </row>
    <row r="218" spans="34:49" ht="14.4" x14ac:dyDescent="0.3">
      <c r="AH218" s="360" t="s">
        <v>221</v>
      </c>
      <c r="AM218" s="354" t="s">
        <v>221</v>
      </c>
      <c r="AN218" s="238">
        <f>SUM(AN217:AN217,AN208:AN215)</f>
        <v>1.8370865324672654</v>
      </c>
      <c r="AO218" s="243">
        <f>AN218</f>
        <v>1.8370865324672654</v>
      </c>
      <c r="AP218" s="242">
        <f>AN218</f>
        <v>1.8370865324672654</v>
      </c>
      <c r="AQ218" s="237"/>
      <c r="AR218" s="237"/>
      <c r="AS218" s="237"/>
      <c r="AT218" s="237"/>
      <c r="AU218" s="237"/>
      <c r="AV218" s="239">
        <f>IF(AP218&gt;0,AP218,NA())</f>
        <v>1.8370865324672654</v>
      </c>
      <c r="AW218" s="239" t="e">
        <f>IF(AP218&lt;0,AP218,NA())</f>
        <v>#N/A</v>
      </c>
    </row>
    <row r="219" spans="34:49" x14ac:dyDescent="0.3">
      <c r="AM219" s="203"/>
      <c r="AN219" s="204"/>
      <c r="AO219" s="204"/>
      <c r="AP219" s="204"/>
      <c r="AQ219" s="205"/>
      <c r="AR219" s="205"/>
      <c r="AS219" s="205"/>
      <c r="AT219" s="205"/>
      <c r="AU219" s="205"/>
      <c r="AV219" s="205"/>
      <c r="AW219" s="205"/>
    </row>
    <row r="220" spans="34:49" x14ac:dyDescent="0.3">
      <c r="AM220" s="206" t="s">
        <v>207</v>
      </c>
      <c r="AN220" s="193" t="str">
        <f>IF(ROUND($AN$218,7)=ROUND(Calcs!$K$370/1000000,7),"Ok","Check")</f>
        <v>Ok</v>
      </c>
      <c r="AO220" s="205"/>
      <c r="AP220" s="205"/>
      <c r="AQ220" s="205"/>
      <c r="AR220" s="205"/>
      <c r="AS220" s="205"/>
      <c r="AT220" s="205"/>
      <c r="AU220" s="205"/>
      <c r="AV220" s="207" t="s">
        <v>208</v>
      </c>
      <c r="AW220" s="208">
        <v>0</v>
      </c>
    </row>
    <row r="221" spans="34:49" x14ac:dyDescent="0.3">
      <c r="AM221" s="205"/>
      <c r="AN221" s="205"/>
      <c r="AO221" s="205"/>
      <c r="AP221" s="205"/>
      <c r="AQ221" s="205"/>
      <c r="AR221" s="205"/>
      <c r="AS221" s="205"/>
      <c r="AT221" s="205"/>
      <c r="AU221" s="205"/>
      <c r="AV221" s="209" t="s">
        <v>209</v>
      </c>
      <c r="AW221" s="210">
        <f>ROUNDUP(MAX(0,MAX(AO208:AO218))-MIN(0,MIN(AO208:AO218)),1-LEN(INT(MAX(0,MAX(AO208:AO218))-MIN(0,MIN(AO208:AO218)))))/40</f>
        <v>0.5</v>
      </c>
    </row>
    <row r="236" spans="39:40" x14ac:dyDescent="0.3">
      <c r="AM236" s="200" t="s">
        <v>186</v>
      </c>
      <c r="AN236" s="200" t="s">
        <v>187</v>
      </c>
    </row>
    <row r="237" spans="39:40" x14ac:dyDescent="0.3">
      <c r="AN237" s="200" t="s">
        <v>188</v>
      </c>
    </row>
    <row r="238" spans="39:40" x14ac:dyDescent="0.3">
      <c r="AN238" s="200" t="s">
        <v>189</v>
      </c>
    </row>
    <row r="239" spans="39:40" x14ac:dyDescent="0.3">
      <c r="AN239" s="200" t="s">
        <v>190</v>
      </c>
    </row>
    <row r="241" spans="34:49" ht="14.4" x14ac:dyDescent="0.3">
      <c r="AH241" s="357" t="s">
        <v>213</v>
      </c>
      <c r="AM241" s="227" t="s">
        <v>177</v>
      </c>
      <c r="AN241" s="227"/>
      <c r="AO241" s="227"/>
      <c r="AP241" s="228" t="s">
        <v>191</v>
      </c>
      <c r="AQ241" s="229"/>
      <c r="AR241" s="229"/>
      <c r="AS241" s="229"/>
      <c r="AT241" s="229"/>
      <c r="AU241" s="229"/>
      <c r="AV241" s="229"/>
      <c r="AW241" s="229"/>
    </row>
    <row r="242" spans="34:49" ht="28.8" x14ac:dyDescent="0.3">
      <c r="AH242" s="358"/>
      <c r="AM242" s="230" t="s">
        <v>192</v>
      </c>
      <c r="AN242" s="231" t="s">
        <v>193</v>
      </c>
      <c r="AO242" s="232" t="s">
        <v>194</v>
      </c>
      <c r="AP242" s="232" t="s">
        <v>195</v>
      </c>
      <c r="AQ242" s="233" t="s">
        <v>196</v>
      </c>
      <c r="AR242" s="233" t="s">
        <v>197</v>
      </c>
      <c r="AS242" s="233" t="s">
        <v>198</v>
      </c>
      <c r="AT242" s="233" t="s">
        <v>199</v>
      </c>
      <c r="AU242" s="233" t="s">
        <v>200</v>
      </c>
      <c r="AV242" s="233" t="s">
        <v>201</v>
      </c>
      <c r="AW242" s="233" t="s">
        <v>202</v>
      </c>
    </row>
    <row r="243" spans="34:49" ht="14.4" x14ac:dyDescent="0.3">
      <c r="AH243" s="505" t="s">
        <v>173</v>
      </c>
      <c r="AM243" s="507" t="s">
        <v>173</v>
      </c>
      <c r="AN243" s="234">
        <f>AN124</f>
        <v>-13.43255451712584</v>
      </c>
      <c r="AO243" s="235">
        <f>AN243</f>
        <v>-13.43255451712584</v>
      </c>
      <c r="AP243" s="236"/>
      <c r="AQ243" s="237"/>
      <c r="AR243" s="238">
        <f>MAX(0,MIN(AN243,AO243))</f>
        <v>0</v>
      </c>
      <c r="AS243" s="237"/>
      <c r="AT243" s="240"/>
      <c r="AU243" s="239">
        <f>MIN(0,MAX(AN243,AO243))</f>
        <v>-13.43255451712584</v>
      </c>
      <c r="AV243" s="239" t="e">
        <f>IF(AN243&lt;0,NA(),SUM(AQ243:AU243)-AT243-$AW$254)</f>
        <v>#N/A</v>
      </c>
      <c r="AW243" s="239">
        <f>IF(AN243&lt;0,SUM(AQ243:AU243)-AS243+$AW$254,NA())</f>
        <v>-13.43255451712584</v>
      </c>
    </row>
    <row r="244" spans="34:49" ht="14.4" x14ac:dyDescent="0.3">
      <c r="AH244" s="505" t="s">
        <v>214</v>
      </c>
      <c r="AM244" s="507" t="s">
        <v>214</v>
      </c>
      <c r="AN244" s="234">
        <f>AN121</f>
        <v>0.37997599337559995</v>
      </c>
      <c r="AO244" s="235">
        <f t="shared" ref="AO244:AO249" si="102">AN244+AO243</f>
        <v>-13.05257852375024</v>
      </c>
      <c r="AP244" s="237"/>
      <c r="AQ244" s="238">
        <f t="shared" ref="AQ244:AQ249" si="103">MAX(0,MIN(AO244,AO243))+MIN(0,MAX(AO243,AO244))</f>
        <v>-13.05257852375024</v>
      </c>
      <c r="AR244" s="238">
        <f t="shared" ref="AR244" si="104">MAX(0,MIN(AN244,AO244))</f>
        <v>0</v>
      </c>
      <c r="AS244" s="238">
        <f t="shared" ref="AS244" si="105">MAX(0,AU244-AN244)</f>
        <v>0</v>
      </c>
      <c r="AT244" s="238">
        <f t="shared" ref="AT244" si="106">-MAX(0,AN244-AR244)</f>
        <v>-0.37997599337559995</v>
      </c>
      <c r="AU244" s="239">
        <f t="shared" ref="AU244" si="107">MIN(0,MAX(AN244,AO244))</f>
        <v>0</v>
      </c>
      <c r="AV244" s="239">
        <f t="shared" ref="AV244:AV249" si="108">IF(AN244&lt;0,NA(),SUM(AQ244:AU244)-AT244-$AW$183)</f>
        <v>-13.05257852375024</v>
      </c>
      <c r="AW244" s="239" t="e">
        <f t="shared" ref="AW244:AW249" si="109">IF(AN244&lt;0,SUM(AQ244:AU244)-AS244+$AW$183,NA())</f>
        <v>#N/A</v>
      </c>
    </row>
    <row r="245" spans="34:49" ht="14.4" x14ac:dyDescent="0.3">
      <c r="AH245" s="505" t="s">
        <v>215</v>
      </c>
      <c r="AM245" s="507" t="s">
        <v>215</v>
      </c>
      <c r="AN245" s="234">
        <f>AN122</f>
        <v>4.4406893370087435</v>
      </c>
      <c r="AO245" s="235">
        <f t="shared" si="102"/>
        <v>-8.6118891867414966</v>
      </c>
      <c r="AP245" s="237"/>
      <c r="AQ245" s="238">
        <f t="shared" si="103"/>
        <v>-8.6118891867414966</v>
      </c>
      <c r="AR245" s="238">
        <f t="shared" ref="AR245" si="110">MAX(0,MIN(AN245,AO245))</f>
        <v>0</v>
      </c>
      <c r="AS245" s="238">
        <f t="shared" ref="AS245:AS246" si="111">MAX(0,AU245-AN245)</f>
        <v>0</v>
      </c>
      <c r="AT245" s="238">
        <f t="shared" ref="AT245:AT246" si="112">-MAX(0,AN245-AR245)</f>
        <v>-4.4406893370087435</v>
      </c>
      <c r="AU245" s="239">
        <f t="shared" ref="AU245:AU246" si="113">MIN(0,MAX(AN245,AO245))</f>
        <v>0</v>
      </c>
      <c r="AV245" s="239">
        <f t="shared" si="108"/>
        <v>-8.6118891867414966</v>
      </c>
      <c r="AW245" s="239" t="e">
        <f t="shared" si="109"/>
        <v>#N/A</v>
      </c>
    </row>
    <row r="246" spans="34:49" ht="14.4" x14ac:dyDescent="0.3">
      <c r="AH246" s="505" t="s">
        <v>216</v>
      </c>
      <c r="AM246" s="507" t="s">
        <v>216</v>
      </c>
      <c r="AN246" s="234">
        <f>AN126</f>
        <v>0</v>
      </c>
      <c r="AO246" s="235">
        <f t="shared" si="102"/>
        <v>-8.6118891867414966</v>
      </c>
      <c r="AP246" s="237"/>
      <c r="AQ246" s="238">
        <f t="shared" si="103"/>
        <v>-8.6118891867414966</v>
      </c>
      <c r="AR246" s="238">
        <f>MAX(0,MIN(AN246,AO246))</f>
        <v>0</v>
      </c>
      <c r="AS246" s="238">
        <f t="shared" si="111"/>
        <v>0</v>
      </c>
      <c r="AT246" s="238">
        <f t="shared" si="112"/>
        <v>0</v>
      </c>
      <c r="AU246" s="239">
        <f t="shared" si="113"/>
        <v>0</v>
      </c>
      <c r="AV246" s="239">
        <f t="shared" si="108"/>
        <v>-8.6118891867414966</v>
      </c>
      <c r="AW246" s="239" t="e">
        <f t="shared" si="109"/>
        <v>#N/A</v>
      </c>
    </row>
    <row r="247" spans="34:49" ht="14.4" x14ac:dyDescent="0.3">
      <c r="AH247" s="505" t="s">
        <v>122</v>
      </c>
      <c r="AM247" s="507" t="s">
        <v>122</v>
      </c>
      <c r="AN247" s="234">
        <f>AN125</f>
        <v>0</v>
      </c>
      <c r="AO247" s="235">
        <f t="shared" si="102"/>
        <v>-8.6118891867414966</v>
      </c>
      <c r="AP247" s="237"/>
      <c r="AQ247" s="238">
        <f t="shared" si="103"/>
        <v>-8.6118891867414966</v>
      </c>
      <c r="AR247" s="238">
        <f>MAX(0,MIN(AN247,AO247))</f>
        <v>0</v>
      </c>
      <c r="AS247" s="238">
        <f t="shared" ref="AS247" si="114">MAX(0,AU247-AN247)</f>
        <v>0</v>
      </c>
      <c r="AT247" s="238">
        <f t="shared" ref="AT247" si="115">-MAX(0,AN247-AR247)</f>
        <v>0</v>
      </c>
      <c r="AU247" s="239">
        <f t="shared" ref="AU247" si="116">MIN(0,MAX(AN247,AO247))</f>
        <v>0</v>
      </c>
      <c r="AV247" s="239">
        <f t="shared" si="108"/>
        <v>-8.6118891867414966</v>
      </c>
      <c r="AW247" s="239" t="e">
        <f t="shared" si="109"/>
        <v>#N/A</v>
      </c>
    </row>
    <row r="248" spans="34:49" ht="14.4" x14ac:dyDescent="0.3">
      <c r="AH248" s="505" t="s">
        <v>222</v>
      </c>
      <c r="AM248" s="507" t="s">
        <v>223</v>
      </c>
      <c r="AN248" s="234">
        <f>SUM(AN127:AN128)</f>
        <v>0</v>
      </c>
      <c r="AO248" s="235">
        <f t="shared" si="102"/>
        <v>-8.6118891867414966</v>
      </c>
      <c r="AP248" s="237"/>
      <c r="AQ248" s="238">
        <f t="shared" si="103"/>
        <v>-8.6118891867414966</v>
      </c>
      <c r="AR248" s="238">
        <f>MAX(0,MIN(AN248,AO248))</f>
        <v>0</v>
      </c>
      <c r="AS248" s="238">
        <f t="shared" ref="AS248" si="117">MAX(0,AU248-AN248)</f>
        <v>0</v>
      </c>
      <c r="AT248" s="238">
        <f t="shared" ref="AT248" si="118">-MAX(0,AN248-AR248)</f>
        <v>0</v>
      </c>
      <c r="AU248" s="239">
        <f t="shared" ref="AU248" si="119">MIN(0,MAX(AN248,AO248))</f>
        <v>0</v>
      </c>
      <c r="AV248" s="239">
        <f t="shared" si="108"/>
        <v>-8.6118891867414966</v>
      </c>
      <c r="AW248" s="239" t="e">
        <f t="shared" si="109"/>
        <v>#N/A</v>
      </c>
    </row>
    <row r="249" spans="34:49" ht="14.4" x14ac:dyDescent="0.3">
      <c r="AH249" s="505" t="s">
        <v>224</v>
      </c>
      <c r="AM249" s="507" t="s">
        <v>31</v>
      </c>
      <c r="AN249" s="234">
        <f>AN129</f>
        <v>0</v>
      </c>
      <c r="AO249" s="235">
        <f t="shared" si="102"/>
        <v>-8.6118891867414966</v>
      </c>
      <c r="AP249" s="237"/>
      <c r="AQ249" s="238">
        <f t="shared" si="103"/>
        <v>-8.6118891867414966</v>
      </c>
      <c r="AR249" s="238">
        <f t="shared" ref="AR249:AR251" si="120">MAX(0,MIN(AN249,AO249))</f>
        <v>0</v>
      </c>
      <c r="AS249" s="238">
        <f t="shared" ref="AS249:AS251" si="121">MAX(0,AU249-AN249)</f>
        <v>0</v>
      </c>
      <c r="AT249" s="238">
        <f t="shared" ref="AT249:AT251" si="122">-MAX(0,AN249-AR249)</f>
        <v>0</v>
      </c>
      <c r="AU249" s="239">
        <f t="shared" ref="AU249:AU251" si="123">MIN(0,MAX(AN249,AO249))</f>
        <v>0</v>
      </c>
      <c r="AV249" s="239">
        <f t="shared" si="108"/>
        <v>-8.6118891867414966</v>
      </c>
      <c r="AW249" s="239" t="e">
        <f t="shared" si="109"/>
        <v>#N/A</v>
      </c>
    </row>
    <row r="250" spans="34:49" ht="14.4" x14ac:dyDescent="0.3">
      <c r="AH250" s="359" t="s">
        <v>225</v>
      </c>
      <c r="AM250" s="353" t="s">
        <v>225</v>
      </c>
      <c r="AN250" s="234">
        <f>AO249</f>
        <v>-8.6118891867414966</v>
      </c>
      <c r="AO250" s="235">
        <f>AN250</f>
        <v>-8.6118891867414966</v>
      </c>
      <c r="AP250" s="242">
        <f>AO250</f>
        <v>-8.6118891867414966</v>
      </c>
      <c r="AQ250" s="237"/>
      <c r="AR250" s="237"/>
      <c r="AS250" s="237"/>
      <c r="AT250" s="237"/>
      <c r="AU250" s="237"/>
      <c r="AV250" s="239" t="e">
        <f>IF(AP250&gt;0,AP250,NA())</f>
        <v>#N/A</v>
      </c>
      <c r="AW250" s="239">
        <f>IF(AP250&lt;0,AP250,NA())</f>
        <v>-8.6118891867414966</v>
      </c>
    </row>
    <row r="251" spans="34:49" ht="14.4" x14ac:dyDescent="0.3">
      <c r="AH251" s="505" t="s">
        <v>220</v>
      </c>
      <c r="AM251" s="507" t="s">
        <v>220</v>
      </c>
      <c r="AN251" s="234">
        <f>SUM(AN131:AN136,AN138:AN142)+AN137</f>
        <v>33.254402760670537</v>
      </c>
      <c r="AO251" s="235">
        <f t="shared" ref="AO251" si="124">AN251+AO250</f>
        <v>24.64251357392904</v>
      </c>
      <c r="AP251" s="237"/>
      <c r="AQ251" s="238">
        <f t="shared" ref="AQ251" si="125">MAX(0,MIN(AO251,AO250))+MIN(0,MAX(AO250,AO251))</f>
        <v>0</v>
      </c>
      <c r="AR251" s="238">
        <f t="shared" si="120"/>
        <v>24.64251357392904</v>
      </c>
      <c r="AS251" s="238">
        <f t="shared" si="121"/>
        <v>0</v>
      </c>
      <c r="AT251" s="238">
        <f t="shared" si="122"/>
        <v>-8.6118891867414966</v>
      </c>
      <c r="AU251" s="239">
        <f t="shared" si="123"/>
        <v>0</v>
      </c>
      <c r="AV251" s="239">
        <f>IF(AN251&lt;0,NA(),SUM(AQ251:AU251)-AT251-$AW$183)</f>
        <v>24.64251357392904</v>
      </c>
      <c r="AW251" s="239" t="e">
        <f>IF(AN251&lt;0,SUM(AQ251:AU251)-AS251+$AW$183,NA())</f>
        <v>#N/A</v>
      </c>
    </row>
    <row r="252" spans="34:49" ht="14.4" x14ac:dyDescent="0.3">
      <c r="AH252" s="360" t="s">
        <v>211</v>
      </c>
      <c r="AM252" s="354" t="s">
        <v>211</v>
      </c>
      <c r="AN252" s="238">
        <f>SUM(AN251:AN251,AN243:AN249)</f>
        <v>24.642513573929037</v>
      </c>
      <c r="AO252" s="243">
        <f>AN252</f>
        <v>24.642513573929037</v>
      </c>
      <c r="AP252" s="242">
        <f>AN252</f>
        <v>24.642513573929037</v>
      </c>
      <c r="AQ252" s="237"/>
      <c r="AR252" s="237"/>
      <c r="AS252" s="237"/>
      <c r="AT252" s="237"/>
      <c r="AU252" s="237"/>
      <c r="AV252" s="239">
        <f>IF(AP252&gt;0,AP252,NA())</f>
        <v>24.642513573929037</v>
      </c>
      <c r="AW252" s="239" t="e">
        <f>IF(AP252&lt;0,AP252,NA())</f>
        <v>#N/A</v>
      </c>
    </row>
    <row r="253" spans="34:49" x14ac:dyDescent="0.3">
      <c r="AM253" s="203"/>
      <c r="AN253" s="204"/>
      <c r="AO253" s="213"/>
      <c r="AP253" s="213"/>
      <c r="AQ253" s="214"/>
      <c r="AR253" s="214"/>
      <c r="AS253" s="214"/>
      <c r="AT253" s="214"/>
      <c r="AU253" s="214"/>
      <c r="AV253" s="214"/>
      <c r="AW253" s="214"/>
    </row>
    <row r="254" spans="34:49" x14ac:dyDescent="0.3">
      <c r="AM254" s="206" t="s">
        <v>207</v>
      </c>
      <c r="AN254" s="193" t="str">
        <f>IF(ROUND($AN$252,7)=ROUND(Calcs!$K$448/1000000,7),"Ok","Check")</f>
        <v>Ok</v>
      </c>
      <c r="AO254" s="205"/>
      <c r="AP254" s="205"/>
      <c r="AQ254" s="205"/>
      <c r="AR254" s="205"/>
      <c r="AS254" s="205"/>
      <c r="AT254" s="205"/>
      <c r="AU254" s="205"/>
      <c r="AV254" s="207" t="s">
        <v>208</v>
      </c>
      <c r="AW254" s="208">
        <v>0</v>
      </c>
    </row>
    <row r="255" spans="34:49" x14ac:dyDescent="0.3">
      <c r="AM255" s="205"/>
      <c r="AN255" s="205"/>
      <c r="AO255" s="205"/>
      <c r="AP255" s="205"/>
      <c r="AQ255" s="205"/>
      <c r="AR255" s="205"/>
      <c r="AS255" s="205"/>
      <c r="AT255" s="205"/>
      <c r="AU255" s="205"/>
      <c r="AV255" s="209" t="s">
        <v>209</v>
      </c>
      <c r="AW255" s="210">
        <f>ROUNDUP(MAX(0,MAX(AO243:AO252))-MIN(0,MIN(AO243:AO252)),1-LEN(INT(MAX(0,MAX(AO243:AO252))-MIN(0,MIN(AO243:AO252)))))/40</f>
        <v>1</v>
      </c>
    </row>
    <row r="258" spans="28:34" ht="10.35" customHeight="1" x14ac:dyDescent="0.3">
      <c r="AB258" s="195"/>
    </row>
    <row r="259" spans="28:34" ht="10.35" customHeight="1" x14ac:dyDescent="0.3">
      <c r="AB259" s="195"/>
    </row>
    <row r="260" spans="28:34" ht="10.35" customHeight="1" x14ac:dyDescent="0.3">
      <c r="AB260" s="195"/>
      <c r="AH260" s="211"/>
    </row>
    <row r="262" spans="28:34" ht="10.35" customHeight="1" x14ac:dyDescent="0.3"/>
    <row r="263" spans="28:34" ht="10.35" customHeight="1" x14ac:dyDescent="0.3"/>
    <row r="275" spans="34:49" x14ac:dyDescent="0.3">
      <c r="AM275" s="200" t="s">
        <v>186</v>
      </c>
      <c r="AN275" s="200" t="s">
        <v>187</v>
      </c>
    </row>
    <row r="276" spans="34:49" x14ac:dyDescent="0.3">
      <c r="AN276" s="200" t="s">
        <v>188</v>
      </c>
    </row>
    <row r="277" spans="34:49" x14ac:dyDescent="0.3">
      <c r="AN277" s="200" t="s">
        <v>189</v>
      </c>
    </row>
    <row r="278" spans="34:49" x14ac:dyDescent="0.3">
      <c r="AN278" s="200" t="s">
        <v>190</v>
      </c>
    </row>
    <row r="280" spans="34:49" ht="14.4" x14ac:dyDescent="0.3">
      <c r="AH280" s="357" t="s">
        <v>213</v>
      </c>
      <c r="AM280" s="227" t="s">
        <v>58</v>
      </c>
      <c r="AN280" s="227"/>
      <c r="AO280" s="227"/>
      <c r="AP280" s="228" t="s">
        <v>191</v>
      </c>
      <c r="AQ280" s="229"/>
      <c r="AR280" s="229"/>
      <c r="AS280" s="229"/>
      <c r="AT280" s="229"/>
      <c r="AU280" s="229"/>
      <c r="AV280" s="229"/>
      <c r="AW280" s="229"/>
    </row>
    <row r="281" spans="34:49" ht="28.8" x14ac:dyDescent="0.3">
      <c r="AH281" s="358"/>
      <c r="AM281" s="230" t="s">
        <v>192</v>
      </c>
      <c r="AN281" s="231" t="s">
        <v>193</v>
      </c>
      <c r="AO281" s="232" t="s">
        <v>194</v>
      </c>
      <c r="AP281" s="232" t="s">
        <v>195</v>
      </c>
      <c r="AQ281" s="233" t="s">
        <v>196</v>
      </c>
      <c r="AR281" s="233" t="s">
        <v>197</v>
      </c>
      <c r="AS281" s="233" t="s">
        <v>198</v>
      </c>
      <c r="AT281" s="233" t="s">
        <v>199</v>
      </c>
      <c r="AU281" s="233" t="s">
        <v>200</v>
      </c>
      <c r="AV281" s="233" t="s">
        <v>201</v>
      </c>
      <c r="AW281" s="233" t="s">
        <v>202</v>
      </c>
    </row>
    <row r="282" spans="34:49" ht="14.4" x14ac:dyDescent="0.3">
      <c r="AH282" s="505" t="s">
        <v>160</v>
      </c>
      <c r="AM282" s="507" t="s">
        <v>160</v>
      </c>
      <c r="AN282" s="234">
        <f>AN157+AN158</f>
        <v>-12.938751245002702</v>
      </c>
      <c r="AO282" s="235">
        <f>AN282</f>
        <v>-12.938751245002702</v>
      </c>
      <c r="AP282" s="236"/>
      <c r="AQ282" s="237"/>
      <c r="AR282" s="238">
        <f>MAX(0,MIN(AN282,AO282))</f>
        <v>0</v>
      </c>
      <c r="AS282" s="237"/>
      <c r="AT282" s="240"/>
      <c r="AU282" s="239">
        <f>MIN(0,MAX(AN282,AO282))</f>
        <v>-12.938751245002702</v>
      </c>
      <c r="AV282" s="239" t="e">
        <f>IF(AN282&lt;0,NA(),SUM(AQ282:AU282)-AT282-$AW$295)</f>
        <v>#N/A</v>
      </c>
      <c r="AW282" s="239">
        <f t="shared" ref="AW282:AW290" si="126">IF(AN282&lt;0,SUM(AQ282:AU282)-AS282+$AW$295,NA())</f>
        <v>-12.938751245002702</v>
      </c>
    </row>
    <row r="283" spans="34:49" ht="14.4" x14ac:dyDescent="0.3">
      <c r="AH283" s="505" t="s">
        <v>226</v>
      </c>
      <c r="AM283" s="507" t="s">
        <v>226</v>
      </c>
      <c r="AN283" s="234">
        <f>AN161</f>
        <v>13.43255451712584</v>
      </c>
      <c r="AO283" s="235">
        <f>AN283+AO282</f>
        <v>0.49380327212313802</v>
      </c>
      <c r="AP283" s="240"/>
      <c r="AQ283" s="238">
        <f>MAX(0,MIN(AO283,AO282))+MIN(0,MAX(AO282,AO283))</f>
        <v>0</v>
      </c>
      <c r="AR283" s="238">
        <f>MAX(0,MIN(AN283,AO283))</f>
        <v>0.49380327212313802</v>
      </c>
      <c r="AS283" s="238">
        <f>MAX(0,AU283-AN283)</f>
        <v>0</v>
      </c>
      <c r="AT283" s="238">
        <f>-MAX(0,AN283-AR283)</f>
        <v>-12.938751245002702</v>
      </c>
      <c r="AU283" s="239">
        <f>MIN(0,MAX(AN283,AO283))</f>
        <v>0</v>
      </c>
      <c r="AV283" s="239">
        <f>IF(AN283&lt;0,NA(),SUM(AQ283:AU283)-AT283-$AW$183)</f>
        <v>0.49380327212313802</v>
      </c>
      <c r="AW283" s="239" t="e">
        <f t="shared" si="126"/>
        <v>#N/A</v>
      </c>
    </row>
    <row r="284" spans="34:49" ht="14.4" x14ac:dyDescent="0.3">
      <c r="AH284" s="505" t="s">
        <v>173</v>
      </c>
      <c r="AM284" s="507" t="s">
        <v>173</v>
      </c>
      <c r="AN284" s="234">
        <f>AN162</f>
        <v>-13.43255451712584</v>
      </c>
      <c r="AO284" s="235">
        <f>AN284+AO283</f>
        <v>-12.938751245002702</v>
      </c>
      <c r="AP284" s="240"/>
      <c r="AQ284" s="238">
        <f>MAX(0,MIN(AO284,AO283))+MIN(0,MAX(AO283,AO284))</f>
        <v>0</v>
      </c>
      <c r="AR284" s="238">
        <f>MAX(0,MIN(AN284,AO284))</f>
        <v>0</v>
      </c>
      <c r="AS284" s="238">
        <f>MAX(0,AU284-AN284)</f>
        <v>0.49380327212313802</v>
      </c>
      <c r="AT284" s="238">
        <f>-MAX(0,AN284-AR284)</f>
        <v>0</v>
      </c>
      <c r="AU284" s="239">
        <f>MIN(0,MAX(AN284,AO284))</f>
        <v>-12.938751245002702</v>
      </c>
      <c r="AV284" s="239" t="e">
        <f>IF(AN284&lt;0,NA(),SUM(AQ284:AU284)-AT284-$AW$183)</f>
        <v>#N/A</v>
      </c>
      <c r="AW284" s="239">
        <f t="shared" si="126"/>
        <v>-12.938751245002702</v>
      </c>
    </row>
    <row r="285" spans="34:49" ht="14.4" x14ac:dyDescent="0.3">
      <c r="AH285" s="505" t="s">
        <v>28</v>
      </c>
      <c r="AM285" s="507" t="s">
        <v>214</v>
      </c>
      <c r="AN285" s="234">
        <f>AN159</f>
        <v>0.54282284767942857</v>
      </c>
      <c r="AO285" s="235">
        <f>AN285+AO284</f>
        <v>-12.395928397323274</v>
      </c>
      <c r="AP285" s="240"/>
      <c r="AQ285" s="238">
        <f>MAX(0,MIN(AO285,AO284))+MIN(0,MAX(AO284,AO285))</f>
        <v>-12.395928397323274</v>
      </c>
      <c r="AR285" s="238">
        <f>MAX(0,MIN(AN285,AO285))</f>
        <v>0</v>
      </c>
      <c r="AS285" s="238">
        <f>MAX(0,AU285-AN285)</f>
        <v>0</v>
      </c>
      <c r="AT285" s="238">
        <f>-MAX(0,AN285-AR285)</f>
        <v>-0.54282284767942857</v>
      </c>
      <c r="AU285" s="239">
        <f t="shared" ref="AU285" si="127">MIN(0,MAX(AN285,AO285))</f>
        <v>0</v>
      </c>
      <c r="AV285" s="239">
        <f>IF(AN285&lt;0,NA(),SUM(AQ285:AU285)-AT285-$AW$183)</f>
        <v>-12.395928397323274</v>
      </c>
      <c r="AW285" s="239" t="e">
        <f t="shared" si="126"/>
        <v>#N/A</v>
      </c>
    </row>
    <row r="286" spans="34:49" ht="14.4" x14ac:dyDescent="0.3">
      <c r="AH286" s="505" t="s">
        <v>227</v>
      </c>
      <c r="AM286" s="507" t="s">
        <v>215</v>
      </c>
      <c r="AN286" s="234">
        <f>AN160</f>
        <v>5.621125743049042</v>
      </c>
      <c r="AO286" s="235">
        <f>AN286+AO285</f>
        <v>-6.7748026542742323</v>
      </c>
      <c r="AP286" s="240"/>
      <c r="AQ286" s="238">
        <f t="shared" ref="AQ286:AQ289" si="128">MAX(0,MIN(AO286,AO285))+MIN(0,MAX(AO285,AO286))</f>
        <v>-6.7748026542742323</v>
      </c>
      <c r="AR286" s="238">
        <f t="shared" ref="AR286:AR289" si="129">MAX(0,MIN(AN286,AO286))</f>
        <v>0</v>
      </c>
      <c r="AS286" s="238">
        <f t="shared" ref="AS286:AS289" si="130">MAX(0,AU286-AN286)</f>
        <v>0</v>
      </c>
      <c r="AT286" s="238">
        <f t="shared" ref="AT286:AT289" si="131">-MAX(0,AN286-AR286)</f>
        <v>-5.621125743049042</v>
      </c>
      <c r="AU286" s="239">
        <f t="shared" ref="AU286:AU289" si="132">MIN(0,MAX(AN286,AO286))</f>
        <v>0</v>
      </c>
      <c r="AV286" s="239">
        <f t="shared" ref="AV286:AV289" si="133">IF(AN286&lt;0,NA(),SUM(AQ286:AU286)-AT286-$AW$183)</f>
        <v>-6.7748026542742323</v>
      </c>
      <c r="AW286" s="239" t="e">
        <f t="shared" si="126"/>
        <v>#N/A</v>
      </c>
    </row>
    <row r="287" spans="34:49" ht="14.4" x14ac:dyDescent="0.3">
      <c r="AH287" s="505" t="s">
        <v>228</v>
      </c>
      <c r="AM287" s="507" t="s">
        <v>216</v>
      </c>
      <c r="AN287" s="234">
        <f>AN164</f>
        <v>0</v>
      </c>
      <c r="AO287" s="235">
        <f>AN287+AO286</f>
        <v>-6.7748026542742323</v>
      </c>
      <c r="AP287" s="237"/>
      <c r="AQ287" s="238">
        <f t="shared" si="128"/>
        <v>-6.7748026542742323</v>
      </c>
      <c r="AR287" s="238">
        <f t="shared" si="129"/>
        <v>0</v>
      </c>
      <c r="AS287" s="238">
        <f t="shared" si="130"/>
        <v>0</v>
      </c>
      <c r="AT287" s="238">
        <f t="shared" si="131"/>
        <v>0</v>
      </c>
      <c r="AU287" s="239">
        <f t="shared" si="132"/>
        <v>0</v>
      </c>
      <c r="AV287" s="239">
        <f t="shared" si="133"/>
        <v>-6.7748026542742323</v>
      </c>
      <c r="AW287" s="239" t="e">
        <f t="shared" si="126"/>
        <v>#N/A</v>
      </c>
    </row>
    <row r="288" spans="34:49" ht="14.4" x14ac:dyDescent="0.3">
      <c r="AH288" s="505" t="s">
        <v>122</v>
      </c>
      <c r="AM288" s="507" t="s">
        <v>122</v>
      </c>
      <c r="AN288" s="234">
        <f>AN163</f>
        <v>0</v>
      </c>
      <c r="AO288" s="235">
        <f t="shared" ref="AO288:AO290" si="134">AN288+AO287</f>
        <v>-6.7748026542742323</v>
      </c>
      <c r="AP288" s="237"/>
      <c r="AQ288" s="238">
        <f t="shared" si="128"/>
        <v>-6.7748026542742323</v>
      </c>
      <c r="AR288" s="238">
        <f t="shared" si="129"/>
        <v>0</v>
      </c>
      <c r="AS288" s="238">
        <f t="shared" si="130"/>
        <v>0</v>
      </c>
      <c r="AT288" s="238">
        <f t="shared" si="131"/>
        <v>0</v>
      </c>
      <c r="AU288" s="239">
        <f t="shared" si="132"/>
        <v>0</v>
      </c>
      <c r="AV288" s="239">
        <f>IF(AN288&lt;0,NA(),SUM(AQ288:AU288)-AT288-$AW$183)</f>
        <v>-6.7748026542742323</v>
      </c>
      <c r="AW288" s="239" t="e">
        <f t="shared" si="126"/>
        <v>#N/A</v>
      </c>
    </row>
    <row r="289" spans="34:49" ht="14.4" x14ac:dyDescent="0.3">
      <c r="AH289" s="505" t="s">
        <v>217</v>
      </c>
      <c r="AM289" s="507" t="s">
        <v>217</v>
      </c>
      <c r="AN289" s="234">
        <f>SUM(AN165:AN166)</f>
        <v>0</v>
      </c>
      <c r="AO289" s="235">
        <f t="shared" si="134"/>
        <v>-6.7748026542742323</v>
      </c>
      <c r="AP289" s="237"/>
      <c r="AQ289" s="238">
        <f t="shared" si="128"/>
        <v>-6.7748026542742323</v>
      </c>
      <c r="AR289" s="238">
        <f t="shared" si="129"/>
        <v>0</v>
      </c>
      <c r="AS289" s="238">
        <f t="shared" si="130"/>
        <v>0</v>
      </c>
      <c r="AT289" s="238">
        <f t="shared" si="131"/>
        <v>0</v>
      </c>
      <c r="AU289" s="239">
        <f t="shared" si="132"/>
        <v>0</v>
      </c>
      <c r="AV289" s="239">
        <f t="shared" si="133"/>
        <v>-6.7748026542742323</v>
      </c>
      <c r="AW289" s="239" t="e">
        <f t="shared" si="126"/>
        <v>#N/A</v>
      </c>
    </row>
    <row r="290" spans="34:49" ht="14.4" x14ac:dyDescent="0.3">
      <c r="AH290" s="505" t="s">
        <v>224</v>
      </c>
      <c r="AM290" s="507" t="s">
        <v>31</v>
      </c>
      <c r="AN290" s="234">
        <f>AN167</f>
        <v>0</v>
      </c>
      <c r="AO290" s="235">
        <f t="shared" si="134"/>
        <v>-6.7748026542742323</v>
      </c>
      <c r="AP290" s="237"/>
      <c r="AQ290" s="238">
        <f t="shared" ref="AQ290" si="135">MAX(0,MIN(AO290,AO289))+MIN(0,MAX(AO289,AO290))</f>
        <v>-6.7748026542742323</v>
      </c>
      <c r="AR290" s="238">
        <f t="shared" ref="AR290" si="136">MAX(0,MIN(AN290,AO290))</f>
        <v>0</v>
      </c>
      <c r="AS290" s="238">
        <f t="shared" ref="AS290" si="137">MAX(0,AU290-AN290)</f>
        <v>0</v>
      </c>
      <c r="AT290" s="238">
        <f t="shared" ref="AT290" si="138">-MAX(0,AN290-AR290)</f>
        <v>0</v>
      </c>
      <c r="AU290" s="239">
        <f t="shared" ref="AU290" si="139">MIN(0,MAX(AN290,AO290))</f>
        <v>0</v>
      </c>
      <c r="AV290" s="239">
        <f t="shared" ref="AV290" si="140">IF(AN290&lt;0,NA(),SUM(AQ290:AU290)-AT290-$AW$183)</f>
        <v>-6.7748026542742323</v>
      </c>
      <c r="AW290" s="239" t="e">
        <f t="shared" si="126"/>
        <v>#N/A</v>
      </c>
    </row>
    <row r="291" spans="34:49" ht="14.4" x14ac:dyDescent="0.3">
      <c r="AH291" s="359" t="s">
        <v>225</v>
      </c>
      <c r="AM291" s="353" t="s">
        <v>225</v>
      </c>
      <c r="AN291" s="234">
        <f>AO290</f>
        <v>-6.7748026542742323</v>
      </c>
      <c r="AO291" s="235">
        <f>AN291</f>
        <v>-6.7748026542742323</v>
      </c>
      <c r="AP291" s="242">
        <f>AO291</f>
        <v>-6.7748026542742323</v>
      </c>
      <c r="AQ291" s="237"/>
      <c r="AR291" s="237"/>
      <c r="AS291" s="237"/>
      <c r="AT291" s="237"/>
      <c r="AU291" s="237"/>
      <c r="AV291" s="239" t="e">
        <f>IF(AP291&gt;0,AP291,NA())</f>
        <v>#N/A</v>
      </c>
      <c r="AW291" s="239">
        <f>IF(AP291&lt;0,AP291,NA())</f>
        <v>-6.7748026542742323</v>
      </c>
    </row>
    <row r="292" spans="34:49" ht="14.4" x14ac:dyDescent="0.3">
      <c r="AH292" s="505" t="s">
        <v>220</v>
      </c>
      <c r="AM292" s="507" t="s">
        <v>220</v>
      </c>
      <c r="AN292" s="234">
        <f>SUM(AN169:AN174,AN176:AN180)+AN175</f>
        <v>33.254402760670537</v>
      </c>
      <c r="AO292" s="235">
        <f>AN292+AO291</f>
        <v>26.479600106396305</v>
      </c>
      <c r="AP292" s="237"/>
      <c r="AQ292" s="238">
        <f t="shared" ref="AQ292" si="141">MAX(0,MIN(AO292,AO291))+MIN(0,MAX(AO291,AO292))</f>
        <v>0</v>
      </c>
      <c r="AR292" s="238">
        <f t="shared" ref="AR292" si="142">MAX(0,MIN(AN292,AO292))</f>
        <v>26.479600106396305</v>
      </c>
      <c r="AS292" s="238">
        <f t="shared" ref="AS292" si="143">MAX(0,AU292-AN292)</f>
        <v>0</v>
      </c>
      <c r="AT292" s="238">
        <f t="shared" ref="AT292" si="144">-MAX(0,AN292-AR292)</f>
        <v>-6.7748026542742323</v>
      </c>
      <c r="AU292" s="239">
        <f t="shared" ref="AU292" si="145">MIN(0,MAX(AN292,AO292))</f>
        <v>0</v>
      </c>
      <c r="AV292" s="239">
        <f>IF(AN292&lt;0,NA(),SUM(AQ292:AU292)-AT292-$AW$183)</f>
        <v>26.479600106396305</v>
      </c>
      <c r="AW292" s="239" t="e">
        <f>IF(AN292&lt;0,SUM(AQ292:AU292)-AS292+$AW$183,NA())</f>
        <v>#N/A</v>
      </c>
    </row>
    <row r="293" spans="34:49" ht="14.4" x14ac:dyDescent="0.3">
      <c r="AH293" s="360" t="s">
        <v>212</v>
      </c>
      <c r="AM293" s="354" t="s">
        <v>212</v>
      </c>
      <c r="AN293" s="238">
        <f>SUM(AN292:AN292,AN282:AN290)</f>
        <v>26.479600106396305</v>
      </c>
      <c r="AO293" s="243">
        <f>AN293</f>
        <v>26.479600106396305</v>
      </c>
      <c r="AP293" s="242">
        <f>AN293</f>
        <v>26.479600106396305</v>
      </c>
      <c r="AQ293" s="237"/>
      <c r="AR293" s="237"/>
      <c r="AS293" s="237"/>
      <c r="AT293" s="237"/>
      <c r="AU293" s="237"/>
      <c r="AV293" s="239">
        <f>IF(AP293&gt;0,AP293,NA())</f>
        <v>26.479600106396305</v>
      </c>
      <c r="AW293" s="239" t="e">
        <f>IF(AP293&lt;0,AP293,NA())</f>
        <v>#N/A</v>
      </c>
    </row>
    <row r="294" spans="34:49" x14ac:dyDescent="0.3">
      <c r="AM294" s="203"/>
      <c r="AN294" s="204"/>
      <c r="AO294" s="204"/>
      <c r="AP294" s="204"/>
      <c r="AQ294" s="205"/>
      <c r="AR294" s="205"/>
      <c r="AS294" s="205"/>
      <c r="AT294" s="205"/>
      <c r="AU294" s="205"/>
      <c r="AV294" s="205"/>
      <c r="AW294" s="205"/>
    </row>
    <row r="295" spans="34:49" x14ac:dyDescent="0.3">
      <c r="AM295" s="206" t="s">
        <v>207</v>
      </c>
      <c r="AN295" s="193" t="str">
        <f>IF(ROUND($AN$293,7)=ROUND(Calcs!$K$526/1000000,7),"Ok","Check")</f>
        <v>Ok</v>
      </c>
      <c r="AO295" s="205"/>
      <c r="AP295" s="205"/>
      <c r="AQ295" s="205"/>
      <c r="AR295" s="205"/>
      <c r="AS295" s="205"/>
      <c r="AT295" s="205"/>
      <c r="AU295" s="205"/>
      <c r="AV295" s="207" t="s">
        <v>208</v>
      </c>
      <c r="AW295" s="208">
        <v>0</v>
      </c>
    </row>
    <row r="296" spans="34:49" x14ac:dyDescent="0.3">
      <c r="AM296" s="205"/>
      <c r="AN296" s="205"/>
      <c r="AO296" s="205"/>
      <c r="AP296" s="205"/>
      <c r="AQ296" s="205"/>
      <c r="AR296" s="205"/>
      <c r="AS296" s="205"/>
      <c r="AT296" s="205"/>
      <c r="AU296" s="205"/>
      <c r="AV296" s="209" t="s">
        <v>209</v>
      </c>
      <c r="AW296" s="210">
        <f>ROUNDUP(MAX(0,MAX(AO282:AO293))-MIN(0,MIN(AO282:AO293)),1-LEN(INT(MAX(0,MAX(AO282:AO293))-MIN(0,MIN(AO282:AO293)))))/40</f>
        <v>1</v>
      </c>
    </row>
    <row r="323" spans="3:83" s="198" customFormat="1" collapsed="1" x14ac:dyDescent="0.3">
      <c r="C323" s="197" t="s">
        <v>229</v>
      </c>
    </row>
    <row r="324" spans="3:83" hidden="1" outlineLevel="1" x14ac:dyDescent="0.3"/>
    <row r="325" spans="3:83" hidden="1" outlineLevel="1" x14ac:dyDescent="0.3">
      <c r="AA325" s="217" t="s">
        <v>230</v>
      </c>
      <c r="AD325" s="199" t="s">
        <v>231</v>
      </c>
      <c r="AG325" s="218" t="str">
        <f>"FY"&amp;RIGHT(Assumptions!$L$19+J377,2)</f>
        <v>FY22</v>
      </c>
      <c r="AH325" s="219" t="str">
        <f>"FY"&amp;RIGHT(Assumptions!$L$19+K377,2)</f>
        <v>FY23</v>
      </c>
      <c r="AI325" s="219" t="str">
        <f>"FY"&amp;RIGHT(Assumptions!$L$19+L377,2)</f>
        <v>FY24</v>
      </c>
      <c r="AJ325" s="219" t="str">
        <f>"FY"&amp;RIGHT(Assumptions!$L$19+M377,2)</f>
        <v>FY25</v>
      </c>
      <c r="AK325" s="219" t="str">
        <f>"FY"&amp;RIGHT(Assumptions!$L$19+N377,2)</f>
        <v>FY26</v>
      </c>
      <c r="AL325" s="219" t="str">
        <f>"FY"&amp;RIGHT(Assumptions!$L$19+O377,2)</f>
        <v>FY27</v>
      </c>
      <c r="AM325" s="219" t="str">
        <f>"FY"&amp;RIGHT(Assumptions!$L$19+P377,2)</f>
        <v>FY28</v>
      </c>
      <c r="AN325" s="219" t="str">
        <f>"FY"&amp;RIGHT(Assumptions!$L$19+Q377,2)</f>
        <v>FY29</v>
      </c>
      <c r="AO325" s="219" t="str">
        <f>"FY"&amp;RIGHT(Assumptions!$L$19+R377,2)</f>
        <v>FY30</v>
      </c>
      <c r="AP325" s="219" t="str">
        <f>"FY"&amp;RIGHT(Assumptions!$L$19+S377,2)</f>
        <v>FY31</v>
      </c>
      <c r="AQ325" s="219" t="str">
        <f>"FY"&amp;RIGHT(Assumptions!$L$19+T377,2)</f>
        <v>FY32</v>
      </c>
      <c r="AR325" s="219" t="str">
        <f>"FY"&amp;RIGHT(Assumptions!$L$19+U377,2)</f>
        <v>FY33</v>
      </c>
      <c r="AS325" s="219" t="str">
        <f>"FY"&amp;RIGHT(Assumptions!$L$19+V377,2)</f>
        <v>FY34</v>
      </c>
      <c r="AT325" s="219" t="str">
        <f>"FY"&amp;RIGHT(Assumptions!$L$19+W377,2)</f>
        <v>FY35</v>
      </c>
      <c r="AU325" s="219" t="str">
        <f>"FY"&amp;RIGHT(Assumptions!$L$19+X377,2)</f>
        <v>FY36</v>
      </c>
      <c r="AV325" s="219" t="str">
        <f>"FY"&amp;RIGHT(Assumptions!$L$19+Y377,2)</f>
        <v>FY37</v>
      </c>
      <c r="AW325" s="219" t="str">
        <f>"FY"&amp;RIGHT(Assumptions!$L$19+Z377,2)</f>
        <v>FY38</v>
      </c>
      <c r="AX325" s="219" t="str">
        <f>"FY"&amp;RIGHT(Assumptions!$L$19+AA377,2)</f>
        <v>FY39</v>
      </c>
      <c r="AY325" s="219" t="str">
        <f>"FY"&amp;RIGHT(Assumptions!$L$19+AB377,2)</f>
        <v>FY40</v>
      </c>
      <c r="AZ325" s="219" t="str">
        <f>"FY"&amp;RIGHT(Assumptions!$L$19+AC377,2)</f>
        <v>FY41</v>
      </c>
      <c r="BA325" s="219" t="str">
        <f>"FY"&amp;RIGHT(Assumptions!$L$19+AD377,2)</f>
        <v>FY42</v>
      </c>
      <c r="BB325" s="219" t="str">
        <f>"FY"&amp;RIGHT(Assumptions!$L$19+AE377,2)</f>
        <v>FY43</v>
      </c>
      <c r="BC325" s="219" t="str">
        <f>"FY"&amp;RIGHT(Assumptions!$L$19+AF377,2)</f>
        <v>FY44</v>
      </c>
      <c r="BD325" s="219" t="str">
        <f>"FY"&amp;RIGHT(Assumptions!$L$19+AG377,2)</f>
        <v>FY45</v>
      </c>
      <c r="BE325" s="219" t="str">
        <f>"FY"&amp;RIGHT(Assumptions!$L$19+AH377,2)</f>
        <v>FY46</v>
      </c>
      <c r="BF325" s="219" t="str">
        <f>"FY"&amp;RIGHT(Assumptions!$L$19+AI377,2)</f>
        <v>FY47</v>
      </c>
      <c r="BG325" s="219" t="str">
        <f>"FY"&amp;RIGHT(Assumptions!$L$19+AJ377,2)</f>
        <v>FY48</v>
      </c>
      <c r="BH325" s="219" t="str">
        <f>"FY"&amp;RIGHT(Assumptions!$L$19+AK377,2)</f>
        <v>FY49</v>
      </c>
      <c r="BI325" s="219" t="str">
        <f>"FY"&amp;RIGHT(Assumptions!$L$19+AL377,2)</f>
        <v>FY50</v>
      </c>
      <c r="BJ325" s="219" t="str">
        <f>"FY"&amp;RIGHT(Assumptions!$L$19+AM377,2)</f>
        <v>FY51</v>
      </c>
      <c r="BK325" s="219" t="str">
        <f>"FY"&amp;RIGHT(Assumptions!$L$19+AN377,2)</f>
        <v>FY52</v>
      </c>
      <c r="BL325" s="219" t="str">
        <f>"FY"&amp;RIGHT(Assumptions!$L$19+AO377,2)</f>
        <v>FY53</v>
      </c>
      <c r="BM325" s="219" t="str">
        <f>"FY"&amp;RIGHT(Assumptions!$L$19+AP377,2)</f>
        <v>FY54</v>
      </c>
      <c r="BN325" s="219" t="str">
        <f>"FY"&amp;RIGHT(Assumptions!$L$19+AQ377,2)</f>
        <v>FY55</v>
      </c>
      <c r="BO325" s="219" t="str">
        <f>"FY"&amp;RIGHT(Assumptions!$L$19+AR377,2)</f>
        <v>FY56</v>
      </c>
      <c r="BP325" s="219" t="str">
        <f>"FY"&amp;RIGHT(Assumptions!$L$19+AS377,2)</f>
        <v>FY57</v>
      </c>
      <c r="BQ325" s="219" t="str">
        <f>"FY"&amp;RIGHT(Assumptions!$L$19+AT377,2)</f>
        <v>FY58</v>
      </c>
      <c r="BR325" s="219" t="str">
        <f>"FY"&amp;RIGHT(Assumptions!$L$19+AU377,2)</f>
        <v>FY59</v>
      </c>
      <c r="BS325" s="219" t="str">
        <f>"FY"&amp;RIGHT(Assumptions!$L$19+AV377,2)</f>
        <v>FY60</v>
      </c>
      <c r="BT325" s="219" t="str">
        <f>"FY"&amp;RIGHT(Assumptions!$L$19+AW377,2)</f>
        <v>FY61</v>
      </c>
      <c r="BU325" s="219" t="str">
        <f>"FY"&amp;RIGHT(Assumptions!$L$19+AX377,2)</f>
        <v>FY62</v>
      </c>
      <c r="BV325" s="219" t="str">
        <f>"FY"&amp;RIGHT(Assumptions!$L$19+AY377,2)</f>
        <v>FY63</v>
      </c>
      <c r="BW325" s="219" t="str">
        <f>"FY"&amp;RIGHT(Assumptions!$L$19+AZ377,2)</f>
        <v>FY64</v>
      </c>
      <c r="BX325" s="219" t="str">
        <f>"FY"&amp;RIGHT(Assumptions!$L$19+BA377,2)</f>
        <v>FY65</v>
      </c>
      <c r="BY325" s="219" t="str">
        <f>"FY"&amp;RIGHT(Assumptions!$L$19+BB377,2)</f>
        <v>FY66</v>
      </c>
      <c r="BZ325" s="219" t="str">
        <f>"FY"&amp;RIGHT(Assumptions!$L$19+BC377,2)</f>
        <v>FY67</v>
      </c>
      <c r="CA325" s="219" t="str">
        <f>"FY"&amp;RIGHT(Assumptions!$L$19+BD377,2)</f>
        <v>FY68</v>
      </c>
      <c r="CB325" s="219" t="str">
        <f>"FY"&amp;RIGHT(Assumptions!$L$19+BE377,2)</f>
        <v>FY69</v>
      </c>
      <c r="CC325" s="219" t="str">
        <f>"FY"&amp;RIGHT(Assumptions!$L$19+BF377,2)</f>
        <v>FY70</v>
      </c>
      <c r="CD325" s="219" t="str">
        <f>"FY"&amp;RIGHT(Assumptions!$L$19+BG377,2)</f>
        <v>FY71</v>
      </c>
      <c r="CE325" s="219" t="str">
        <f>"FY"&amp;RIGHT(Assumptions!$L$19+BH377,2)</f>
        <v>FY72</v>
      </c>
    </row>
    <row r="326" spans="3:83" hidden="1" outlineLevel="1" x14ac:dyDescent="0.3">
      <c r="AG326" s="220"/>
      <c r="AH326" s="220"/>
      <c r="AI326" s="220"/>
      <c r="AJ326" s="220"/>
      <c r="AK326" s="220"/>
      <c r="AL326" s="220"/>
      <c r="AM326" s="220"/>
      <c r="AN326" s="220"/>
      <c r="AO326" s="220"/>
      <c r="AP326" s="220"/>
      <c r="AQ326" s="220"/>
      <c r="AR326" s="220"/>
      <c r="AS326" s="220"/>
      <c r="AT326" s="220"/>
      <c r="AU326" s="220"/>
      <c r="AV326" s="220"/>
      <c r="AW326" s="220"/>
      <c r="AX326" s="220"/>
      <c r="AY326" s="220"/>
      <c r="AZ326" s="220"/>
      <c r="BA326" s="220"/>
      <c r="BB326" s="220"/>
      <c r="BC326" s="220"/>
      <c r="BD326" s="220"/>
      <c r="BE326" s="220"/>
      <c r="BF326" s="220"/>
      <c r="BG326" s="220"/>
      <c r="BH326" s="220"/>
      <c r="BI326" s="220"/>
      <c r="BJ326" s="220"/>
      <c r="BK326" s="220"/>
      <c r="BL326" s="220"/>
      <c r="BM326" s="220"/>
      <c r="BN326" s="220"/>
      <c r="BO326" s="220"/>
      <c r="BP326" s="220"/>
      <c r="BQ326" s="220"/>
      <c r="BR326" s="220"/>
      <c r="BS326" s="220"/>
      <c r="BT326" s="220"/>
      <c r="BU326" s="220"/>
      <c r="BV326" s="220"/>
      <c r="BW326" s="220"/>
      <c r="BX326" s="220"/>
      <c r="BY326" s="220"/>
      <c r="BZ326" s="220"/>
      <c r="CA326" s="220"/>
      <c r="CB326" s="220"/>
      <c r="CC326" s="220"/>
      <c r="CD326" s="220"/>
      <c r="CE326" s="220"/>
    </row>
    <row r="327" spans="3:83" hidden="1" outlineLevel="1" x14ac:dyDescent="0.3"/>
    <row r="328" spans="3:83" hidden="1" outlineLevel="1" x14ac:dyDescent="0.3">
      <c r="AA328" s="195"/>
      <c r="AD328" s="192" t="s">
        <v>232</v>
      </c>
      <c r="AG328" s="196">
        <f>SUMIF($AD$339:$AD$350,$AD328,AG$339:AG$350)</f>
        <v>0</v>
      </c>
      <c r="AH328" s="196">
        <f t="shared" ref="AH328:CE331" si="146">SUMIF($AD$339:$AD$350,$AD328,AH$339:AH$350)</f>
        <v>0</v>
      </c>
      <c r="AI328" s="196">
        <f t="shared" si="146"/>
        <v>0</v>
      </c>
      <c r="AJ328" s="196">
        <f t="shared" si="146"/>
        <v>4357421.4794582743</v>
      </c>
      <c r="AK328" s="196">
        <f t="shared" si="146"/>
        <v>4421187.5671172729</v>
      </c>
      <c r="AL328" s="196">
        <f t="shared" si="146"/>
        <v>4451034.2730616657</v>
      </c>
      <c r="AM328" s="196">
        <f t="shared" si="146"/>
        <v>4454116.4275256703</v>
      </c>
      <c r="AN328" s="196">
        <f t="shared" si="146"/>
        <v>4521292.9927943535</v>
      </c>
      <c r="AO328" s="196">
        <f t="shared" si="146"/>
        <v>2345953.9113555606</v>
      </c>
      <c r="AP328" s="196">
        <f t="shared" si="146"/>
        <v>0</v>
      </c>
      <c r="AQ328" s="196">
        <f t="shared" si="146"/>
        <v>0</v>
      </c>
      <c r="AR328" s="196">
        <f t="shared" si="146"/>
        <v>0</v>
      </c>
      <c r="AS328" s="196">
        <f t="shared" si="146"/>
        <v>0</v>
      </c>
      <c r="AT328" s="196">
        <f t="shared" si="146"/>
        <v>0</v>
      </c>
      <c r="AU328" s="196">
        <f t="shared" si="146"/>
        <v>0</v>
      </c>
      <c r="AV328" s="196">
        <f t="shared" si="146"/>
        <v>0</v>
      </c>
      <c r="AW328" s="196">
        <f t="shared" si="146"/>
        <v>0</v>
      </c>
      <c r="AX328" s="196">
        <f t="shared" si="146"/>
        <v>0</v>
      </c>
      <c r="AY328" s="196">
        <f t="shared" si="146"/>
        <v>0</v>
      </c>
      <c r="AZ328" s="196">
        <f t="shared" si="146"/>
        <v>0</v>
      </c>
      <c r="BA328" s="196">
        <f t="shared" si="146"/>
        <v>0</v>
      </c>
      <c r="BB328" s="196">
        <f t="shared" si="146"/>
        <v>0</v>
      </c>
      <c r="BC328" s="196">
        <f t="shared" si="146"/>
        <v>0</v>
      </c>
      <c r="BD328" s="196">
        <f t="shared" si="146"/>
        <v>0</v>
      </c>
      <c r="BE328" s="196">
        <f t="shared" si="146"/>
        <v>0</v>
      </c>
      <c r="BF328" s="196">
        <f t="shared" si="146"/>
        <v>0</v>
      </c>
      <c r="BG328" s="196">
        <f t="shared" si="146"/>
        <v>0</v>
      </c>
      <c r="BH328" s="196">
        <f t="shared" si="146"/>
        <v>0</v>
      </c>
      <c r="BI328" s="196">
        <f t="shared" si="146"/>
        <v>0</v>
      </c>
      <c r="BJ328" s="196">
        <f t="shared" si="146"/>
        <v>0</v>
      </c>
      <c r="BK328" s="196">
        <f t="shared" si="146"/>
        <v>0</v>
      </c>
      <c r="BL328" s="196">
        <f t="shared" si="146"/>
        <v>0</v>
      </c>
      <c r="BM328" s="196">
        <f t="shared" si="146"/>
        <v>0</v>
      </c>
      <c r="BN328" s="196">
        <f t="shared" si="146"/>
        <v>0</v>
      </c>
      <c r="BO328" s="196">
        <f t="shared" si="146"/>
        <v>0</v>
      </c>
      <c r="BP328" s="196">
        <f t="shared" si="146"/>
        <v>0</v>
      </c>
      <c r="BQ328" s="196">
        <f t="shared" si="146"/>
        <v>0</v>
      </c>
      <c r="BR328" s="196">
        <f t="shared" si="146"/>
        <v>0</v>
      </c>
      <c r="BS328" s="196">
        <f t="shared" si="146"/>
        <v>0</v>
      </c>
      <c r="BT328" s="196">
        <f t="shared" si="146"/>
        <v>0</v>
      </c>
      <c r="BU328" s="196">
        <f t="shared" si="146"/>
        <v>0</v>
      </c>
      <c r="BV328" s="196">
        <f t="shared" si="146"/>
        <v>0</v>
      </c>
      <c r="BW328" s="196">
        <f t="shared" si="146"/>
        <v>0</v>
      </c>
      <c r="BX328" s="196">
        <f t="shared" si="146"/>
        <v>0</v>
      </c>
      <c r="BY328" s="196">
        <f t="shared" si="146"/>
        <v>0</v>
      </c>
      <c r="BZ328" s="196">
        <f t="shared" si="146"/>
        <v>0</v>
      </c>
      <c r="CA328" s="196">
        <f t="shared" si="146"/>
        <v>0</v>
      </c>
      <c r="CB328" s="196">
        <f t="shared" si="146"/>
        <v>0</v>
      </c>
      <c r="CC328" s="196">
        <f t="shared" si="146"/>
        <v>0</v>
      </c>
      <c r="CD328" s="196">
        <f t="shared" si="146"/>
        <v>0</v>
      </c>
      <c r="CE328" s="196">
        <f t="shared" si="146"/>
        <v>0</v>
      </c>
    </row>
    <row r="329" spans="3:83" hidden="1" outlineLevel="1" x14ac:dyDescent="0.3">
      <c r="AA329" s="195"/>
      <c r="AD329" s="192" t="s">
        <v>233</v>
      </c>
      <c r="AG329" s="196">
        <f t="shared" ref="AG329:AV330" si="147">SUMIF($AD$339:$AD$350,$AD329,AG$339:AG$350)</f>
        <v>0</v>
      </c>
      <c r="AH329" s="196">
        <f t="shared" si="147"/>
        <v>0</v>
      </c>
      <c r="AI329" s="196">
        <f t="shared" si="147"/>
        <v>0</v>
      </c>
      <c r="AJ329" s="196">
        <f t="shared" si="147"/>
        <v>0</v>
      </c>
      <c r="AK329" s="196">
        <f t="shared" si="147"/>
        <v>0</v>
      </c>
      <c r="AL329" s="196">
        <f t="shared" si="147"/>
        <v>0</v>
      </c>
      <c r="AM329" s="196">
        <f t="shared" si="147"/>
        <v>0</v>
      </c>
      <c r="AN329" s="196">
        <f t="shared" si="147"/>
        <v>0</v>
      </c>
      <c r="AO329" s="196">
        <f t="shared" si="147"/>
        <v>0</v>
      </c>
      <c r="AP329" s="196">
        <f t="shared" si="147"/>
        <v>0</v>
      </c>
      <c r="AQ329" s="196">
        <f t="shared" si="147"/>
        <v>0</v>
      </c>
      <c r="AR329" s="196">
        <f t="shared" si="147"/>
        <v>0</v>
      </c>
      <c r="AS329" s="196">
        <f t="shared" si="147"/>
        <v>0</v>
      </c>
      <c r="AT329" s="196">
        <f t="shared" si="147"/>
        <v>0</v>
      </c>
      <c r="AU329" s="196">
        <f t="shared" si="147"/>
        <v>0</v>
      </c>
      <c r="AV329" s="196">
        <f t="shared" si="147"/>
        <v>0</v>
      </c>
      <c r="AW329" s="196">
        <f t="shared" si="146"/>
        <v>0</v>
      </c>
      <c r="AX329" s="196">
        <f t="shared" si="146"/>
        <v>0</v>
      </c>
      <c r="AY329" s="196">
        <f t="shared" si="146"/>
        <v>0</v>
      </c>
      <c r="AZ329" s="196">
        <f t="shared" si="146"/>
        <v>0</v>
      </c>
      <c r="BA329" s="196">
        <f t="shared" si="146"/>
        <v>0</v>
      </c>
      <c r="BB329" s="196">
        <f t="shared" si="146"/>
        <v>0</v>
      </c>
      <c r="BC329" s="196">
        <f t="shared" si="146"/>
        <v>0</v>
      </c>
      <c r="BD329" s="196">
        <f t="shared" si="146"/>
        <v>0</v>
      </c>
      <c r="BE329" s="196">
        <f t="shared" si="146"/>
        <v>0</v>
      </c>
      <c r="BF329" s="196">
        <f t="shared" si="146"/>
        <v>0</v>
      </c>
      <c r="BG329" s="196">
        <f t="shared" si="146"/>
        <v>0</v>
      </c>
      <c r="BH329" s="196">
        <f t="shared" si="146"/>
        <v>0</v>
      </c>
      <c r="BI329" s="196">
        <f t="shared" si="146"/>
        <v>0</v>
      </c>
      <c r="BJ329" s="196">
        <f t="shared" si="146"/>
        <v>0</v>
      </c>
      <c r="BK329" s="196">
        <f t="shared" si="146"/>
        <v>0</v>
      </c>
      <c r="BL329" s="196">
        <f t="shared" si="146"/>
        <v>0</v>
      </c>
      <c r="BM329" s="196">
        <f t="shared" si="146"/>
        <v>0</v>
      </c>
      <c r="BN329" s="196">
        <f t="shared" si="146"/>
        <v>0</v>
      </c>
      <c r="BO329" s="196">
        <f t="shared" si="146"/>
        <v>0</v>
      </c>
      <c r="BP329" s="196">
        <f t="shared" si="146"/>
        <v>0</v>
      </c>
      <c r="BQ329" s="196">
        <f t="shared" si="146"/>
        <v>0</v>
      </c>
      <c r="BR329" s="196">
        <f t="shared" si="146"/>
        <v>0</v>
      </c>
      <c r="BS329" s="196">
        <f t="shared" si="146"/>
        <v>0</v>
      </c>
      <c r="BT329" s="196">
        <f t="shared" si="146"/>
        <v>0</v>
      </c>
      <c r="BU329" s="196">
        <f t="shared" si="146"/>
        <v>0</v>
      </c>
      <c r="BV329" s="196">
        <f t="shared" si="146"/>
        <v>0</v>
      </c>
      <c r="BW329" s="196">
        <f t="shared" si="146"/>
        <v>0</v>
      </c>
      <c r="BX329" s="196">
        <f t="shared" si="146"/>
        <v>0</v>
      </c>
      <c r="BY329" s="196">
        <f t="shared" si="146"/>
        <v>0</v>
      </c>
      <c r="BZ329" s="196">
        <f t="shared" si="146"/>
        <v>0</v>
      </c>
      <c r="CA329" s="196">
        <f t="shared" si="146"/>
        <v>0</v>
      </c>
      <c r="CB329" s="196">
        <f t="shared" si="146"/>
        <v>0</v>
      </c>
      <c r="CC329" s="196">
        <f t="shared" si="146"/>
        <v>0</v>
      </c>
      <c r="CD329" s="196">
        <f t="shared" si="146"/>
        <v>0</v>
      </c>
      <c r="CE329" s="196">
        <f t="shared" si="146"/>
        <v>0</v>
      </c>
    </row>
    <row r="330" spans="3:83" hidden="1" outlineLevel="1" x14ac:dyDescent="0.3">
      <c r="AA330" s="195"/>
      <c r="AD330" s="192" t="s">
        <v>234</v>
      </c>
      <c r="AG330" s="196">
        <f t="shared" si="147"/>
        <v>0</v>
      </c>
      <c r="AH330" s="196">
        <f t="shared" si="146"/>
        <v>0</v>
      </c>
      <c r="AI330" s="196">
        <f t="shared" si="146"/>
        <v>0</v>
      </c>
      <c r="AJ330" s="196">
        <f t="shared" si="146"/>
        <v>760493.3714148876</v>
      </c>
      <c r="AK330" s="196">
        <f t="shared" si="146"/>
        <v>771622.35841197695</v>
      </c>
      <c r="AL330" s="196">
        <f t="shared" si="146"/>
        <v>776831.45331736619</v>
      </c>
      <c r="AM330" s="196">
        <f t="shared" si="146"/>
        <v>777369.37650212168</v>
      </c>
      <c r="AN330" s="196">
        <f t="shared" si="146"/>
        <v>789093.58836505224</v>
      </c>
      <c r="AO330" s="196">
        <f t="shared" si="146"/>
        <v>789093.58836505224</v>
      </c>
      <c r="AP330" s="196">
        <f t="shared" si="146"/>
        <v>63980.561218788018</v>
      </c>
      <c r="AQ330" s="196">
        <f t="shared" si="146"/>
        <v>63980.561218788018</v>
      </c>
      <c r="AR330" s="196">
        <f t="shared" si="146"/>
        <v>0</v>
      </c>
      <c r="AS330" s="196">
        <f t="shared" si="146"/>
        <v>0</v>
      </c>
      <c r="AT330" s="196">
        <f t="shared" si="146"/>
        <v>0</v>
      </c>
      <c r="AU330" s="196">
        <f t="shared" si="146"/>
        <v>0</v>
      </c>
      <c r="AV330" s="196">
        <f t="shared" si="146"/>
        <v>0</v>
      </c>
      <c r="AW330" s="196">
        <f t="shared" si="146"/>
        <v>0</v>
      </c>
      <c r="AX330" s="196">
        <f t="shared" si="146"/>
        <v>0</v>
      </c>
      <c r="AY330" s="196">
        <f t="shared" si="146"/>
        <v>0</v>
      </c>
      <c r="AZ330" s="196">
        <f t="shared" si="146"/>
        <v>0</v>
      </c>
      <c r="BA330" s="196">
        <f t="shared" si="146"/>
        <v>0</v>
      </c>
      <c r="BB330" s="196">
        <f t="shared" si="146"/>
        <v>0</v>
      </c>
      <c r="BC330" s="196">
        <f t="shared" si="146"/>
        <v>0</v>
      </c>
      <c r="BD330" s="196">
        <f t="shared" si="146"/>
        <v>0</v>
      </c>
      <c r="BE330" s="196">
        <f t="shared" si="146"/>
        <v>0</v>
      </c>
      <c r="BF330" s="196">
        <f t="shared" si="146"/>
        <v>0</v>
      </c>
      <c r="BG330" s="196">
        <f t="shared" si="146"/>
        <v>0</v>
      </c>
      <c r="BH330" s="196">
        <f t="shared" si="146"/>
        <v>0</v>
      </c>
      <c r="BI330" s="196">
        <f t="shared" si="146"/>
        <v>0</v>
      </c>
      <c r="BJ330" s="196">
        <f t="shared" si="146"/>
        <v>0</v>
      </c>
      <c r="BK330" s="196">
        <f t="shared" si="146"/>
        <v>0</v>
      </c>
      <c r="BL330" s="196">
        <f t="shared" si="146"/>
        <v>0</v>
      </c>
      <c r="BM330" s="196">
        <f t="shared" si="146"/>
        <v>0</v>
      </c>
      <c r="BN330" s="196">
        <f t="shared" si="146"/>
        <v>0</v>
      </c>
      <c r="BO330" s="196">
        <f t="shared" si="146"/>
        <v>0</v>
      </c>
      <c r="BP330" s="196">
        <f t="shared" si="146"/>
        <v>0</v>
      </c>
      <c r="BQ330" s="196">
        <f t="shared" si="146"/>
        <v>0</v>
      </c>
      <c r="BR330" s="196">
        <f t="shared" si="146"/>
        <v>0</v>
      </c>
      <c r="BS330" s="196">
        <f t="shared" si="146"/>
        <v>0</v>
      </c>
      <c r="BT330" s="196">
        <f t="shared" si="146"/>
        <v>0</v>
      </c>
      <c r="BU330" s="196">
        <f t="shared" si="146"/>
        <v>0</v>
      </c>
      <c r="BV330" s="196">
        <f t="shared" si="146"/>
        <v>0</v>
      </c>
      <c r="BW330" s="196">
        <f t="shared" si="146"/>
        <v>0</v>
      </c>
      <c r="BX330" s="196">
        <f t="shared" si="146"/>
        <v>0</v>
      </c>
      <c r="BY330" s="196">
        <f t="shared" si="146"/>
        <v>0</v>
      </c>
      <c r="BZ330" s="196">
        <f t="shared" si="146"/>
        <v>0</v>
      </c>
      <c r="CA330" s="196">
        <f t="shared" si="146"/>
        <v>0</v>
      </c>
      <c r="CB330" s="196">
        <f t="shared" si="146"/>
        <v>0</v>
      </c>
      <c r="CC330" s="196">
        <f t="shared" si="146"/>
        <v>0</v>
      </c>
      <c r="CD330" s="196">
        <f t="shared" si="146"/>
        <v>0</v>
      </c>
      <c r="CE330" s="196">
        <f t="shared" si="146"/>
        <v>0</v>
      </c>
    </row>
    <row r="331" spans="3:83" hidden="1" outlineLevel="1" x14ac:dyDescent="0.3">
      <c r="AA331" s="195"/>
      <c r="AD331" s="192" t="s">
        <v>235</v>
      </c>
      <c r="AG331" s="196">
        <f>SUMIF($AD$339:$AD$350,$AD331,AG$339:AG$350)</f>
        <v>0</v>
      </c>
      <c r="AH331" s="196">
        <f t="shared" si="146"/>
        <v>0</v>
      </c>
      <c r="AI331" s="196">
        <f t="shared" si="146"/>
        <v>0</v>
      </c>
      <c r="AJ331" s="196">
        <f t="shared" si="146"/>
        <v>1601352.3937009159</v>
      </c>
      <c r="AK331" s="196">
        <f t="shared" si="146"/>
        <v>1624786.4309155978</v>
      </c>
      <c r="AL331" s="196">
        <f t="shared" si="146"/>
        <v>1635755.0953501621</v>
      </c>
      <c r="AM331" s="196">
        <f t="shared" si="146"/>
        <v>1636887.7871156838</v>
      </c>
      <c r="AN331" s="196">
        <f t="shared" si="146"/>
        <v>1661575.1748519249</v>
      </c>
      <c r="AO331" s="196">
        <f t="shared" si="146"/>
        <v>830787.58742596244</v>
      </c>
      <c r="AP331" s="196">
        <f t="shared" si="146"/>
        <v>830787.58742596244</v>
      </c>
      <c r="AQ331" s="196">
        <f t="shared" si="146"/>
        <v>830787.58742596244</v>
      </c>
      <c r="AR331" s="196">
        <f t="shared" si="146"/>
        <v>0</v>
      </c>
      <c r="AS331" s="196">
        <f t="shared" si="146"/>
        <v>0</v>
      </c>
      <c r="AT331" s="196">
        <f t="shared" si="146"/>
        <v>0</v>
      </c>
      <c r="AU331" s="196">
        <f t="shared" si="146"/>
        <v>0</v>
      </c>
      <c r="AV331" s="196">
        <f t="shared" si="146"/>
        <v>0</v>
      </c>
      <c r="AW331" s="196">
        <f t="shared" si="146"/>
        <v>0</v>
      </c>
      <c r="AX331" s="196">
        <f t="shared" si="146"/>
        <v>0</v>
      </c>
      <c r="AY331" s="196">
        <f t="shared" si="146"/>
        <v>0</v>
      </c>
      <c r="AZ331" s="196">
        <f t="shared" si="146"/>
        <v>0</v>
      </c>
      <c r="BA331" s="196">
        <f t="shared" si="146"/>
        <v>0</v>
      </c>
      <c r="BB331" s="196">
        <f t="shared" si="146"/>
        <v>0</v>
      </c>
      <c r="BC331" s="196">
        <f t="shared" si="146"/>
        <v>0</v>
      </c>
      <c r="BD331" s="196">
        <f t="shared" si="146"/>
        <v>0</v>
      </c>
      <c r="BE331" s="196">
        <f t="shared" si="146"/>
        <v>0</v>
      </c>
      <c r="BF331" s="196">
        <f t="shared" si="146"/>
        <v>0</v>
      </c>
      <c r="BG331" s="196">
        <f t="shared" si="146"/>
        <v>0</v>
      </c>
      <c r="BH331" s="196">
        <f t="shared" si="146"/>
        <v>0</v>
      </c>
      <c r="BI331" s="196">
        <f t="shared" si="146"/>
        <v>0</v>
      </c>
      <c r="BJ331" s="196">
        <f t="shared" si="146"/>
        <v>0</v>
      </c>
      <c r="BK331" s="196">
        <f t="shared" si="146"/>
        <v>0</v>
      </c>
      <c r="BL331" s="196">
        <f t="shared" si="146"/>
        <v>0</v>
      </c>
      <c r="BM331" s="196">
        <f t="shared" si="146"/>
        <v>0</v>
      </c>
      <c r="BN331" s="196">
        <f t="shared" si="146"/>
        <v>0</v>
      </c>
      <c r="BO331" s="196">
        <f t="shared" si="146"/>
        <v>0</v>
      </c>
      <c r="BP331" s="196">
        <f t="shared" si="146"/>
        <v>0</v>
      </c>
      <c r="BQ331" s="196">
        <f t="shared" si="146"/>
        <v>0</v>
      </c>
      <c r="BR331" s="196">
        <f t="shared" si="146"/>
        <v>0</v>
      </c>
      <c r="BS331" s="196">
        <f t="shared" si="146"/>
        <v>0</v>
      </c>
      <c r="BT331" s="196">
        <f t="shared" si="146"/>
        <v>0</v>
      </c>
      <c r="BU331" s="196">
        <f t="shared" si="146"/>
        <v>0</v>
      </c>
      <c r="BV331" s="196">
        <f t="shared" si="146"/>
        <v>0</v>
      </c>
      <c r="BW331" s="196">
        <f t="shared" si="146"/>
        <v>0</v>
      </c>
      <c r="BX331" s="196">
        <f t="shared" si="146"/>
        <v>0</v>
      </c>
      <c r="BY331" s="196">
        <f t="shared" si="146"/>
        <v>0</v>
      </c>
      <c r="BZ331" s="196">
        <f t="shared" si="146"/>
        <v>0</v>
      </c>
      <c r="CA331" s="196">
        <f t="shared" si="146"/>
        <v>0</v>
      </c>
      <c r="CB331" s="196">
        <f t="shared" si="146"/>
        <v>0</v>
      </c>
      <c r="CC331" s="196">
        <f t="shared" si="146"/>
        <v>0</v>
      </c>
      <c r="CD331" s="196">
        <f t="shared" si="146"/>
        <v>0</v>
      </c>
      <c r="CE331" s="196">
        <f t="shared" si="146"/>
        <v>0</v>
      </c>
    </row>
    <row r="332" spans="3:83" hidden="1" outlineLevel="1" x14ac:dyDescent="0.3"/>
    <row r="333" spans="3:83" ht="14.4" hidden="1" outlineLevel="1" thickBot="1" x14ac:dyDescent="0.35">
      <c r="AA333" s="221" t="s">
        <v>66</v>
      </c>
      <c r="AB333" s="222"/>
      <c r="AC333" s="222"/>
      <c r="AD333" s="222"/>
      <c r="AE333" s="222"/>
      <c r="AF333" s="222"/>
      <c r="AG333" s="223">
        <f>SUM(AG328:AG331)</f>
        <v>0</v>
      </c>
      <c r="AH333" s="223">
        <f t="shared" ref="AH333:CE333" si="148">SUM(AH328:AH331)</f>
        <v>0</v>
      </c>
      <c r="AI333" s="223">
        <f t="shared" si="148"/>
        <v>0</v>
      </c>
      <c r="AJ333" s="223">
        <f t="shared" si="148"/>
        <v>6719267.2445740774</v>
      </c>
      <c r="AK333" s="223">
        <f t="shared" si="148"/>
        <v>6817596.3564448478</v>
      </c>
      <c r="AL333" s="223">
        <f t="shared" si="148"/>
        <v>6863620.8217291944</v>
      </c>
      <c r="AM333" s="223">
        <f t="shared" si="148"/>
        <v>6868373.5911434758</v>
      </c>
      <c r="AN333" s="223">
        <f t="shared" si="148"/>
        <v>6971961.7560113305</v>
      </c>
      <c r="AO333" s="223">
        <f t="shared" si="148"/>
        <v>3965835.0871465756</v>
      </c>
      <c r="AP333" s="223">
        <f t="shared" si="148"/>
        <v>894768.14864475047</v>
      </c>
      <c r="AQ333" s="223">
        <f t="shared" si="148"/>
        <v>894768.14864475047</v>
      </c>
      <c r="AR333" s="223">
        <f t="shared" si="148"/>
        <v>0</v>
      </c>
      <c r="AS333" s="223">
        <f t="shared" si="148"/>
        <v>0</v>
      </c>
      <c r="AT333" s="223">
        <f t="shared" si="148"/>
        <v>0</v>
      </c>
      <c r="AU333" s="223">
        <f t="shared" si="148"/>
        <v>0</v>
      </c>
      <c r="AV333" s="223">
        <f t="shared" si="148"/>
        <v>0</v>
      </c>
      <c r="AW333" s="223">
        <f t="shared" si="148"/>
        <v>0</v>
      </c>
      <c r="AX333" s="223">
        <f t="shared" si="148"/>
        <v>0</v>
      </c>
      <c r="AY333" s="223">
        <f t="shared" si="148"/>
        <v>0</v>
      </c>
      <c r="AZ333" s="223">
        <f t="shared" si="148"/>
        <v>0</v>
      </c>
      <c r="BA333" s="223">
        <f t="shared" si="148"/>
        <v>0</v>
      </c>
      <c r="BB333" s="223">
        <f t="shared" si="148"/>
        <v>0</v>
      </c>
      <c r="BC333" s="223">
        <f t="shared" si="148"/>
        <v>0</v>
      </c>
      <c r="BD333" s="223">
        <f t="shared" si="148"/>
        <v>0</v>
      </c>
      <c r="BE333" s="223">
        <f t="shared" si="148"/>
        <v>0</v>
      </c>
      <c r="BF333" s="223">
        <f t="shared" si="148"/>
        <v>0</v>
      </c>
      <c r="BG333" s="223">
        <f t="shared" si="148"/>
        <v>0</v>
      </c>
      <c r="BH333" s="223">
        <f t="shared" si="148"/>
        <v>0</v>
      </c>
      <c r="BI333" s="223">
        <f t="shared" si="148"/>
        <v>0</v>
      </c>
      <c r="BJ333" s="223">
        <f t="shared" si="148"/>
        <v>0</v>
      </c>
      <c r="BK333" s="223">
        <f t="shared" si="148"/>
        <v>0</v>
      </c>
      <c r="BL333" s="223">
        <f t="shared" si="148"/>
        <v>0</v>
      </c>
      <c r="BM333" s="223">
        <f t="shared" si="148"/>
        <v>0</v>
      </c>
      <c r="BN333" s="223">
        <f t="shared" si="148"/>
        <v>0</v>
      </c>
      <c r="BO333" s="223">
        <f t="shared" si="148"/>
        <v>0</v>
      </c>
      <c r="BP333" s="223">
        <f t="shared" si="148"/>
        <v>0</v>
      </c>
      <c r="BQ333" s="223">
        <f t="shared" si="148"/>
        <v>0</v>
      </c>
      <c r="BR333" s="223">
        <f t="shared" si="148"/>
        <v>0</v>
      </c>
      <c r="BS333" s="223">
        <f t="shared" si="148"/>
        <v>0</v>
      </c>
      <c r="BT333" s="223">
        <f t="shared" si="148"/>
        <v>0</v>
      </c>
      <c r="BU333" s="223">
        <f t="shared" si="148"/>
        <v>0</v>
      </c>
      <c r="BV333" s="223">
        <f t="shared" si="148"/>
        <v>0</v>
      </c>
      <c r="BW333" s="223">
        <f t="shared" si="148"/>
        <v>0</v>
      </c>
      <c r="BX333" s="223">
        <f t="shared" si="148"/>
        <v>0</v>
      </c>
      <c r="BY333" s="223">
        <f t="shared" si="148"/>
        <v>0</v>
      </c>
      <c r="BZ333" s="223">
        <f t="shared" si="148"/>
        <v>0</v>
      </c>
      <c r="CA333" s="223">
        <f t="shared" si="148"/>
        <v>0</v>
      </c>
      <c r="CB333" s="223">
        <f t="shared" si="148"/>
        <v>0</v>
      </c>
      <c r="CC333" s="223">
        <f t="shared" si="148"/>
        <v>0</v>
      </c>
      <c r="CD333" s="223">
        <f t="shared" si="148"/>
        <v>0</v>
      </c>
      <c r="CE333" s="223">
        <f t="shared" si="148"/>
        <v>0</v>
      </c>
    </row>
    <row r="334" spans="3:83" hidden="1" outlineLevel="1" x14ac:dyDescent="0.3">
      <c r="AA334" s="217"/>
      <c r="AB334" s="199"/>
      <c r="AC334" s="199"/>
      <c r="AD334" s="199"/>
      <c r="AE334" s="199"/>
      <c r="AF334" s="199"/>
      <c r="AG334" s="224"/>
      <c r="AH334" s="224"/>
      <c r="AI334" s="224"/>
      <c r="AJ334" s="224"/>
      <c r="AK334" s="224"/>
      <c r="AL334" s="224"/>
      <c r="AM334" s="224"/>
      <c r="AN334" s="224"/>
      <c r="AO334" s="224"/>
      <c r="AP334" s="224"/>
      <c r="AQ334" s="224"/>
      <c r="AR334" s="224"/>
      <c r="AS334" s="224"/>
      <c r="AT334" s="224"/>
      <c r="AU334" s="224"/>
      <c r="AV334" s="224"/>
      <c r="AW334" s="224"/>
      <c r="AX334" s="224"/>
      <c r="AY334" s="224"/>
      <c r="AZ334" s="224"/>
      <c r="BA334" s="224"/>
      <c r="BB334" s="224"/>
      <c r="BC334" s="224"/>
      <c r="BD334" s="224"/>
      <c r="BE334" s="224"/>
      <c r="BF334" s="224"/>
      <c r="BG334" s="224"/>
      <c r="BH334" s="224"/>
      <c r="BI334" s="224"/>
      <c r="BJ334" s="224"/>
      <c r="BK334" s="224"/>
      <c r="BL334" s="224"/>
      <c r="BM334" s="224"/>
      <c r="BN334" s="224"/>
      <c r="BO334" s="224"/>
      <c r="BP334" s="224"/>
      <c r="BQ334" s="224"/>
      <c r="BR334" s="224"/>
      <c r="BS334" s="224"/>
      <c r="BT334" s="224"/>
      <c r="BU334" s="224"/>
      <c r="BV334" s="224"/>
      <c r="BW334" s="224"/>
      <c r="BX334" s="224"/>
      <c r="BY334" s="224"/>
      <c r="BZ334" s="224"/>
      <c r="CA334" s="224"/>
      <c r="CB334" s="224"/>
      <c r="CC334" s="224"/>
      <c r="CD334" s="224"/>
      <c r="CE334" s="224"/>
    </row>
    <row r="335" spans="3:83" hidden="1" outlineLevel="1" x14ac:dyDescent="0.3">
      <c r="AA335" s="195" t="str">
        <f>Assumptions!$C$29</f>
        <v>Shareholder WACC</v>
      </c>
      <c r="AB335" s="199"/>
      <c r="AC335" s="199"/>
      <c r="AD335" s="199"/>
      <c r="AE335" s="199"/>
      <c r="AF335" s="199"/>
      <c r="AG335" s="225">
        <f>Assumptions!R$33</f>
        <v>0</v>
      </c>
      <c r="AH335" s="225">
        <f>Assumptions!S$33</f>
        <v>0</v>
      </c>
      <c r="AI335" s="225">
        <f>Assumptions!T$33</f>
        <v>3.44E-2</v>
      </c>
      <c r="AJ335" s="225">
        <f>Assumptions!U$33</f>
        <v>3.44E-2</v>
      </c>
      <c r="AK335" s="225">
        <f>Assumptions!V$33</f>
        <v>3.44E-2</v>
      </c>
      <c r="AL335" s="225">
        <f>Assumptions!W$33</f>
        <v>3.44E-2</v>
      </c>
      <c r="AM335" s="225">
        <f>Assumptions!X$33</f>
        <v>3.44E-2</v>
      </c>
      <c r="AN335" s="225">
        <f>Assumptions!Y$33</f>
        <v>3.44E-2</v>
      </c>
      <c r="AO335" s="225">
        <f>Assumptions!Z$33</f>
        <v>3.44E-2</v>
      </c>
      <c r="AP335" s="225">
        <f>Assumptions!AA$33</f>
        <v>3.44E-2</v>
      </c>
      <c r="AQ335" s="225">
        <f>Assumptions!AB$33</f>
        <v>3.44E-2</v>
      </c>
      <c r="AR335" s="225">
        <f>Assumptions!AC$33</f>
        <v>3.44E-2</v>
      </c>
      <c r="AS335" s="225">
        <f>Assumptions!AD$33</f>
        <v>3.44E-2</v>
      </c>
      <c r="AT335" s="225">
        <f>Assumptions!AE$33</f>
        <v>3.44E-2</v>
      </c>
      <c r="AU335" s="225">
        <f>Assumptions!AF$33</f>
        <v>3.44E-2</v>
      </c>
      <c r="AV335" s="225">
        <f>Assumptions!AG$33</f>
        <v>3.44E-2</v>
      </c>
      <c r="AW335" s="225">
        <f>Assumptions!AH$33</f>
        <v>3.44E-2</v>
      </c>
      <c r="AX335" s="225">
        <f>Assumptions!AI$33</f>
        <v>3.44E-2</v>
      </c>
      <c r="AY335" s="225">
        <f>Assumptions!AJ$33</f>
        <v>3.44E-2</v>
      </c>
      <c r="AZ335" s="225">
        <f>Assumptions!AK$33</f>
        <v>3.44E-2</v>
      </c>
      <c r="BA335" s="225">
        <f>Assumptions!AL$33</f>
        <v>3.44E-2</v>
      </c>
      <c r="BB335" s="225">
        <f>Assumptions!AM$33</f>
        <v>3.44E-2</v>
      </c>
      <c r="BC335" s="225">
        <f>Assumptions!AN$33</f>
        <v>3.44E-2</v>
      </c>
      <c r="BD335" s="225">
        <f>Assumptions!AO$33</f>
        <v>3.44E-2</v>
      </c>
      <c r="BE335" s="225">
        <f>Assumptions!AP$33</f>
        <v>3.44E-2</v>
      </c>
      <c r="BF335" s="225">
        <f>Assumptions!AQ$33</f>
        <v>3.44E-2</v>
      </c>
      <c r="BG335" s="225">
        <f>Assumptions!AR$33</f>
        <v>3.44E-2</v>
      </c>
      <c r="BH335" s="225">
        <f>Assumptions!AS$33</f>
        <v>3.44E-2</v>
      </c>
      <c r="BI335" s="225">
        <f>Assumptions!AT$33</f>
        <v>3.44E-2</v>
      </c>
      <c r="BJ335" s="225">
        <f>Assumptions!AU$33</f>
        <v>3.44E-2</v>
      </c>
      <c r="BK335" s="225">
        <f>Assumptions!AV$33</f>
        <v>3.44E-2</v>
      </c>
      <c r="BL335" s="225">
        <f>Assumptions!AW$33</f>
        <v>3.44E-2</v>
      </c>
      <c r="BM335" s="225">
        <f>Assumptions!AX$33</f>
        <v>3.44E-2</v>
      </c>
      <c r="BN335" s="225">
        <f>Assumptions!AY$33</f>
        <v>3.44E-2</v>
      </c>
      <c r="BO335" s="225">
        <f>Assumptions!AZ$33</f>
        <v>3.44E-2</v>
      </c>
      <c r="BP335" s="225">
        <f>Assumptions!BA$33</f>
        <v>3.44E-2</v>
      </c>
      <c r="BQ335" s="225">
        <f>Assumptions!BB$33</f>
        <v>3.44E-2</v>
      </c>
      <c r="BR335" s="225">
        <f>Assumptions!BC$33</f>
        <v>3.44E-2</v>
      </c>
      <c r="BS335" s="225">
        <f>Assumptions!BD$33</f>
        <v>3.44E-2</v>
      </c>
      <c r="BT335" s="225">
        <f>Assumptions!BE$33</f>
        <v>3.44E-2</v>
      </c>
      <c r="BU335" s="225">
        <f>Assumptions!BF$33</f>
        <v>3.44E-2</v>
      </c>
      <c r="BV335" s="225">
        <f>Assumptions!BG$33</f>
        <v>3.44E-2</v>
      </c>
      <c r="BW335" s="225">
        <f>Assumptions!BH$33</f>
        <v>3.44E-2</v>
      </c>
      <c r="BX335" s="225">
        <f>Assumptions!BI$33</f>
        <v>3.44E-2</v>
      </c>
      <c r="BY335" s="225">
        <f>Assumptions!BJ$33</f>
        <v>3.44E-2</v>
      </c>
      <c r="BZ335" s="225">
        <f>Assumptions!BK$33</f>
        <v>3.44E-2</v>
      </c>
      <c r="CA335" s="225">
        <f>Assumptions!BL$33</f>
        <v>3.44E-2</v>
      </c>
      <c r="CB335" s="225">
        <f>Assumptions!BM$33</f>
        <v>3.44E-2</v>
      </c>
      <c r="CC335" s="225">
        <f>Assumptions!BN$33</f>
        <v>3.44E-2</v>
      </c>
      <c r="CD335" s="225">
        <f>Assumptions!BO$33</f>
        <v>3.44E-2</v>
      </c>
      <c r="CE335" s="225">
        <f>Assumptions!BP$33</f>
        <v>3.44E-2</v>
      </c>
    </row>
    <row r="336" spans="3:83" hidden="1" outlineLevel="1" x14ac:dyDescent="0.3">
      <c r="AA336" s="217"/>
      <c r="AB336" s="199"/>
      <c r="AC336" s="199"/>
      <c r="AD336" s="199"/>
      <c r="AE336" s="199"/>
      <c r="AF336" s="199"/>
      <c r="AG336" s="224"/>
      <c r="AH336" s="224"/>
      <c r="AI336" s="224"/>
      <c r="AJ336" s="224"/>
      <c r="AK336" s="224"/>
      <c r="AL336" s="224"/>
      <c r="AM336" s="224"/>
      <c r="AN336" s="224"/>
      <c r="AO336" s="224"/>
      <c r="AP336" s="224"/>
      <c r="AQ336" s="224"/>
      <c r="AR336" s="224"/>
      <c r="AS336" s="224"/>
      <c r="AT336" s="224"/>
      <c r="AU336" s="224"/>
      <c r="AV336" s="224"/>
      <c r="AW336" s="224"/>
      <c r="AX336" s="224"/>
      <c r="AY336" s="224"/>
      <c r="AZ336" s="224"/>
      <c r="BA336" s="224"/>
      <c r="BB336" s="224"/>
      <c r="BC336" s="224"/>
      <c r="BD336" s="224"/>
      <c r="BE336" s="224"/>
      <c r="BF336" s="224"/>
      <c r="BG336" s="224"/>
      <c r="BH336" s="224"/>
      <c r="BI336" s="224"/>
      <c r="BJ336" s="224"/>
      <c r="BK336" s="224"/>
      <c r="BL336" s="224"/>
      <c r="BM336" s="224"/>
      <c r="BN336" s="224"/>
      <c r="BO336" s="224"/>
      <c r="BP336" s="224"/>
      <c r="BQ336" s="224"/>
      <c r="BR336" s="224"/>
      <c r="BS336" s="224"/>
      <c r="BT336" s="224"/>
      <c r="BU336" s="224"/>
      <c r="BV336" s="224"/>
      <c r="BW336" s="224"/>
      <c r="BX336" s="224"/>
      <c r="BY336" s="224"/>
      <c r="BZ336" s="224"/>
      <c r="CA336" s="224"/>
      <c r="CB336" s="224"/>
      <c r="CC336" s="224"/>
      <c r="CD336" s="224"/>
      <c r="CE336" s="224"/>
    </row>
    <row r="337" spans="27:83" hidden="1" outlineLevel="1" x14ac:dyDescent="0.3">
      <c r="AA337" s="192" t="s">
        <v>236</v>
      </c>
      <c r="AD337" s="192" t="s">
        <v>236</v>
      </c>
      <c r="AG337" s="196">
        <f t="shared" ref="AG337:BL337" si="149">-$R$22*AG335/(1+AG335)</f>
        <v>0</v>
      </c>
      <c r="AH337" s="196">
        <f t="shared" si="149"/>
        <v>0</v>
      </c>
      <c r="AI337" s="196">
        <f t="shared" si="149"/>
        <v>391034.44553393911</v>
      </c>
      <c r="AJ337" s="196">
        <f t="shared" si="149"/>
        <v>391034.44553393911</v>
      </c>
      <c r="AK337" s="196">
        <f t="shared" si="149"/>
        <v>391034.44553393911</v>
      </c>
      <c r="AL337" s="196">
        <f t="shared" si="149"/>
        <v>391034.44553393911</v>
      </c>
      <c r="AM337" s="196">
        <f t="shared" si="149"/>
        <v>391034.44553393911</v>
      </c>
      <c r="AN337" s="196">
        <f t="shared" si="149"/>
        <v>391034.44553393911</v>
      </c>
      <c r="AO337" s="196">
        <f t="shared" si="149"/>
        <v>391034.44553393911</v>
      </c>
      <c r="AP337" s="196">
        <f t="shared" si="149"/>
        <v>391034.44553393911</v>
      </c>
      <c r="AQ337" s="196">
        <f t="shared" si="149"/>
        <v>391034.44553393911</v>
      </c>
      <c r="AR337" s="196">
        <f t="shared" si="149"/>
        <v>391034.44553393911</v>
      </c>
      <c r="AS337" s="196">
        <f t="shared" si="149"/>
        <v>391034.44553393911</v>
      </c>
      <c r="AT337" s="196">
        <f t="shared" si="149"/>
        <v>391034.44553393911</v>
      </c>
      <c r="AU337" s="196">
        <f t="shared" si="149"/>
        <v>391034.44553393911</v>
      </c>
      <c r="AV337" s="196">
        <f t="shared" si="149"/>
        <v>391034.44553393911</v>
      </c>
      <c r="AW337" s="196">
        <f t="shared" si="149"/>
        <v>391034.44553393911</v>
      </c>
      <c r="AX337" s="196">
        <f t="shared" si="149"/>
        <v>391034.44553393911</v>
      </c>
      <c r="AY337" s="196">
        <f t="shared" si="149"/>
        <v>391034.44553393911</v>
      </c>
      <c r="AZ337" s="196">
        <f t="shared" si="149"/>
        <v>391034.44553393911</v>
      </c>
      <c r="BA337" s="196">
        <f t="shared" si="149"/>
        <v>391034.44553393911</v>
      </c>
      <c r="BB337" s="196">
        <f t="shared" si="149"/>
        <v>391034.44553393911</v>
      </c>
      <c r="BC337" s="196">
        <f t="shared" si="149"/>
        <v>391034.44553393911</v>
      </c>
      <c r="BD337" s="196">
        <f t="shared" si="149"/>
        <v>391034.44553393911</v>
      </c>
      <c r="BE337" s="196">
        <f t="shared" si="149"/>
        <v>391034.44553393911</v>
      </c>
      <c r="BF337" s="196">
        <f t="shared" si="149"/>
        <v>391034.44553393911</v>
      </c>
      <c r="BG337" s="196">
        <f t="shared" si="149"/>
        <v>391034.44553393911</v>
      </c>
      <c r="BH337" s="196">
        <f t="shared" si="149"/>
        <v>391034.44553393911</v>
      </c>
      <c r="BI337" s="196">
        <f t="shared" si="149"/>
        <v>391034.44553393911</v>
      </c>
      <c r="BJ337" s="196">
        <f t="shared" si="149"/>
        <v>391034.44553393911</v>
      </c>
      <c r="BK337" s="196">
        <f t="shared" si="149"/>
        <v>391034.44553393911</v>
      </c>
      <c r="BL337" s="196">
        <f t="shared" si="149"/>
        <v>391034.44553393911</v>
      </c>
      <c r="BM337" s="196">
        <f t="shared" ref="BM337:CE337" si="150">-$R$22*BM335/(1+BM335)</f>
        <v>391034.44553393911</v>
      </c>
      <c r="BN337" s="196">
        <f t="shared" si="150"/>
        <v>391034.44553393911</v>
      </c>
      <c r="BO337" s="196">
        <f t="shared" si="150"/>
        <v>391034.44553393911</v>
      </c>
      <c r="BP337" s="196">
        <f t="shared" si="150"/>
        <v>391034.44553393911</v>
      </c>
      <c r="BQ337" s="196">
        <f t="shared" si="150"/>
        <v>391034.44553393911</v>
      </c>
      <c r="BR337" s="196">
        <f t="shared" si="150"/>
        <v>391034.44553393911</v>
      </c>
      <c r="BS337" s="196">
        <f t="shared" si="150"/>
        <v>391034.44553393911</v>
      </c>
      <c r="BT337" s="196">
        <f t="shared" si="150"/>
        <v>391034.44553393911</v>
      </c>
      <c r="BU337" s="196">
        <f t="shared" si="150"/>
        <v>391034.44553393911</v>
      </c>
      <c r="BV337" s="196">
        <f t="shared" si="150"/>
        <v>391034.44553393911</v>
      </c>
      <c r="BW337" s="196">
        <f t="shared" si="150"/>
        <v>391034.44553393911</v>
      </c>
      <c r="BX337" s="196">
        <f t="shared" si="150"/>
        <v>391034.44553393911</v>
      </c>
      <c r="BY337" s="196">
        <f t="shared" si="150"/>
        <v>391034.44553393911</v>
      </c>
      <c r="BZ337" s="196">
        <f t="shared" si="150"/>
        <v>391034.44553393911</v>
      </c>
      <c r="CA337" s="196">
        <f t="shared" si="150"/>
        <v>391034.44553393911</v>
      </c>
      <c r="CB337" s="196">
        <f t="shared" si="150"/>
        <v>391034.44553393911</v>
      </c>
      <c r="CC337" s="196">
        <f t="shared" si="150"/>
        <v>391034.44553393911</v>
      </c>
      <c r="CD337" s="196">
        <f t="shared" si="150"/>
        <v>391034.44553393911</v>
      </c>
      <c r="CE337" s="196">
        <f t="shared" si="150"/>
        <v>391034.44553393911</v>
      </c>
    </row>
    <row r="338" spans="27:83" hidden="1" outlineLevel="1" x14ac:dyDescent="0.3"/>
    <row r="339" spans="27:83" hidden="1" outlineLevel="1" x14ac:dyDescent="0.3">
      <c r="AA339" s="192" t="s">
        <v>35</v>
      </c>
      <c r="AD339" s="192" t="s">
        <v>232</v>
      </c>
      <c r="AG339" s="226">
        <f>SUMIF(Calcs!$J$221:$J$290,$AA339,Calcs!R$221:R$290)</f>
        <v>0</v>
      </c>
      <c r="AH339" s="226">
        <f>SUMIF(Calcs!$J$221:$J$290,$AA339,Calcs!S$221:S$290)</f>
        <v>0</v>
      </c>
      <c r="AI339" s="226">
        <f>SUMIF(Calcs!$J$221:$J$290,$AA339,Calcs!T$221:T$290)</f>
        <v>0</v>
      </c>
      <c r="AJ339" s="226">
        <f>SUMIF(Calcs!$J$221:$J$290,$AA339,Calcs!U$221:U$290)</f>
        <v>4357421.4794582743</v>
      </c>
      <c r="AK339" s="226">
        <f>SUMIF(Calcs!$J$221:$J$290,$AA339,Calcs!V$221:V$290)</f>
        <v>4421187.5671172729</v>
      </c>
      <c r="AL339" s="226">
        <f>SUMIF(Calcs!$J$221:$J$290,$AA339,Calcs!W$221:W$290)</f>
        <v>4451034.2730616657</v>
      </c>
      <c r="AM339" s="226">
        <f>SUMIF(Calcs!$J$221:$J$290,$AA339,Calcs!X$221:X$290)</f>
        <v>4454116.4275256703</v>
      </c>
      <c r="AN339" s="226">
        <f>SUMIF(Calcs!$J$221:$J$290,$AA339,Calcs!Y$221:Y$290)</f>
        <v>4521292.9927943535</v>
      </c>
      <c r="AO339" s="226">
        <f>SUMIF(Calcs!$J$221:$J$290,$AA339,Calcs!Z$221:Z$290)</f>
        <v>2345953.9113555606</v>
      </c>
      <c r="AP339" s="226">
        <f>SUMIF(Calcs!$J$221:$J$290,$AA339,Calcs!AA$221:AA$290)</f>
        <v>0</v>
      </c>
      <c r="AQ339" s="226">
        <f>SUMIF(Calcs!$J$221:$J$290,$AA339,Calcs!AB$221:AB$290)</f>
        <v>0</v>
      </c>
      <c r="AR339" s="226">
        <f>SUMIF(Calcs!$J$221:$J$290,$AA339,Calcs!AC$221:AC$290)</f>
        <v>0</v>
      </c>
      <c r="AS339" s="226">
        <f>SUMIF(Calcs!$J$221:$J$290,$AA339,Calcs!AD$221:AD$290)</f>
        <v>0</v>
      </c>
      <c r="AT339" s="226">
        <f>SUMIF(Calcs!$J$221:$J$290,$AA339,Calcs!AE$221:AE$290)</f>
        <v>0</v>
      </c>
      <c r="AU339" s="226">
        <f>SUMIF(Calcs!$J$221:$J$290,$AA339,Calcs!AF$221:AF$290)</f>
        <v>0</v>
      </c>
      <c r="AV339" s="226">
        <f>SUMIF(Calcs!$J$221:$J$290,$AA339,Calcs!AG$221:AG$290)</f>
        <v>0</v>
      </c>
      <c r="AW339" s="226">
        <f>SUMIF(Calcs!$J$221:$J$290,$AA339,Calcs!AH$221:AH$290)</f>
        <v>0</v>
      </c>
      <c r="AX339" s="226">
        <f>SUMIF(Calcs!$J$221:$J$290,$AA339,Calcs!AI$221:AI$290)</f>
        <v>0</v>
      </c>
      <c r="AY339" s="226">
        <f>SUMIF(Calcs!$J$221:$J$290,$AA339,Calcs!AJ$221:AJ$290)</f>
        <v>0</v>
      </c>
      <c r="AZ339" s="226">
        <f>SUMIF(Calcs!$J$221:$J$290,$AA339,Calcs!AK$221:AK$290)</f>
        <v>0</v>
      </c>
      <c r="BA339" s="226">
        <f>SUMIF(Calcs!$J$221:$J$290,$AA339,Calcs!AL$221:AL$290)</f>
        <v>0</v>
      </c>
      <c r="BB339" s="226">
        <f>SUMIF(Calcs!$J$221:$J$290,$AA339,Calcs!AM$221:AM$290)</f>
        <v>0</v>
      </c>
      <c r="BC339" s="226">
        <f>SUMIF(Calcs!$J$221:$J$290,$AA339,Calcs!AN$221:AN$290)</f>
        <v>0</v>
      </c>
      <c r="BD339" s="226">
        <f>SUMIF(Calcs!$J$221:$J$290,$AA339,Calcs!AO$221:AO$290)</f>
        <v>0</v>
      </c>
      <c r="BE339" s="226">
        <f>SUMIF(Calcs!$J$221:$J$290,$AA339,Calcs!AP$221:AP$290)</f>
        <v>0</v>
      </c>
      <c r="BF339" s="226">
        <f>SUMIF(Calcs!$J$221:$J$290,$AA339,Calcs!AQ$221:AQ$290)</f>
        <v>0</v>
      </c>
      <c r="BG339" s="226">
        <f>SUMIF(Calcs!$J$221:$J$290,$AA339,Calcs!AR$221:AR$290)</f>
        <v>0</v>
      </c>
      <c r="BH339" s="226">
        <f>SUMIF(Calcs!$J$221:$J$290,$AA339,Calcs!AS$221:AS$290)</f>
        <v>0</v>
      </c>
      <c r="BI339" s="226">
        <f>SUMIF(Calcs!$J$221:$J$290,$AA339,Calcs!AT$221:AT$290)</f>
        <v>0</v>
      </c>
      <c r="BJ339" s="226">
        <f>SUMIF(Calcs!$J$221:$J$290,$AA339,Calcs!AU$221:AU$290)</f>
        <v>0</v>
      </c>
      <c r="BK339" s="226">
        <f>SUMIF(Calcs!$J$221:$J$290,$AA339,Calcs!AV$221:AV$290)</f>
        <v>0</v>
      </c>
      <c r="BL339" s="226">
        <f>SUMIF(Calcs!$J$221:$J$290,$AA339,Calcs!AW$221:AW$290)</f>
        <v>0</v>
      </c>
      <c r="BM339" s="226">
        <f>SUMIF(Calcs!$J$221:$J$290,$AA339,Calcs!AX$221:AX$290)</f>
        <v>0</v>
      </c>
      <c r="BN339" s="226">
        <f>SUMIF(Calcs!$J$221:$J$290,$AA339,Calcs!AY$221:AY$290)</f>
        <v>0</v>
      </c>
      <c r="BO339" s="226">
        <f>SUMIF(Calcs!$J$221:$J$290,$AA339,Calcs!AZ$221:AZ$290)</f>
        <v>0</v>
      </c>
      <c r="BP339" s="226">
        <f>SUMIF(Calcs!$J$221:$J$290,$AA339,Calcs!BA$221:BA$290)</f>
        <v>0</v>
      </c>
      <c r="BQ339" s="226">
        <f>SUMIF(Calcs!$J$221:$J$290,$AA339,Calcs!BB$221:BB$290)</f>
        <v>0</v>
      </c>
      <c r="BR339" s="226">
        <f>SUMIF(Calcs!$J$221:$J$290,$AA339,Calcs!BC$221:BC$290)</f>
        <v>0</v>
      </c>
      <c r="BS339" s="226">
        <f>SUMIF(Calcs!$J$221:$J$290,$AA339,Calcs!BD$221:BD$290)</f>
        <v>0</v>
      </c>
      <c r="BT339" s="226">
        <f>SUMIF(Calcs!$J$221:$J$290,$AA339,Calcs!BE$221:BE$290)</f>
        <v>0</v>
      </c>
      <c r="BU339" s="226">
        <f>SUMIF(Calcs!$J$221:$J$290,$AA339,Calcs!BF$221:BF$290)</f>
        <v>0</v>
      </c>
      <c r="BV339" s="226">
        <f>SUMIF(Calcs!$J$221:$J$290,$AA339,Calcs!BG$221:BG$290)</f>
        <v>0</v>
      </c>
      <c r="BW339" s="226">
        <f>SUMIF(Calcs!$J$221:$J$290,$AA339,Calcs!BH$221:BH$290)</f>
        <v>0</v>
      </c>
      <c r="BX339" s="226">
        <f>SUMIF(Calcs!$J$221:$J$290,$AA339,Calcs!BI$221:BI$290)</f>
        <v>0</v>
      </c>
      <c r="BY339" s="226">
        <f>SUMIF(Calcs!$J$221:$J$290,$AA339,Calcs!BJ$221:BJ$290)</f>
        <v>0</v>
      </c>
      <c r="BZ339" s="226">
        <f>SUMIF(Calcs!$J$221:$J$290,$AA339,Calcs!BK$221:BK$290)</f>
        <v>0</v>
      </c>
      <c r="CA339" s="226">
        <f>SUMIF(Calcs!$J$221:$J$290,$AA339,Calcs!BL$221:BL$290)</f>
        <v>0</v>
      </c>
      <c r="CB339" s="226">
        <f>SUMIF(Calcs!$J$221:$J$290,$AA339,Calcs!BM$221:BM$290)</f>
        <v>0</v>
      </c>
      <c r="CC339" s="226">
        <f>SUMIF(Calcs!$J$221:$J$290,$AA339,Calcs!BN$221:BN$290)</f>
        <v>0</v>
      </c>
      <c r="CD339" s="226">
        <f>SUMIF(Calcs!$J$221:$J$290,$AA339,Calcs!BO$221:BO$290)</f>
        <v>0</v>
      </c>
      <c r="CE339" s="226">
        <f>SUMIF(Calcs!$J$221:$J$290,$AA339,Calcs!BP$221:BP$290)</f>
        <v>0</v>
      </c>
    </row>
    <row r="340" spans="27:83" hidden="1" outlineLevel="1" x14ac:dyDescent="0.3">
      <c r="AA340" s="192" t="s">
        <v>36</v>
      </c>
      <c r="AD340" s="192" t="s">
        <v>234</v>
      </c>
      <c r="AG340" s="226">
        <f>SUMIF(Calcs!$J$221:$J$290,$AA340,Calcs!R$221:R$290)</f>
        <v>0</v>
      </c>
      <c r="AH340" s="226">
        <f>SUMIF(Calcs!$J$221:$J$290,$AA340,Calcs!S$221:S$290)</f>
        <v>0</v>
      </c>
      <c r="AI340" s="226">
        <f>SUMIF(Calcs!$J$221:$J$290,$AA340,Calcs!T$221:T$290)</f>
        <v>0</v>
      </c>
      <c r="AJ340" s="226">
        <f>SUMIF(Calcs!$J$221:$J$290,$AA340,Calcs!U$221:U$290)</f>
        <v>0</v>
      </c>
      <c r="AK340" s="226">
        <f>SUMIF(Calcs!$J$221:$J$290,$AA340,Calcs!V$221:V$290)</f>
        <v>0</v>
      </c>
      <c r="AL340" s="226">
        <f>SUMIF(Calcs!$J$221:$J$290,$AA340,Calcs!W$221:W$290)</f>
        <v>0</v>
      </c>
      <c r="AM340" s="226">
        <f>SUMIF(Calcs!$J$221:$J$290,$AA340,Calcs!X$221:X$290)</f>
        <v>0</v>
      </c>
      <c r="AN340" s="226">
        <f>SUMIF(Calcs!$J$221:$J$290,$AA340,Calcs!Y$221:Y$290)</f>
        <v>0</v>
      </c>
      <c r="AO340" s="226">
        <f>SUMIF(Calcs!$J$221:$J$290,$AA340,Calcs!Z$221:Z$290)</f>
        <v>0</v>
      </c>
      <c r="AP340" s="226">
        <f>SUMIF(Calcs!$J$221:$J$290,$AA340,Calcs!AA$221:AA$290)</f>
        <v>0</v>
      </c>
      <c r="AQ340" s="226">
        <f>SUMIF(Calcs!$J$221:$J$290,$AA340,Calcs!AB$221:AB$290)</f>
        <v>0</v>
      </c>
      <c r="AR340" s="226">
        <f>SUMIF(Calcs!$J$221:$J$290,$AA340,Calcs!AC$221:AC$290)</f>
        <v>0</v>
      </c>
      <c r="AS340" s="226">
        <f>SUMIF(Calcs!$J$221:$J$290,$AA340,Calcs!AD$221:AD$290)</f>
        <v>0</v>
      </c>
      <c r="AT340" s="226">
        <f>SUMIF(Calcs!$J$221:$J$290,$AA340,Calcs!AE$221:AE$290)</f>
        <v>0</v>
      </c>
      <c r="AU340" s="226">
        <f>SUMIF(Calcs!$J$221:$J$290,$AA340,Calcs!AF$221:AF$290)</f>
        <v>0</v>
      </c>
      <c r="AV340" s="226">
        <f>SUMIF(Calcs!$J$221:$J$290,$AA340,Calcs!AG$221:AG$290)</f>
        <v>0</v>
      </c>
      <c r="AW340" s="226">
        <f>SUMIF(Calcs!$J$221:$J$290,$AA340,Calcs!AH$221:AH$290)</f>
        <v>0</v>
      </c>
      <c r="AX340" s="226">
        <f>SUMIF(Calcs!$J$221:$J$290,$AA340,Calcs!AI$221:AI$290)</f>
        <v>0</v>
      </c>
      <c r="AY340" s="226">
        <f>SUMIF(Calcs!$J$221:$J$290,$AA340,Calcs!AJ$221:AJ$290)</f>
        <v>0</v>
      </c>
      <c r="AZ340" s="226">
        <f>SUMIF(Calcs!$J$221:$J$290,$AA340,Calcs!AK$221:AK$290)</f>
        <v>0</v>
      </c>
      <c r="BA340" s="226">
        <f>SUMIF(Calcs!$J$221:$J$290,$AA340,Calcs!AL$221:AL$290)</f>
        <v>0</v>
      </c>
      <c r="BB340" s="226">
        <f>SUMIF(Calcs!$J$221:$J$290,$AA340,Calcs!AM$221:AM$290)</f>
        <v>0</v>
      </c>
      <c r="BC340" s="226">
        <f>SUMIF(Calcs!$J$221:$J$290,$AA340,Calcs!AN$221:AN$290)</f>
        <v>0</v>
      </c>
      <c r="BD340" s="226">
        <f>SUMIF(Calcs!$J$221:$J$290,$AA340,Calcs!AO$221:AO$290)</f>
        <v>0</v>
      </c>
      <c r="BE340" s="226">
        <f>SUMIF(Calcs!$J$221:$J$290,$AA340,Calcs!AP$221:AP$290)</f>
        <v>0</v>
      </c>
      <c r="BF340" s="226">
        <f>SUMIF(Calcs!$J$221:$J$290,$AA340,Calcs!AQ$221:AQ$290)</f>
        <v>0</v>
      </c>
      <c r="BG340" s="226">
        <f>SUMIF(Calcs!$J$221:$J$290,$AA340,Calcs!AR$221:AR$290)</f>
        <v>0</v>
      </c>
      <c r="BH340" s="226">
        <f>SUMIF(Calcs!$J$221:$J$290,$AA340,Calcs!AS$221:AS$290)</f>
        <v>0</v>
      </c>
      <c r="BI340" s="226">
        <f>SUMIF(Calcs!$J$221:$J$290,$AA340,Calcs!AT$221:AT$290)</f>
        <v>0</v>
      </c>
      <c r="BJ340" s="226">
        <f>SUMIF(Calcs!$J$221:$J$290,$AA340,Calcs!AU$221:AU$290)</f>
        <v>0</v>
      </c>
      <c r="BK340" s="226">
        <f>SUMIF(Calcs!$J$221:$J$290,$AA340,Calcs!AV$221:AV$290)</f>
        <v>0</v>
      </c>
      <c r="BL340" s="226">
        <f>SUMIF(Calcs!$J$221:$J$290,$AA340,Calcs!AW$221:AW$290)</f>
        <v>0</v>
      </c>
      <c r="BM340" s="226">
        <f>SUMIF(Calcs!$J$221:$J$290,$AA340,Calcs!AX$221:AX$290)</f>
        <v>0</v>
      </c>
      <c r="BN340" s="226">
        <f>SUMIF(Calcs!$J$221:$J$290,$AA340,Calcs!AY$221:AY$290)</f>
        <v>0</v>
      </c>
      <c r="BO340" s="226">
        <f>SUMIF(Calcs!$J$221:$J$290,$AA340,Calcs!AZ$221:AZ$290)</f>
        <v>0</v>
      </c>
      <c r="BP340" s="226">
        <f>SUMIF(Calcs!$J$221:$J$290,$AA340,Calcs!BA$221:BA$290)</f>
        <v>0</v>
      </c>
      <c r="BQ340" s="226">
        <f>SUMIF(Calcs!$J$221:$J$290,$AA340,Calcs!BB$221:BB$290)</f>
        <v>0</v>
      </c>
      <c r="BR340" s="226">
        <f>SUMIF(Calcs!$J$221:$J$290,$AA340,Calcs!BC$221:BC$290)</f>
        <v>0</v>
      </c>
      <c r="BS340" s="226">
        <f>SUMIF(Calcs!$J$221:$J$290,$AA340,Calcs!BD$221:BD$290)</f>
        <v>0</v>
      </c>
      <c r="BT340" s="226">
        <f>SUMIF(Calcs!$J$221:$J$290,$AA340,Calcs!BE$221:BE$290)</f>
        <v>0</v>
      </c>
      <c r="BU340" s="226">
        <f>SUMIF(Calcs!$J$221:$J$290,$AA340,Calcs!BF$221:BF$290)</f>
        <v>0</v>
      </c>
      <c r="BV340" s="226">
        <f>SUMIF(Calcs!$J$221:$J$290,$AA340,Calcs!BG$221:BG$290)</f>
        <v>0</v>
      </c>
      <c r="BW340" s="226">
        <f>SUMIF(Calcs!$J$221:$J$290,$AA340,Calcs!BH$221:BH$290)</f>
        <v>0</v>
      </c>
      <c r="BX340" s="226">
        <f>SUMIF(Calcs!$J$221:$J$290,$AA340,Calcs!BI$221:BI$290)</f>
        <v>0</v>
      </c>
      <c r="BY340" s="226">
        <f>SUMIF(Calcs!$J$221:$J$290,$AA340,Calcs!BJ$221:BJ$290)</f>
        <v>0</v>
      </c>
      <c r="BZ340" s="226">
        <f>SUMIF(Calcs!$J$221:$J$290,$AA340,Calcs!BK$221:BK$290)</f>
        <v>0</v>
      </c>
      <c r="CA340" s="226">
        <f>SUMIF(Calcs!$J$221:$J$290,$AA340,Calcs!BL$221:BL$290)</f>
        <v>0</v>
      </c>
      <c r="CB340" s="226">
        <f>SUMIF(Calcs!$J$221:$J$290,$AA340,Calcs!BM$221:BM$290)</f>
        <v>0</v>
      </c>
      <c r="CC340" s="226">
        <f>SUMIF(Calcs!$J$221:$J$290,$AA340,Calcs!BN$221:BN$290)</f>
        <v>0</v>
      </c>
      <c r="CD340" s="226">
        <f>SUMIF(Calcs!$J$221:$J$290,$AA340,Calcs!BO$221:BO$290)</f>
        <v>0</v>
      </c>
      <c r="CE340" s="226">
        <f>SUMIF(Calcs!$J$221:$J$290,$AA340,Calcs!BP$221:BP$290)</f>
        <v>0</v>
      </c>
    </row>
    <row r="341" spans="27:83" hidden="1" outlineLevel="1" x14ac:dyDescent="0.3">
      <c r="AA341" s="192" t="s">
        <v>37</v>
      </c>
      <c r="AD341" s="192" t="s">
        <v>234</v>
      </c>
      <c r="AG341" s="226">
        <f>SUMIF(Calcs!$J$221:$J$290,$AA341,Calcs!R$221:R$290)</f>
        <v>0</v>
      </c>
      <c r="AH341" s="226">
        <f>SUMIF(Calcs!$J$221:$J$290,$AA341,Calcs!S$221:S$290)</f>
        <v>0</v>
      </c>
      <c r="AI341" s="226">
        <f>SUMIF(Calcs!$J$221:$J$290,$AA341,Calcs!T$221:T$290)</f>
        <v>0</v>
      </c>
      <c r="AJ341" s="226">
        <f>SUMIF(Calcs!$J$221:$J$290,$AA341,Calcs!U$221:U$290)</f>
        <v>0</v>
      </c>
      <c r="AK341" s="226">
        <f>SUMIF(Calcs!$J$221:$J$290,$AA341,Calcs!V$221:V$290)</f>
        <v>0</v>
      </c>
      <c r="AL341" s="226">
        <f>SUMIF(Calcs!$J$221:$J$290,$AA341,Calcs!W$221:W$290)</f>
        <v>0</v>
      </c>
      <c r="AM341" s="226">
        <f>SUMIF(Calcs!$J$221:$J$290,$AA341,Calcs!X$221:X$290)</f>
        <v>0</v>
      </c>
      <c r="AN341" s="226">
        <f>SUMIF(Calcs!$J$221:$J$290,$AA341,Calcs!Y$221:Y$290)</f>
        <v>0</v>
      </c>
      <c r="AO341" s="226">
        <f>SUMIF(Calcs!$J$221:$J$290,$AA341,Calcs!Z$221:Z$290)</f>
        <v>0</v>
      </c>
      <c r="AP341" s="226">
        <f>SUMIF(Calcs!$J$221:$J$290,$AA341,Calcs!AA$221:AA$290)</f>
        <v>0</v>
      </c>
      <c r="AQ341" s="226">
        <f>SUMIF(Calcs!$J$221:$J$290,$AA341,Calcs!AB$221:AB$290)</f>
        <v>0</v>
      </c>
      <c r="AR341" s="226">
        <f>SUMIF(Calcs!$J$221:$J$290,$AA341,Calcs!AC$221:AC$290)</f>
        <v>0</v>
      </c>
      <c r="AS341" s="226">
        <f>SUMIF(Calcs!$J$221:$J$290,$AA341,Calcs!AD$221:AD$290)</f>
        <v>0</v>
      </c>
      <c r="AT341" s="226">
        <f>SUMIF(Calcs!$J$221:$J$290,$AA341,Calcs!AE$221:AE$290)</f>
        <v>0</v>
      </c>
      <c r="AU341" s="226">
        <f>SUMIF(Calcs!$J$221:$J$290,$AA341,Calcs!AF$221:AF$290)</f>
        <v>0</v>
      </c>
      <c r="AV341" s="226">
        <f>SUMIF(Calcs!$J$221:$J$290,$AA341,Calcs!AG$221:AG$290)</f>
        <v>0</v>
      </c>
      <c r="AW341" s="226">
        <f>SUMIF(Calcs!$J$221:$J$290,$AA341,Calcs!AH$221:AH$290)</f>
        <v>0</v>
      </c>
      <c r="AX341" s="226">
        <f>SUMIF(Calcs!$J$221:$J$290,$AA341,Calcs!AI$221:AI$290)</f>
        <v>0</v>
      </c>
      <c r="AY341" s="226">
        <f>SUMIF(Calcs!$J$221:$J$290,$AA341,Calcs!AJ$221:AJ$290)</f>
        <v>0</v>
      </c>
      <c r="AZ341" s="226">
        <f>SUMIF(Calcs!$J$221:$J$290,$AA341,Calcs!AK$221:AK$290)</f>
        <v>0</v>
      </c>
      <c r="BA341" s="226">
        <f>SUMIF(Calcs!$J$221:$J$290,$AA341,Calcs!AL$221:AL$290)</f>
        <v>0</v>
      </c>
      <c r="BB341" s="226">
        <f>SUMIF(Calcs!$J$221:$J$290,$AA341,Calcs!AM$221:AM$290)</f>
        <v>0</v>
      </c>
      <c r="BC341" s="226">
        <f>SUMIF(Calcs!$J$221:$J$290,$AA341,Calcs!AN$221:AN$290)</f>
        <v>0</v>
      </c>
      <c r="BD341" s="226">
        <f>SUMIF(Calcs!$J$221:$J$290,$AA341,Calcs!AO$221:AO$290)</f>
        <v>0</v>
      </c>
      <c r="BE341" s="226">
        <f>SUMIF(Calcs!$J$221:$J$290,$AA341,Calcs!AP$221:AP$290)</f>
        <v>0</v>
      </c>
      <c r="BF341" s="226">
        <f>SUMIF(Calcs!$J$221:$J$290,$AA341,Calcs!AQ$221:AQ$290)</f>
        <v>0</v>
      </c>
      <c r="BG341" s="226">
        <f>SUMIF(Calcs!$J$221:$J$290,$AA341,Calcs!AR$221:AR$290)</f>
        <v>0</v>
      </c>
      <c r="BH341" s="226">
        <f>SUMIF(Calcs!$J$221:$J$290,$AA341,Calcs!AS$221:AS$290)</f>
        <v>0</v>
      </c>
      <c r="BI341" s="226">
        <f>SUMIF(Calcs!$J$221:$J$290,$AA341,Calcs!AT$221:AT$290)</f>
        <v>0</v>
      </c>
      <c r="BJ341" s="226">
        <f>SUMIF(Calcs!$J$221:$J$290,$AA341,Calcs!AU$221:AU$290)</f>
        <v>0</v>
      </c>
      <c r="BK341" s="226">
        <f>SUMIF(Calcs!$J$221:$J$290,$AA341,Calcs!AV$221:AV$290)</f>
        <v>0</v>
      </c>
      <c r="BL341" s="226">
        <f>SUMIF(Calcs!$J$221:$J$290,$AA341,Calcs!AW$221:AW$290)</f>
        <v>0</v>
      </c>
      <c r="BM341" s="226">
        <f>SUMIF(Calcs!$J$221:$J$290,$AA341,Calcs!AX$221:AX$290)</f>
        <v>0</v>
      </c>
      <c r="BN341" s="226">
        <f>SUMIF(Calcs!$J$221:$J$290,$AA341,Calcs!AY$221:AY$290)</f>
        <v>0</v>
      </c>
      <c r="BO341" s="226">
        <f>SUMIF(Calcs!$J$221:$J$290,$AA341,Calcs!AZ$221:AZ$290)</f>
        <v>0</v>
      </c>
      <c r="BP341" s="226">
        <f>SUMIF(Calcs!$J$221:$J$290,$AA341,Calcs!BA$221:BA$290)</f>
        <v>0</v>
      </c>
      <c r="BQ341" s="226">
        <f>SUMIF(Calcs!$J$221:$J$290,$AA341,Calcs!BB$221:BB$290)</f>
        <v>0</v>
      </c>
      <c r="BR341" s="226">
        <f>SUMIF(Calcs!$J$221:$J$290,$AA341,Calcs!BC$221:BC$290)</f>
        <v>0</v>
      </c>
      <c r="BS341" s="226">
        <f>SUMIF(Calcs!$J$221:$J$290,$AA341,Calcs!BD$221:BD$290)</f>
        <v>0</v>
      </c>
      <c r="BT341" s="226">
        <f>SUMIF(Calcs!$J$221:$J$290,$AA341,Calcs!BE$221:BE$290)</f>
        <v>0</v>
      </c>
      <c r="BU341" s="226">
        <f>SUMIF(Calcs!$J$221:$J$290,$AA341,Calcs!BF$221:BF$290)</f>
        <v>0</v>
      </c>
      <c r="BV341" s="226">
        <f>SUMIF(Calcs!$J$221:$J$290,$AA341,Calcs!BG$221:BG$290)</f>
        <v>0</v>
      </c>
      <c r="BW341" s="226">
        <f>SUMIF(Calcs!$J$221:$J$290,$AA341,Calcs!BH$221:BH$290)</f>
        <v>0</v>
      </c>
      <c r="BX341" s="226">
        <f>SUMIF(Calcs!$J$221:$J$290,$AA341,Calcs!BI$221:BI$290)</f>
        <v>0</v>
      </c>
      <c r="BY341" s="226">
        <f>SUMIF(Calcs!$J$221:$J$290,$AA341,Calcs!BJ$221:BJ$290)</f>
        <v>0</v>
      </c>
      <c r="BZ341" s="226">
        <f>SUMIF(Calcs!$J$221:$J$290,$AA341,Calcs!BK$221:BK$290)</f>
        <v>0</v>
      </c>
      <c r="CA341" s="226">
        <f>SUMIF(Calcs!$J$221:$J$290,$AA341,Calcs!BL$221:BL$290)</f>
        <v>0</v>
      </c>
      <c r="CB341" s="226">
        <f>SUMIF(Calcs!$J$221:$J$290,$AA341,Calcs!BM$221:BM$290)</f>
        <v>0</v>
      </c>
      <c r="CC341" s="226">
        <f>SUMIF(Calcs!$J$221:$J$290,$AA341,Calcs!BN$221:BN$290)</f>
        <v>0</v>
      </c>
      <c r="CD341" s="226">
        <f>SUMIF(Calcs!$J$221:$J$290,$AA341,Calcs!BO$221:BO$290)</f>
        <v>0</v>
      </c>
      <c r="CE341" s="226">
        <f>SUMIF(Calcs!$J$221:$J$290,$AA341,Calcs!BP$221:BP$290)</f>
        <v>0</v>
      </c>
    </row>
    <row r="342" spans="27:83" hidden="1" outlineLevel="1" x14ac:dyDescent="0.3">
      <c r="AA342" s="192" t="s">
        <v>38</v>
      </c>
      <c r="AD342" s="192" t="s">
        <v>235</v>
      </c>
      <c r="AG342" s="226">
        <f>SUMIF(Calcs!$J$221:$J$290,$AA342,Calcs!R$221:R$290)</f>
        <v>0</v>
      </c>
      <c r="AH342" s="226">
        <f>SUMIF(Calcs!$J$221:$J$290,$AA342,Calcs!S$221:S$290)</f>
        <v>0</v>
      </c>
      <c r="AI342" s="226">
        <f>SUMIF(Calcs!$J$221:$J$290,$AA342,Calcs!T$221:T$290)</f>
        <v>0</v>
      </c>
      <c r="AJ342" s="226">
        <f>SUMIF(Calcs!$J$221:$J$290,$AA342,Calcs!U$221:U$290)</f>
        <v>1601352.3937009159</v>
      </c>
      <c r="AK342" s="226">
        <f>SUMIF(Calcs!$J$221:$J$290,$AA342,Calcs!V$221:V$290)</f>
        <v>1624786.4309155978</v>
      </c>
      <c r="AL342" s="226">
        <f>SUMIF(Calcs!$J$221:$J$290,$AA342,Calcs!W$221:W$290)</f>
        <v>1635755.0953501621</v>
      </c>
      <c r="AM342" s="226">
        <f>SUMIF(Calcs!$J$221:$J$290,$AA342,Calcs!X$221:X$290)</f>
        <v>1636887.7871156838</v>
      </c>
      <c r="AN342" s="226">
        <f>SUMIF(Calcs!$J$221:$J$290,$AA342,Calcs!Y$221:Y$290)</f>
        <v>1661575.1748519249</v>
      </c>
      <c r="AO342" s="226">
        <f>SUMIF(Calcs!$J$221:$J$290,$AA342,Calcs!Z$221:Z$290)</f>
        <v>830787.58742596244</v>
      </c>
      <c r="AP342" s="226">
        <f>SUMIF(Calcs!$J$221:$J$290,$AA342,Calcs!AA$221:AA$290)</f>
        <v>830787.58742596244</v>
      </c>
      <c r="AQ342" s="226">
        <f>SUMIF(Calcs!$J$221:$J$290,$AA342,Calcs!AB$221:AB$290)</f>
        <v>830787.58742596244</v>
      </c>
      <c r="AR342" s="226">
        <f>SUMIF(Calcs!$J$221:$J$290,$AA342,Calcs!AC$221:AC$290)</f>
        <v>0</v>
      </c>
      <c r="AS342" s="226">
        <f>SUMIF(Calcs!$J$221:$J$290,$AA342,Calcs!AD$221:AD$290)</f>
        <v>0</v>
      </c>
      <c r="AT342" s="226">
        <f>SUMIF(Calcs!$J$221:$J$290,$AA342,Calcs!AE$221:AE$290)</f>
        <v>0</v>
      </c>
      <c r="AU342" s="226">
        <f>SUMIF(Calcs!$J$221:$J$290,$AA342,Calcs!AF$221:AF$290)</f>
        <v>0</v>
      </c>
      <c r="AV342" s="226">
        <f>SUMIF(Calcs!$J$221:$J$290,$AA342,Calcs!AG$221:AG$290)</f>
        <v>0</v>
      </c>
      <c r="AW342" s="226">
        <f>SUMIF(Calcs!$J$221:$J$290,$AA342,Calcs!AH$221:AH$290)</f>
        <v>0</v>
      </c>
      <c r="AX342" s="226">
        <f>SUMIF(Calcs!$J$221:$J$290,$AA342,Calcs!AI$221:AI$290)</f>
        <v>0</v>
      </c>
      <c r="AY342" s="226">
        <f>SUMIF(Calcs!$J$221:$J$290,$AA342,Calcs!AJ$221:AJ$290)</f>
        <v>0</v>
      </c>
      <c r="AZ342" s="226">
        <f>SUMIF(Calcs!$J$221:$J$290,$AA342,Calcs!AK$221:AK$290)</f>
        <v>0</v>
      </c>
      <c r="BA342" s="226">
        <f>SUMIF(Calcs!$J$221:$J$290,$AA342,Calcs!AL$221:AL$290)</f>
        <v>0</v>
      </c>
      <c r="BB342" s="226">
        <f>SUMIF(Calcs!$J$221:$J$290,$AA342,Calcs!AM$221:AM$290)</f>
        <v>0</v>
      </c>
      <c r="BC342" s="226">
        <f>SUMIF(Calcs!$J$221:$J$290,$AA342,Calcs!AN$221:AN$290)</f>
        <v>0</v>
      </c>
      <c r="BD342" s="226">
        <f>SUMIF(Calcs!$J$221:$J$290,$AA342,Calcs!AO$221:AO$290)</f>
        <v>0</v>
      </c>
      <c r="BE342" s="226">
        <f>SUMIF(Calcs!$J$221:$J$290,$AA342,Calcs!AP$221:AP$290)</f>
        <v>0</v>
      </c>
      <c r="BF342" s="226">
        <f>SUMIF(Calcs!$J$221:$J$290,$AA342,Calcs!AQ$221:AQ$290)</f>
        <v>0</v>
      </c>
      <c r="BG342" s="226">
        <f>SUMIF(Calcs!$J$221:$J$290,$AA342,Calcs!AR$221:AR$290)</f>
        <v>0</v>
      </c>
      <c r="BH342" s="226">
        <f>SUMIF(Calcs!$J$221:$J$290,$AA342,Calcs!AS$221:AS$290)</f>
        <v>0</v>
      </c>
      <c r="BI342" s="226">
        <f>SUMIF(Calcs!$J$221:$J$290,$AA342,Calcs!AT$221:AT$290)</f>
        <v>0</v>
      </c>
      <c r="BJ342" s="226">
        <f>SUMIF(Calcs!$J$221:$J$290,$AA342,Calcs!AU$221:AU$290)</f>
        <v>0</v>
      </c>
      <c r="BK342" s="226">
        <f>SUMIF(Calcs!$J$221:$J$290,$AA342,Calcs!AV$221:AV$290)</f>
        <v>0</v>
      </c>
      <c r="BL342" s="226">
        <f>SUMIF(Calcs!$J$221:$J$290,$AA342,Calcs!AW$221:AW$290)</f>
        <v>0</v>
      </c>
      <c r="BM342" s="226">
        <f>SUMIF(Calcs!$J$221:$J$290,$AA342,Calcs!AX$221:AX$290)</f>
        <v>0</v>
      </c>
      <c r="BN342" s="226">
        <f>SUMIF(Calcs!$J$221:$J$290,$AA342,Calcs!AY$221:AY$290)</f>
        <v>0</v>
      </c>
      <c r="BO342" s="226">
        <f>SUMIF(Calcs!$J$221:$J$290,$AA342,Calcs!AZ$221:AZ$290)</f>
        <v>0</v>
      </c>
      <c r="BP342" s="226">
        <f>SUMIF(Calcs!$J$221:$J$290,$AA342,Calcs!BA$221:BA$290)</f>
        <v>0</v>
      </c>
      <c r="BQ342" s="226">
        <f>SUMIF(Calcs!$J$221:$J$290,$AA342,Calcs!BB$221:BB$290)</f>
        <v>0</v>
      </c>
      <c r="BR342" s="226">
        <f>SUMIF(Calcs!$J$221:$J$290,$AA342,Calcs!BC$221:BC$290)</f>
        <v>0</v>
      </c>
      <c r="BS342" s="226">
        <f>SUMIF(Calcs!$J$221:$J$290,$AA342,Calcs!BD$221:BD$290)</f>
        <v>0</v>
      </c>
      <c r="BT342" s="226">
        <f>SUMIF(Calcs!$J$221:$J$290,$AA342,Calcs!BE$221:BE$290)</f>
        <v>0</v>
      </c>
      <c r="BU342" s="226">
        <f>SUMIF(Calcs!$J$221:$J$290,$AA342,Calcs!BF$221:BF$290)</f>
        <v>0</v>
      </c>
      <c r="BV342" s="226">
        <f>SUMIF(Calcs!$J$221:$J$290,$AA342,Calcs!BG$221:BG$290)</f>
        <v>0</v>
      </c>
      <c r="BW342" s="226">
        <f>SUMIF(Calcs!$J$221:$J$290,$AA342,Calcs!BH$221:BH$290)</f>
        <v>0</v>
      </c>
      <c r="BX342" s="226">
        <f>SUMIF(Calcs!$J$221:$J$290,$AA342,Calcs!BI$221:BI$290)</f>
        <v>0</v>
      </c>
      <c r="BY342" s="226">
        <f>SUMIF(Calcs!$J$221:$J$290,$AA342,Calcs!BJ$221:BJ$290)</f>
        <v>0</v>
      </c>
      <c r="BZ342" s="226">
        <f>SUMIF(Calcs!$J$221:$J$290,$AA342,Calcs!BK$221:BK$290)</f>
        <v>0</v>
      </c>
      <c r="CA342" s="226">
        <f>SUMIF(Calcs!$J$221:$J$290,$AA342,Calcs!BL$221:BL$290)</f>
        <v>0</v>
      </c>
      <c r="CB342" s="226">
        <f>SUMIF(Calcs!$J$221:$J$290,$AA342,Calcs!BM$221:BM$290)</f>
        <v>0</v>
      </c>
      <c r="CC342" s="226">
        <f>SUMIF(Calcs!$J$221:$J$290,$AA342,Calcs!BN$221:BN$290)</f>
        <v>0</v>
      </c>
      <c r="CD342" s="226">
        <f>SUMIF(Calcs!$J$221:$J$290,$AA342,Calcs!BO$221:BO$290)</f>
        <v>0</v>
      </c>
      <c r="CE342" s="226">
        <f>SUMIF(Calcs!$J$221:$J$290,$AA342,Calcs!BP$221:BP$290)</f>
        <v>0</v>
      </c>
    </row>
    <row r="343" spans="27:83" hidden="1" outlineLevel="1" x14ac:dyDescent="0.3">
      <c r="AA343" s="192" t="s">
        <v>39</v>
      </c>
      <c r="AD343" s="192" t="s">
        <v>233</v>
      </c>
      <c r="AG343" s="226">
        <f>SUMIF(Calcs!$J$221:$J$290,$AA343,Calcs!R$221:R$290)</f>
        <v>0</v>
      </c>
      <c r="AH343" s="226">
        <f>SUMIF(Calcs!$J$221:$J$290,$AA343,Calcs!S$221:S$290)</f>
        <v>0</v>
      </c>
      <c r="AI343" s="226">
        <f>SUMIF(Calcs!$J$221:$J$290,$AA343,Calcs!T$221:T$290)</f>
        <v>0</v>
      </c>
      <c r="AJ343" s="226">
        <f>SUMIF(Calcs!$J$221:$J$290,$AA343,Calcs!U$221:U$290)</f>
        <v>0</v>
      </c>
      <c r="AK343" s="226">
        <f>SUMIF(Calcs!$J$221:$J$290,$AA343,Calcs!V$221:V$290)</f>
        <v>0</v>
      </c>
      <c r="AL343" s="226">
        <f>SUMIF(Calcs!$J$221:$J$290,$AA343,Calcs!W$221:W$290)</f>
        <v>0</v>
      </c>
      <c r="AM343" s="226">
        <f>SUMIF(Calcs!$J$221:$J$290,$AA343,Calcs!X$221:X$290)</f>
        <v>0</v>
      </c>
      <c r="AN343" s="226">
        <f>SUMIF(Calcs!$J$221:$J$290,$AA343,Calcs!Y$221:Y$290)</f>
        <v>0</v>
      </c>
      <c r="AO343" s="226">
        <f>SUMIF(Calcs!$J$221:$J$290,$AA343,Calcs!Z$221:Z$290)</f>
        <v>0</v>
      </c>
      <c r="AP343" s="226">
        <f>SUMIF(Calcs!$J$221:$J$290,$AA343,Calcs!AA$221:AA$290)</f>
        <v>0</v>
      </c>
      <c r="AQ343" s="226">
        <f>SUMIF(Calcs!$J$221:$J$290,$AA343,Calcs!AB$221:AB$290)</f>
        <v>0</v>
      </c>
      <c r="AR343" s="226">
        <f>SUMIF(Calcs!$J$221:$J$290,$AA343,Calcs!AC$221:AC$290)</f>
        <v>0</v>
      </c>
      <c r="AS343" s="226">
        <f>SUMIF(Calcs!$J$221:$J$290,$AA343,Calcs!AD$221:AD$290)</f>
        <v>0</v>
      </c>
      <c r="AT343" s="226">
        <f>SUMIF(Calcs!$J$221:$J$290,$AA343,Calcs!AE$221:AE$290)</f>
        <v>0</v>
      </c>
      <c r="AU343" s="226">
        <f>SUMIF(Calcs!$J$221:$J$290,$AA343,Calcs!AF$221:AF$290)</f>
        <v>0</v>
      </c>
      <c r="AV343" s="226">
        <f>SUMIF(Calcs!$J$221:$J$290,$AA343,Calcs!AG$221:AG$290)</f>
        <v>0</v>
      </c>
      <c r="AW343" s="226">
        <f>SUMIF(Calcs!$J$221:$J$290,$AA343,Calcs!AH$221:AH$290)</f>
        <v>0</v>
      </c>
      <c r="AX343" s="226">
        <f>SUMIF(Calcs!$J$221:$J$290,$AA343,Calcs!AI$221:AI$290)</f>
        <v>0</v>
      </c>
      <c r="AY343" s="226">
        <f>SUMIF(Calcs!$J$221:$J$290,$AA343,Calcs!AJ$221:AJ$290)</f>
        <v>0</v>
      </c>
      <c r="AZ343" s="226">
        <f>SUMIF(Calcs!$J$221:$J$290,$AA343,Calcs!AK$221:AK$290)</f>
        <v>0</v>
      </c>
      <c r="BA343" s="226">
        <f>SUMIF(Calcs!$J$221:$J$290,$AA343,Calcs!AL$221:AL$290)</f>
        <v>0</v>
      </c>
      <c r="BB343" s="226">
        <f>SUMIF(Calcs!$J$221:$J$290,$AA343,Calcs!AM$221:AM$290)</f>
        <v>0</v>
      </c>
      <c r="BC343" s="226">
        <f>SUMIF(Calcs!$J$221:$J$290,$AA343,Calcs!AN$221:AN$290)</f>
        <v>0</v>
      </c>
      <c r="BD343" s="226">
        <f>SUMIF(Calcs!$J$221:$J$290,$AA343,Calcs!AO$221:AO$290)</f>
        <v>0</v>
      </c>
      <c r="BE343" s="226">
        <f>SUMIF(Calcs!$J$221:$J$290,$AA343,Calcs!AP$221:AP$290)</f>
        <v>0</v>
      </c>
      <c r="BF343" s="226">
        <f>SUMIF(Calcs!$J$221:$J$290,$AA343,Calcs!AQ$221:AQ$290)</f>
        <v>0</v>
      </c>
      <c r="BG343" s="226">
        <f>SUMIF(Calcs!$J$221:$J$290,$AA343,Calcs!AR$221:AR$290)</f>
        <v>0</v>
      </c>
      <c r="BH343" s="226">
        <f>SUMIF(Calcs!$J$221:$J$290,$AA343,Calcs!AS$221:AS$290)</f>
        <v>0</v>
      </c>
      <c r="BI343" s="226">
        <f>SUMIF(Calcs!$J$221:$J$290,$AA343,Calcs!AT$221:AT$290)</f>
        <v>0</v>
      </c>
      <c r="BJ343" s="226">
        <f>SUMIF(Calcs!$J$221:$J$290,$AA343,Calcs!AU$221:AU$290)</f>
        <v>0</v>
      </c>
      <c r="BK343" s="226">
        <f>SUMIF(Calcs!$J$221:$J$290,$AA343,Calcs!AV$221:AV$290)</f>
        <v>0</v>
      </c>
      <c r="BL343" s="226">
        <f>SUMIF(Calcs!$J$221:$J$290,$AA343,Calcs!AW$221:AW$290)</f>
        <v>0</v>
      </c>
      <c r="BM343" s="226">
        <f>SUMIF(Calcs!$J$221:$J$290,$AA343,Calcs!AX$221:AX$290)</f>
        <v>0</v>
      </c>
      <c r="BN343" s="226">
        <f>SUMIF(Calcs!$J$221:$J$290,$AA343,Calcs!AY$221:AY$290)</f>
        <v>0</v>
      </c>
      <c r="BO343" s="226">
        <f>SUMIF(Calcs!$J$221:$J$290,$AA343,Calcs!AZ$221:AZ$290)</f>
        <v>0</v>
      </c>
      <c r="BP343" s="226">
        <f>SUMIF(Calcs!$J$221:$J$290,$AA343,Calcs!BA$221:BA$290)</f>
        <v>0</v>
      </c>
      <c r="BQ343" s="226">
        <f>SUMIF(Calcs!$J$221:$J$290,$AA343,Calcs!BB$221:BB$290)</f>
        <v>0</v>
      </c>
      <c r="BR343" s="226">
        <f>SUMIF(Calcs!$J$221:$J$290,$AA343,Calcs!BC$221:BC$290)</f>
        <v>0</v>
      </c>
      <c r="BS343" s="226">
        <f>SUMIF(Calcs!$J$221:$J$290,$AA343,Calcs!BD$221:BD$290)</f>
        <v>0</v>
      </c>
      <c r="BT343" s="226">
        <f>SUMIF(Calcs!$J$221:$J$290,$AA343,Calcs!BE$221:BE$290)</f>
        <v>0</v>
      </c>
      <c r="BU343" s="226">
        <f>SUMIF(Calcs!$J$221:$J$290,$AA343,Calcs!BF$221:BF$290)</f>
        <v>0</v>
      </c>
      <c r="BV343" s="226">
        <f>SUMIF(Calcs!$J$221:$J$290,$AA343,Calcs!BG$221:BG$290)</f>
        <v>0</v>
      </c>
      <c r="BW343" s="226">
        <f>SUMIF(Calcs!$J$221:$J$290,$AA343,Calcs!BH$221:BH$290)</f>
        <v>0</v>
      </c>
      <c r="BX343" s="226">
        <f>SUMIF(Calcs!$J$221:$J$290,$AA343,Calcs!BI$221:BI$290)</f>
        <v>0</v>
      </c>
      <c r="BY343" s="226">
        <f>SUMIF(Calcs!$J$221:$J$290,$AA343,Calcs!BJ$221:BJ$290)</f>
        <v>0</v>
      </c>
      <c r="BZ343" s="226">
        <f>SUMIF(Calcs!$J$221:$J$290,$AA343,Calcs!BK$221:BK$290)</f>
        <v>0</v>
      </c>
      <c r="CA343" s="226">
        <f>SUMIF(Calcs!$J$221:$J$290,$AA343,Calcs!BL$221:BL$290)</f>
        <v>0</v>
      </c>
      <c r="CB343" s="226">
        <f>SUMIF(Calcs!$J$221:$J$290,$AA343,Calcs!BM$221:BM$290)</f>
        <v>0</v>
      </c>
      <c r="CC343" s="226">
        <f>SUMIF(Calcs!$J$221:$J$290,$AA343,Calcs!BN$221:BN$290)</f>
        <v>0</v>
      </c>
      <c r="CD343" s="226">
        <f>SUMIF(Calcs!$J$221:$J$290,$AA343,Calcs!BO$221:BO$290)</f>
        <v>0</v>
      </c>
      <c r="CE343" s="226">
        <f>SUMIF(Calcs!$J$221:$J$290,$AA343,Calcs!BP$221:BP$290)</f>
        <v>0</v>
      </c>
    </row>
    <row r="344" spans="27:83" hidden="1" outlineLevel="1" x14ac:dyDescent="0.3">
      <c r="AA344" s="192" t="s">
        <v>40</v>
      </c>
      <c r="AD344" s="192" t="s">
        <v>234</v>
      </c>
      <c r="AG344" s="226">
        <f>SUMIF(Calcs!$J$221:$J$290,$AA344,Calcs!R$221:R$290)</f>
        <v>0</v>
      </c>
      <c r="AH344" s="226">
        <f>SUMIF(Calcs!$J$221:$J$290,$AA344,Calcs!S$221:S$290)</f>
        <v>0</v>
      </c>
      <c r="AI344" s="226">
        <f>SUMIF(Calcs!$J$221:$J$290,$AA344,Calcs!T$221:T$290)</f>
        <v>0</v>
      </c>
      <c r="AJ344" s="226">
        <f>SUMIF(Calcs!$J$221:$J$290,$AA344,Calcs!U$221:U$290)</f>
        <v>0</v>
      </c>
      <c r="AK344" s="226">
        <f>SUMIF(Calcs!$J$221:$J$290,$AA344,Calcs!V$221:V$290)</f>
        <v>0</v>
      </c>
      <c r="AL344" s="226">
        <f>SUMIF(Calcs!$J$221:$J$290,$AA344,Calcs!W$221:W$290)</f>
        <v>0</v>
      </c>
      <c r="AM344" s="226">
        <f>SUMIF(Calcs!$J$221:$J$290,$AA344,Calcs!X$221:X$290)</f>
        <v>0</v>
      </c>
      <c r="AN344" s="226">
        <f>SUMIF(Calcs!$J$221:$J$290,$AA344,Calcs!Y$221:Y$290)</f>
        <v>0</v>
      </c>
      <c r="AO344" s="226">
        <f>SUMIF(Calcs!$J$221:$J$290,$AA344,Calcs!Z$221:Z$290)</f>
        <v>0</v>
      </c>
      <c r="AP344" s="226">
        <f>SUMIF(Calcs!$J$221:$J$290,$AA344,Calcs!AA$221:AA$290)</f>
        <v>0</v>
      </c>
      <c r="AQ344" s="226">
        <f>SUMIF(Calcs!$J$221:$J$290,$AA344,Calcs!AB$221:AB$290)</f>
        <v>0</v>
      </c>
      <c r="AR344" s="226">
        <f>SUMIF(Calcs!$J$221:$J$290,$AA344,Calcs!AC$221:AC$290)</f>
        <v>0</v>
      </c>
      <c r="AS344" s="226">
        <f>SUMIF(Calcs!$J$221:$J$290,$AA344,Calcs!AD$221:AD$290)</f>
        <v>0</v>
      </c>
      <c r="AT344" s="226">
        <f>SUMIF(Calcs!$J$221:$J$290,$AA344,Calcs!AE$221:AE$290)</f>
        <v>0</v>
      </c>
      <c r="AU344" s="226">
        <f>SUMIF(Calcs!$J$221:$J$290,$AA344,Calcs!AF$221:AF$290)</f>
        <v>0</v>
      </c>
      <c r="AV344" s="226">
        <f>SUMIF(Calcs!$J$221:$J$290,$AA344,Calcs!AG$221:AG$290)</f>
        <v>0</v>
      </c>
      <c r="AW344" s="226">
        <f>SUMIF(Calcs!$J$221:$J$290,$AA344,Calcs!AH$221:AH$290)</f>
        <v>0</v>
      </c>
      <c r="AX344" s="226">
        <f>SUMIF(Calcs!$J$221:$J$290,$AA344,Calcs!AI$221:AI$290)</f>
        <v>0</v>
      </c>
      <c r="AY344" s="226">
        <f>SUMIF(Calcs!$J$221:$J$290,$AA344,Calcs!AJ$221:AJ$290)</f>
        <v>0</v>
      </c>
      <c r="AZ344" s="226">
        <f>SUMIF(Calcs!$J$221:$J$290,$AA344,Calcs!AK$221:AK$290)</f>
        <v>0</v>
      </c>
      <c r="BA344" s="226">
        <f>SUMIF(Calcs!$J$221:$J$290,$AA344,Calcs!AL$221:AL$290)</f>
        <v>0</v>
      </c>
      <c r="BB344" s="226">
        <f>SUMIF(Calcs!$J$221:$J$290,$AA344,Calcs!AM$221:AM$290)</f>
        <v>0</v>
      </c>
      <c r="BC344" s="226">
        <f>SUMIF(Calcs!$J$221:$J$290,$AA344,Calcs!AN$221:AN$290)</f>
        <v>0</v>
      </c>
      <c r="BD344" s="226">
        <f>SUMIF(Calcs!$J$221:$J$290,$AA344,Calcs!AO$221:AO$290)</f>
        <v>0</v>
      </c>
      <c r="BE344" s="226">
        <f>SUMIF(Calcs!$J$221:$J$290,$AA344,Calcs!AP$221:AP$290)</f>
        <v>0</v>
      </c>
      <c r="BF344" s="226">
        <f>SUMIF(Calcs!$J$221:$J$290,$AA344,Calcs!AQ$221:AQ$290)</f>
        <v>0</v>
      </c>
      <c r="BG344" s="226">
        <f>SUMIF(Calcs!$J$221:$J$290,$AA344,Calcs!AR$221:AR$290)</f>
        <v>0</v>
      </c>
      <c r="BH344" s="226">
        <f>SUMIF(Calcs!$J$221:$J$290,$AA344,Calcs!AS$221:AS$290)</f>
        <v>0</v>
      </c>
      <c r="BI344" s="226">
        <f>SUMIF(Calcs!$J$221:$J$290,$AA344,Calcs!AT$221:AT$290)</f>
        <v>0</v>
      </c>
      <c r="BJ344" s="226">
        <f>SUMIF(Calcs!$J$221:$J$290,$AA344,Calcs!AU$221:AU$290)</f>
        <v>0</v>
      </c>
      <c r="BK344" s="226">
        <f>SUMIF(Calcs!$J$221:$J$290,$AA344,Calcs!AV$221:AV$290)</f>
        <v>0</v>
      </c>
      <c r="BL344" s="226">
        <f>SUMIF(Calcs!$J$221:$J$290,$AA344,Calcs!AW$221:AW$290)</f>
        <v>0</v>
      </c>
      <c r="BM344" s="226">
        <f>SUMIF(Calcs!$J$221:$J$290,$AA344,Calcs!AX$221:AX$290)</f>
        <v>0</v>
      </c>
      <c r="BN344" s="226">
        <f>SUMIF(Calcs!$J$221:$J$290,$AA344,Calcs!AY$221:AY$290)</f>
        <v>0</v>
      </c>
      <c r="BO344" s="226">
        <f>SUMIF(Calcs!$J$221:$J$290,$AA344,Calcs!AZ$221:AZ$290)</f>
        <v>0</v>
      </c>
      <c r="BP344" s="226">
        <f>SUMIF(Calcs!$J$221:$J$290,$AA344,Calcs!BA$221:BA$290)</f>
        <v>0</v>
      </c>
      <c r="BQ344" s="226">
        <f>SUMIF(Calcs!$J$221:$J$290,$AA344,Calcs!BB$221:BB$290)</f>
        <v>0</v>
      </c>
      <c r="BR344" s="226">
        <f>SUMIF(Calcs!$J$221:$J$290,$AA344,Calcs!BC$221:BC$290)</f>
        <v>0</v>
      </c>
      <c r="BS344" s="226">
        <f>SUMIF(Calcs!$J$221:$J$290,$AA344,Calcs!BD$221:BD$290)</f>
        <v>0</v>
      </c>
      <c r="BT344" s="226">
        <f>SUMIF(Calcs!$J$221:$J$290,$AA344,Calcs!BE$221:BE$290)</f>
        <v>0</v>
      </c>
      <c r="BU344" s="226">
        <f>SUMIF(Calcs!$J$221:$J$290,$AA344,Calcs!BF$221:BF$290)</f>
        <v>0</v>
      </c>
      <c r="BV344" s="226">
        <f>SUMIF(Calcs!$J$221:$J$290,$AA344,Calcs!BG$221:BG$290)</f>
        <v>0</v>
      </c>
      <c r="BW344" s="226">
        <f>SUMIF(Calcs!$J$221:$J$290,$AA344,Calcs!BH$221:BH$290)</f>
        <v>0</v>
      </c>
      <c r="BX344" s="226">
        <f>SUMIF(Calcs!$J$221:$J$290,$AA344,Calcs!BI$221:BI$290)</f>
        <v>0</v>
      </c>
      <c r="BY344" s="226">
        <f>SUMIF(Calcs!$J$221:$J$290,$AA344,Calcs!BJ$221:BJ$290)</f>
        <v>0</v>
      </c>
      <c r="BZ344" s="226">
        <f>SUMIF(Calcs!$J$221:$J$290,$AA344,Calcs!BK$221:BK$290)</f>
        <v>0</v>
      </c>
      <c r="CA344" s="226">
        <f>SUMIF(Calcs!$J$221:$J$290,$AA344,Calcs!BL$221:BL$290)</f>
        <v>0</v>
      </c>
      <c r="CB344" s="226">
        <f>SUMIF(Calcs!$J$221:$J$290,$AA344,Calcs!BM$221:BM$290)</f>
        <v>0</v>
      </c>
      <c r="CC344" s="226">
        <f>SUMIF(Calcs!$J$221:$J$290,$AA344,Calcs!BN$221:BN$290)</f>
        <v>0</v>
      </c>
      <c r="CD344" s="226">
        <f>SUMIF(Calcs!$J$221:$J$290,$AA344,Calcs!BO$221:BO$290)</f>
        <v>0</v>
      </c>
      <c r="CE344" s="226">
        <f>SUMIF(Calcs!$J$221:$J$290,$AA344,Calcs!BP$221:BP$290)</f>
        <v>0</v>
      </c>
    </row>
    <row r="345" spans="27:83" hidden="1" outlineLevel="1" x14ac:dyDescent="0.3">
      <c r="AA345" s="192" t="s">
        <v>41</v>
      </c>
      <c r="AD345" s="192" t="s">
        <v>234</v>
      </c>
      <c r="AG345" s="226">
        <f>SUMIF(Calcs!$J$221:$J$290,$AA345,Calcs!R$221:R$290)</f>
        <v>0</v>
      </c>
      <c r="AH345" s="226">
        <f>SUMIF(Calcs!$J$221:$J$290,$AA345,Calcs!S$221:S$290)</f>
        <v>0</v>
      </c>
      <c r="AI345" s="226">
        <f>SUMIF(Calcs!$J$221:$J$290,$AA345,Calcs!T$221:T$290)</f>
        <v>0</v>
      </c>
      <c r="AJ345" s="226">
        <f>SUMIF(Calcs!$J$221:$J$290,$AA345,Calcs!U$221:U$290)</f>
        <v>0</v>
      </c>
      <c r="AK345" s="226">
        <f>SUMIF(Calcs!$J$221:$J$290,$AA345,Calcs!V$221:V$290)</f>
        <v>0</v>
      </c>
      <c r="AL345" s="226">
        <f>SUMIF(Calcs!$J$221:$J$290,$AA345,Calcs!W$221:W$290)</f>
        <v>0</v>
      </c>
      <c r="AM345" s="226">
        <f>SUMIF(Calcs!$J$221:$J$290,$AA345,Calcs!X$221:X$290)</f>
        <v>0</v>
      </c>
      <c r="AN345" s="226">
        <f>SUMIF(Calcs!$J$221:$J$290,$AA345,Calcs!Y$221:Y$290)</f>
        <v>0</v>
      </c>
      <c r="AO345" s="226">
        <f>SUMIF(Calcs!$J$221:$J$290,$AA345,Calcs!Z$221:Z$290)</f>
        <v>0</v>
      </c>
      <c r="AP345" s="226">
        <f>SUMIF(Calcs!$J$221:$J$290,$AA345,Calcs!AA$221:AA$290)</f>
        <v>0</v>
      </c>
      <c r="AQ345" s="226">
        <f>SUMIF(Calcs!$J$221:$J$290,$AA345,Calcs!AB$221:AB$290)</f>
        <v>0</v>
      </c>
      <c r="AR345" s="226">
        <f>SUMIF(Calcs!$J$221:$J$290,$AA345,Calcs!AC$221:AC$290)</f>
        <v>0</v>
      </c>
      <c r="AS345" s="226">
        <f>SUMIF(Calcs!$J$221:$J$290,$AA345,Calcs!AD$221:AD$290)</f>
        <v>0</v>
      </c>
      <c r="AT345" s="226">
        <f>SUMIF(Calcs!$J$221:$J$290,$AA345,Calcs!AE$221:AE$290)</f>
        <v>0</v>
      </c>
      <c r="AU345" s="226">
        <f>SUMIF(Calcs!$J$221:$J$290,$AA345,Calcs!AF$221:AF$290)</f>
        <v>0</v>
      </c>
      <c r="AV345" s="226">
        <f>SUMIF(Calcs!$J$221:$J$290,$AA345,Calcs!AG$221:AG$290)</f>
        <v>0</v>
      </c>
      <c r="AW345" s="226">
        <f>SUMIF(Calcs!$J$221:$J$290,$AA345,Calcs!AH$221:AH$290)</f>
        <v>0</v>
      </c>
      <c r="AX345" s="226">
        <f>SUMIF(Calcs!$J$221:$J$290,$AA345,Calcs!AI$221:AI$290)</f>
        <v>0</v>
      </c>
      <c r="AY345" s="226">
        <f>SUMIF(Calcs!$J$221:$J$290,$AA345,Calcs!AJ$221:AJ$290)</f>
        <v>0</v>
      </c>
      <c r="AZ345" s="226">
        <f>SUMIF(Calcs!$J$221:$J$290,$AA345,Calcs!AK$221:AK$290)</f>
        <v>0</v>
      </c>
      <c r="BA345" s="226">
        <f>SUMIF(Calcs!$J$221:$J$290,$AA345,Calcs!AL$221:AL$290)</f>
        <v>0</v>
      </c>
      <c r="BB345" s="226">
        <f>SUMIF(Calcs!$J$221:$J$290,$AA345,Calcs!AM$221:AM$290)</f>
        <v>0</v>
      </c>
      <c r="BC345" s="226">
        <f>SUMIF(Calcs!$J$221:$J$290,$AA345,Calcs!AN$221:AN$290)</f>
        <v>0</v>
      </c>
      <c r="BD345" s="226">
        <f>SUMIF(Calcs!$J$221:$J$290,$AA345,Calcs!AO$221:AO$290)</f>
        <v>0</v>
      </c>
      <c r="BE345" s="226">
        <f>SUMIF(Calcs!$J$221:$J$290,$AA345,Calcs!AP$221:AP$290)</f>
        <v>0</v>
      </c>
      <c r="BF345" s="226">
        <f>SUMIF(Calcs!$J$221:$J$290,$AA345,Calcs!AQ$221:AQ$290)</f>
        <v>0</v>
      </c>
      <c r="BG345" s="226">
        <f>SUMIF(Calcs!$J$221:$J$290,$AA345,Calcs!AR$221:AR$290)</f>
        <v>0</v>
      </c>
      <c r="BH345" s="226">
        <f>SUMIF(Calcs!$J$221:$J$290,$AA345,Calcs!AS$221:AS$290)</f>
        <v>0</v>
      </c>
      <c r="BI345" s="226">
        <f>SUMIF(Calcs!$J$221:$J$290,$AA345,Calcs!AT$221:AT$290)</f>
        <v>0</v>
      </c>
      <c r="BJ345" s="226">
        <f>SUMIF(Calcs!$J$221:$J$290,$AA345,Calcs!AU$221:AU$290)</f>
        <v>0</v>
      </c>
      <c r="BK345" s="226">
        <f>SUMIF(Calcs!$J$221:$J$290,$AA345,Calcs!AV$221:AV$290)</f>
        <v>0</v>
      </c>
      <c r="BL345" s="226">
        <f>SUMIF(Calcs!$J$221:$J$290,$AA345,Calcs!AW$221:AW$290)</f>
        <v>0</v>
      </c>
      <c r="BM345" s="226">
        <f>SUMIF(Calcs!$J$221:$J$290,$AA345,Calcs!AX$221:AX$290)</f>
        <v>0</v>
      </c>
      <c r="BN345" s="226">
        <f>SUMIF(Calcs!$J$221:$J$290,$AA345,Calcs!AY$221:AY$290)</f>
        <v>0</v>
      </c>
      <c r="BO345" s="226">
        <f>SUMIF(Calcs!$J$221:$J$290,$AA345,Calcs!AZ$221:AZ$290)</f>
        <v>0</v>
      </c>
      <c r="BP345" s="226">
        <f>SUMIF(Calcs!$J$221:$J$290,$AA345,Calcs!BA$221:BA$290)</f>
        <v>0</v>
      </c>
      <c r="BQ345" s="226">
        <f>SUMIF(Calcs!$J$221:$J$290,$AA345,Calcs!BB$221:BB$290)</f>
        <v>0</v>
      </c>
      <c r="BR345" s="226">
        <f>SUMIF(Calcs!$J$221:$J$290,$AA345,Calcs!BC$221:BC$290)</f>
        <v>0</v>
      </c>
      <c r="BS345" s="226">
        <f>SUMIF(Calcs!$J$221:$J$290,$AA345,Calcs!BD$221:BD$290)</f>
        <v>0</v>
      </c>
      <c r="BT345" s="226">
        <f>SUMIF(Calcs!$J$221:$J$290,$AA345,Calcs!BE$221:BE$290)</f>
        <v>0</v>
      </c>
      <c r="BU345" s="226">
        <f>SUMIF(Calcs!$J$221:$J$290,$AA345,Calcs!BF$221:BF$290)</f>
        <v>0</v>
      </c>
      <c r="BV345" s="226">
        <f>SUMIF(Calcs!$J$221:$J$290,$AA345,Calcs!BG$221:BG$290)</f>
        <v>0</v>
      </c>
      <c r="BW345" s="226">
        <f>SUMIF(Calcs!$J$221:$J$290,$AA345,Calcs!BH$221:BH$290)</f>
        <v>0</v>
      </c>
      <c r="BX345" s="226">
        <f>SUMIF(Calcs!$J$221:$J$290,$AA345,Calcs!BI$221:BI$290)</f>
        <v>0</v>
      </c>
      <c r="BY345" s="226">
        <f>SUMIF(Calcs!$J$221:$J$290,$AA345,Calcs!BJ$221:BJ$290)</f>
        <v>0</v>
      </c>
      <c r="BZ345" s="226">
        <f>SUMIF(Calcs!$J$221:$J$290,$AA345,Calcs!BK$221:BK$290)</f>
        <v>0</v>
      </c>
      <c r="CA345" s="226">
        <f>SUMIF(Calcs!$J$221:$J$290,$AA345,Calcs!BL$221:BL$290)</f>
        <v>0</v>
      </c>
      <c r="CB345" s="226">
        <f>SUMIF(Calcs!$J$221:$J$290,$AA345,Calcs!BM$221:BM$290)</f>
        <v>0</v>
      </c>
      <c r="CC345" s="226">
        <f>SUMIF(Calcs!$J$221:$J$290,$AA345,Calcs!BN$221:BN$290)</f>
        <v>0</v>
      </c>
      <c r="CD345" s="226">
        <f>SUMIF(Calcs!$J$221:$J$290,$AA345,Calcs!BO$221:BO$290)</f>
        <v>0</v>
      </c>
      <c r="CE345" s="226">
        <f>SUMIF(Calcs!$J$221:$J$290,$AA345,Calcs!BP$221:BP$290)</f>
        <v>0</v>
      </c>
    </row>
    <row r="346" spans="27:83" hidden="1" outlineLevel="1" x14ac:dyDescent="0.3">
      <c r="AA346" s="192" t="s">
        <v>42</v>
      </c>
      <c r="AD346" s="192" t="s">
        <v>234</v>
      </c>
      <c r="AG346" s="226">
        <f>SUMIF(Calcs!$J$221:$J$290,$AA346,Calcs!R$221:R$290)</f>
        <v>0</v>
      </c>
      <c r="AH346" s="226">
        <f>SUMIF(Calcs!$J$221:$J$290,$AA346,Calcs!S$221:S$290)</f>
        <v>0</v>
      </c>
      <c r="AI346" s="226">
        <f>SUMIF(Calcs!$J$221:$J$290,$AA346,Calcs!T$221:T$290)</f>
        <v>0</v>
      </c>
      <c r="AJ346" s="226">
        <f>SUMIF(Calcs!$J$221:$J$290,$AA346,Calcs!U$221:U$290)</f>
        <v>0</v>
      </c>
      <c r="AK346" s="226">
        <f>SUMIF(Calcs!$J$221:$J$290,$AA346,Calcs!V$221:V$290)</f>
        <v>0</v>
      </c>
      <c r="AL346" s="226">
        <f>SUMIF(Calcs!$J$221:$J$290,$AA346,Calcs!W$221:W$290)</f>
        <v>0</v>
      </c>
      <c r="AM346" s="226">
        <f>SUMIF(Calcs!$J$221:$J$290,$AA346,Calcs!X$221:X$290)</f>
        <v>0</v>
      </c>
      <c r="AN346" s="226">
        <f>SUMIF(Calcs!$J$221:$J$290,$AA346,Calcs!Y$221:Y$290)</f>
        <v>0</v>
      </c>
      <c r="AO346" s="226">
        <f>SUMIF(Calcs!$J$221:$J$290,$AA346,Calcs!Z$221:Z$290)</f>
        <v>0</v>
      </c>
      <c r="AP346" s="226">
        <f>SUMIF(Calcs!$J$221:$J$290,$AA346,Calcs!AA$221:AA$290)</f>
        <v>0</v>
      </c>
      <c r="AQ346" s="226">
        <f>SUMIF(Calcs!$J$221:$J$290,$AA346,Calcs!AB$221:AB$290)</f>
        <v>0</v>
      </c>
      <c r="AR346" s="226">
        <f>SUMIF(Calcs!$J$221:$J$290,$AA346,Calcs!AC$221:AC$290)</f>
        <v>0</v>
      </c>
      <c r="AS346" s="226">
        <f>SUMIF(Calcs!$J$221:$J$290,$AA346,Calcs!AD$221:AD$290)</f>
        <v>0</v>
      </c>
      <c r="AT346" s="226">
        <f>SUMIF(Calcs!$J$221:$J$290,$AA346,Calcs!AE$221:AE$290)</f>
        <v>0</v>
      </c>
      <c r="AU346" s="226">
        <f>SUMIF(Calcs!$J$221:$J$290,$AA346,Calcs!AF$221:AF$290)</f>
        <v>0</v>
      </c>
      <c r="AV346" s="226">
        <f>SUMIF(Calcs!$J$221:$J$290,$AA346,Calcs!AG$221:AG$290)</f>
        <v>0</v>
      </c>
      <c r="AW346" s="226">
        <f>SUMIF(Calcs!$J$221:$J$290,$AA346,Calcs!AH$221:AH$290)</f>
        <v>0</v>
      </c>
      <c r="AX346" s="226">
        <f>SUMIF(Calcs!$J$221:$J$290,$AA346,Calcs!AI$221:AI$290)</f>
        <v>0</v>
      </c>
      <c r="AY346" s="226">
        <f>SUMIF(Calcs!$J$221:$J$290,$AA346,Calcs!AJ$221:AJ$290)</f>
        <v>0</v>
      </c>
      <c r="AZ346" s="226">
        <f>SUMIF(Calcs!$J$221:$J$290,$AA346,Calcs!AK$221:AK$290)</f>
        <v>0</v>
      </c>
      <c r="BA346" s="226">
        <f>SUMIF(Calcs!$J$221:$J$290,$AA346,Calcs!AL$221:AL$290)</f>
        <v>0</v>
      </c>
      <c r="BB346" s="226">
        <f>SUMIF(Calcs!$J$221:$J$290,$AA346,Calcs!AM$221:AM$290)</f>
        <v>0</v>
      </c>
      <c r="BC346" s="226">
        <f>SUMIF(Calcs!$J$221:$J$290,$AA346,Calcs!AN$221:AN$290)</f>
        <v>0</v>
      </c>
      <c r="BD346" s="226">
        <f>SUMIF(Calcs!$J$221:$J$290,$AA346,Calcs!AO$221:AO$290)</f>
        <v>0</v>
      </c>
      <c r="BE346" s="226">
        <f>SUMIF(Calcs!$J$221:$J$290,$AA346,Calcs!AP$221:AP$290)</f>
        <v>0</v>
      </c>
      <c r="BF346" s="226">
        <f>SUMIF(Calcs!$J$221:$J$290,$AA346,Calcs!AQ$221:AQ$290)</f>
        <v>0</v>
      </c>
      <c r="BG346" s="226">
        <f>SUMIF(Calcs!$J$221:$J$290,$AA346,Calcs!AR$221:AR$290)</f>
        <v>0</v>
      </c>
      <c r="BH346" s="226">
        <f>SUMIF(Calcs!$J$221:$J$290,$AA346,Calcs!AS$221:AS$290)</f>
        <v>0</v>
      </c>
      <c r="BI346" s="226">
        <f>SUMIF(Calcs!$J$221:$J$290,$AA346,Calcs!AT$221:AT$290)</f>
        <v>0</v>
      </c>
      <c r="BJ346" s="226">
        <f>SUMIF(Calcs!$J$221:$J$290,$AA346,Calcs!AU$221:AU$290)</f>
        <v>0</v>
      </c>
      <c r="BK346" s="226">
        <f>SUMIF(Calcs!$J$221:$J$290,$AA346,Calcs!AV$221:AV$290)</f>
        <v>0</v>
      </c>
      <c r="BL346" s="226">
        <f>SUMIF(Calcs!$J$221:$J$290,$AA346,Calcs!AW$221:AW$290)</f>
        <v>0</v>
      </c>
      <c r="BM346" s="226">
        <f>SUMIF(Calcs!$J$221:$J$290,$AA346,Calcs!AX$221:AX$290)</f>
        <v>0</v>
      </c>
      <c r="BN346" s="226">
        <f>SUMIF(Calcs!$J$221:$J$290,$AA346,Calcs!AY$221:AY$290)</f>
        <v>0</v>
      </c>
      <c r="BO346" s="226">
        <f>SUMIF(Calcs!$J$221:$J$290,$AA346,Calcs!AZ$221:AZ$290)</f>
        <v>0</v>
      </c>
      <c r="BP346" s="226">
        <f>SUMIF(Calcs!$J$221:$J$290,$AA346,Calcs!BA$221:BA$290)</f>
        <v>0</v>
      </c>
      <c r="BQ346" s="226">
        <f>SUMIF(Calcs!$J$221:$J$290,$AA346,Calcs!BB$221:BB$290)</f>
        <v>0</v>
      </c>
      <c r="BR346" s="226">
        <f>SUMIF(Calcs!$J$221:$J$290,$AA346,Calcs!BC$221:BC$290)</f>
        <v>0</v>
      </c>
      <c r="BS346" s="226">
        <f>SUMIF(Calcs!$J$221:$J$290,$AA346,Calcs!BD$221:BD$290)</f>
        <v>0</v>
      </c>
      <c r="BT346" s="226">
        <f>SUMIF(Calcs!$J$221:$J$290,$AA346,Calcs!BE$221:BE$290)</f>
        <v>0</v>
      </c>
      <c r="BU346" s="226">
        <f>SUMIF(Calcs!$J$221:$J$290,$AA346,Calcs!BF$221:BF$290)</f>
        <v>0</v>
      </c>
      <c r="BV346" s="226">
        <f>SUMIF(Calcs!$J$221:$J$290,$AA346,Calcs!BG$221:BG$290)</f>
        <v>0</v>
      </c>
      <c r="BW346" s="226">
        <f>SUMIF(Calcs!$J$221:$J$290,$AA346,Calcs!BH$221:BH$290)</f>
        <v>0</v>
      </c>
      <c r="BX346" s="226">
        <f>SUMIF(Calcs!$J$221:$J$290,$AA346,Calcs!BI$221:BI$290)</f>
        <v>0</v>
      </c>
      <c r="BY346" s="226">
        <f>SUMIF(Calcs!$J$221:$J$290,$AA346,Calcs!BJ$221:BJ$290)</f>
        <v>0</v>
      </c>
      <c r="BZ346" s="226">
        <f>SUMIF(Calcs!$J$221:$J$290,$AA346,Calcs!BK$221:BK$290)</f>
        <v>0</v>
      </c>
      <c r="CA346" s="226">
        <f>SUMIF(Calcs!$J$221:$J$290,$AA346,Calcs!BL$221:BL$290)</f>
        <v>0</v>
      </c>
      <c r="CB346" s="226">
        <f>SUMIF(Calcs!$J$221:$J$290,$AA346,Calcs!BM$221:BM$290)</f>
        <v>0</v>
      </c>
      <c r="CC346" s="226">
        <f>SUMIF(Calcs!$J$221:$J$290,$AA346,Calcs!BN$221:BN$290)</f>
        <v>0</v>
      </c>
      <c r="CD346" s="226">
        <f>SUMIF(Calcs!$J$221:$J$290,$AA346,Calcs!BO$221:BO$290)</f>
        <v>0</v>
      </c>
      <c r="CE346" s="226">
        <f>SUMIF(Calcs!$J$221:$J$290,$AA346,Calcs!BP$221:BP$290)</f>
        <v>0</v>
      </c>
    </row>
    <row r="347" spans="27:83" hidden="1" outlineLevel="1" x14ac:dyDescent="0.3">
      <c r="AA347" s="192" t="s">
        <v>43</v>
      </c>
      <c r="AD347" s="192" t="s">
        <v>234</v>
      </c>
      <c r="AG347" s="226">
        <f>SUMIF(Calcs!$J$221:$J$290,$AA347,Calcs!R$221:R$290)</f>
        <v>0</v>
      </c>
      <c r="AH347" s="226">
        <f>SUMIF(Calcs!$J$221:$J$290,$AA347,Calcs!S$221:S$290)</f>
        <v>0</v>
      </c>
      <c r="AI347" s="226">
        <f>SUMIF(Calcs!$J$221:$J$290,$AA347,Calcs!T$221:T$290)</f>
        <v>0</v>
      </c>
      <c r="AJ347" s="226">
        <f>SUMIF(Calcs!$J$221:$J$290,$AA347,Calcs!U$221:U$290)</f>
        <v>0</v>
      </c>
      <c r="AK347" s="226">
        <f>SUMIF(Calcs!$J$221:$J$290,$AA347,Calcs!V$221:V$290)</f>
        <v>0</v>
      </c>
      <c r="AL347" s="226">
        <f>SUMIF(Calcs!$J$221:$J$290,$AA347,Calcs!W$221:W$290)</f>
        <v>0</v>
      </c>
      <c r="AM347" s="226">
        <f>SUMIF(Calcs!$J$221:$J$290,$AA347,Calcs!X$221:X$290)</f>
        <v>0</v>
      </c>
      <c r="AN347" s="226">
        <f>SUMIF(Calcs!$J$221:$J$290,$AA347,Calcs!Y$221:Y$290)</f>
        <v>0</v>
      </c>
      <c r="AO347" s="226">
        <f>SUMIF(Calcs!$J$221:$J$290,$AA347,Calcs!Z$221:Z$290)</f>
        <v>0</v>
      </c>
      <c r="AP347" s="226">
        <f>SUMIF(Calcs!$J$221:$J$290,$AA347,Calcs!AA$221:AA$290)</f>
        <v>0</v>
      </c>
      <c r="AQ347" s="226">
        <f>SUMIF(Calcs!$J$221:$J$290,$AA347,Calcs!AB$221:AB$290)</f>
        <v>0</v>
      </c>
      <c r="AR347" s="226">
        <f>SUMIF(Calcs!$J$221:$J$290,$AA347,Calcs!AC$221:AC$290)</f>
        <v>0</v>
      </c>
      <c r="AS347" s="226">
        <f>SUMIF(Calcs!$J$221:$J$290,$AA347,Calcs!AD$221:AD$290)</f>
        <v>0</v>
      </c>
      <c r="AT347" s="226">
        <f>SUMIF(Calcs!$J$221:$J$290,$AA347,Calcs!AE$221:AE$290)</f>
        <v>0</v>
      </c>
      <c r="AU347" s="226">
        <f>SUMIF(Calcs!$J$221:$J$290,$AA347,Calcs!AF$221:AF$290)</f>
        <v>0</v>
      </c>
      <c r="AV347" s="226">
        <f>SUMIF(Calcs!$J$221:$J$290,$AA347,Calcs!AG$221:AG$290)</f>
        <v>0</v>
      </c>
      <c r="AW347" s="226">
        <f>SUMIF(Calcs!$J$221:$J$290,$AA347,Calcs!AH$221:AH$290)</f>
        <v>0</v>
      </c>
      <c r="AX347" s="226">
        <f>SUMIF(Calcs!$J$221:$J$290,$AA347,Calcs!AI$221:AI$290)</f>
        <v>0</v>
      </c>
      <c r="AY347" s="226">
        <f>SUMIF(Calcs!$J$221:$J$290,$AA347,Calcs!AJ$221:AJ$290)</f>
        <v>0</v>
      </c>
      <c r="AZ347" s="226">
        <f>SUMIF(Calcs!$J$221:$J$290,$AA347,Calcs!AK$221:AK$290)</f>
        <v>0</v>
      </c>
      <c r="BA347" s="226">
        <f>SUMIF(Calcs!$J$221:$J$290,$AA347,Calcs!AL$221:AL$290)</f>
        <v>0</v>
      </c>
      <c r="BB347" s="226">
        <f>SUMIF(Calcs!$J$221:$J$290,$AA347,Calcs!AM$221:AM$290)</f>
        <v>0</v>
      </c>
      <c r="BC347" s="226">
        <f>SUMIF(Calcs!$J$221:$J$290,$AA347,Calcs!AN$221:AN$290)</f>
        <v>0</v>
      </c>
      <c r="BD347" s="226">
        <f>SUMIF(Calcs!$J$221:$J$290,$AA347,Calcs!AO$221:AO$290)</f>
        <v>0</v>
      </c>
      <c r="BE347" s="226">
        <f>SUMIF(Calcs!$J$221:$J$290,$AA347,Calcs!AP$221:AP$290)</f>
        <v>0</v>
      </c>
      <c r="BF347" s="226">
        <f>SUMIF(Calcs!$J$221:$J$290,$AA347,Calcs!AQ$221:AQ$290)</f>
        <v>0</v>
      </c>
      <c r="BG347" s="226">
        <f>SUMIF(Calcs!$J$221:$J$290,$AA347,Calcs!AR$221:AR$290)</f>
        <v>0</v>
      </c>
      <c r="BH347" s="226">
        <f>SUMIF(Calcs!$J$221:$J$290,$AA347,Calcs!AS$221:AS$290)</f>
        <v>0</v>
      </c>
      <c r="BI347" s="226">
        <f>SUMIF(Calcs!$J$221:$J$290,$AA347,Calcs!AT$221:AT$290)</f>
        <v>0</v>
      </c>
      <c r="BJ347" s="226">
        <f>SUMIF(Calcs!$J$221:$J$290,$AA347,Calcs!AU$221:AU$290)</f>
        <v>0</v>
      </c>
      <c r="BK347" s="226">
        <f>SUMIF(Calcs!$J$221:$J$290,$AA347,Calcs!AV$221:AV$290)</f>
        <v>0</v>
      </c>
      <c r="BL347" s="226">
        <f>SUMIF(Calcs!$J$221:$J$290,$AA347,Calcs!AW$221:AW$290)</f>
        <v>0</v>
      </c>
      <c r="BM347" s="226">
        <f>SUMIF(Calcs!$J$221:$J$290,$AA347,Calcs!AX$221:AX$290)</f>
        <v>0</v>
      </c>
      <c r="BN347" s="226">
        <f>SUMIF(Calcs!$J$221:$J$290,$AA347,Calcs!AY$221:AY$290)</f>
        <v>0</v>
      </c>
      <c r="BO347" s="226">
        <f>SUMIF(Calcs!$J$221:$J$290,$AA347,Calcs!AZ$221:AZ$290)</f>
        <v>0</v>
      </c>
      <c r="BP347" s="226">
        <f>SUMIF(Calcs!$J$221:$J$290,$AA347,Calcs!BA$221:BA$290)</f>
        <v>0</v>
      </c>
      <c r="BQ347" s="226">
        <f>SUMIF(Calcs!$J$221:$J$290,$AA347,Calcs!BB$221:BB$290)</f>
        <v>0</v>
      </c>
      <c r="BR347" s="226">
        <f>SUMIF(Calcs!$J$221:$J$290,$AA347,Calcs!BC$221:BC$290)</f>
        <v>0</v>
      </c>
      <c r="BS347" s="226">
        <f>SUMIF(Calcs!$J$221:$J$290,$AA347,Calcs!BD$221:BD$290)</f>
        <v>0</v>
      </c>
      <c r="BT347" s="226">
        <f>SUMIF(Calcs!$J$221:$J$290,$AA347,Calcs!BE$221:BE$290)</f>
        <v>0</v>
      </c>
      <c r="BU347" s="226">
        <f>SUMIF(Calcs!$J$221:$J$290,$AA347,Calcs!BF$221:BF$290)</f>
        <v>0</v>
      </c>
      <c r="BV347" s="226">
        <f>SUMIF(Calcs!$J$221:$J$290,$AA347,Calcs!BG$221:BG$290)</f>
        <v>0</v>
      </c>
      <c r="BW347" s="226">
        <f>SUMIF(Calcs!$J$221:$J$290,$AA347,Calcs!BH$221:BH$290)</f>
        <v>0</v>
      </c>
      <c r="BX347" s="226">
        <f>SUMIF(Calcs!$J$221:$J$290,$AA347,Calcs!BI$221:BI$290)</f>
        <v>0</v>
      </c>
      <c r="BY347" s="226">
        <f>SUMIF(Calcs!$J$221:$J$290,$AA347,Calcs!BJ$221:BJ$290)</f>
        <v>0</v>
      </c>
      <c r="BZ347" s="226">
        <f>SUMIF(Calcs!$J$221:$J$290,$AA347,Calcs!BK$221:BK$290)</f>
        <v>0</v>
      </c>
      <c r="CA347" s="226">
        <f>SUMIF(Calcs!$J$221:$J$290,$AA347,Calcs!BL$221:BL$290)</f>
        <v>0</v>
      </c>
      <c r="CB347" s="226">
        <f>SUMIF(Calcs!$J$221:$J$290,$AA347,Calcs!BM$221:BM$290)</f>
        <v>0</v>
      </c>
      <c r="CC347" s="226">
        <f>SUMIF(Calcs!$J$221:$J$290,$AA347,Calcs!BN$221:BN$290)</f>
        <v>0</v>
      </c>
      <c r="CD347" s="226">
        <f>SUMIF(Calcs!$J$221:$J$290,$AA347,Calcs!BO$221:BO$290)</f>
        <v>0</v>
      </c>
      <c r="CE347" s="226">
        <f>SUMIF(Calcs!$J$221:$J$290,$AA347,Calcs!BP$221:BP$290)</f>
        <v>0</v>
      </c>
    </row>
    <row r="348" spans="27:83" hidden="1" outlineLevel="1" x14ac:dyDescent="0.3">
      <c r="AA348" s="192" t="s">
        <v>51</v>
      </c>
      <c r="AD348" s="192" t="s">
        <v>234</v>
      </c>
      <c r="AG348" s="226">
        <f>SUMIF(Calcs!$J$221:$J$290,$AA348,Calcs!R$221:R$290)</f>
        <v>0</v>
      </c>
      <c r="AH348" s="226">
        <f>SUMIF(Calcs!$J$221:$J$290,$AA348,Calcs!S$221:S$290)</f>
        <v>0</v>
      </c>
      <c r="AI348" s="226">
        <f>SUMIF(Calcs!$J$221:$J$290,$AA348,Calcs!T$221:T$290)</f>
        <v>0</v>
      </c>
      <c r="AJ348" s="226">
        <f>SUMIF(Calcs!$J$221:$J$290,$AA348,Calcs!U$221:U$290)</f>
        <v>0</v>
      </c>
      <c r="AK348" s="226">
        <f>SUMIF(Calcs!$J$221:$J$290,$AA348,Calcs!V$221:V$290)</f>
        <v>0</v>
      </c>
      <c r="AL348" s="226">
        <f>SUMIF(Calcs!$J$221:$J$290,$AA348,Calcs!W$221:W$290)</f>
        <v>0</v>
      </c>
      <c r="AM348" s="226">
        <f>SUMIF(Calcs!$J$221:$J$290,$AA348,Calcs!X$221:X$290)</f>
        <v>0</v>
      </c>
      <c r="AN348" s="226">
        <f>SUMIF(Calcs!$J$221:$J$290,$AA348,Calcs!Y$221:Y$290)</f>
        <v>0</v>
      </c>
      <c r="AO348" s="226">
        <f>SUMIF(Calcs!$J$221:$J$290,$AA348,Calcs!Z$221:Z$290)</f>
        <v>0</v>
      </c>
      <c r="AP348" s="226">
        <f>SUMIF(Calcs!$J$221:$J$290,$AA348,Calcs!AA$221:AA$290)</f>
        <v>0</v>
      </c>
      <c r="AQ348" s="226">
        <f>SUMIF(Calcs!$J$221:$J$290,$AA348,Calcs!AB$221:AB$290)</f>
        <v>0</v>
      </c>
      <c r="AR348" s="226">
        <f>SUMIF(Calcs!$J$221:$J$290,$AA348,Calcs!AC$221:AC$290)</f>
        <v>0</v>
      </c>
      <c r="AS348" s="226">
        <f>SUMIF(Calcs!$J$221:$J$290,$AA348,Calcs!AD$221:AD$290)</f>
        <v>0</v>
      </c>
      <c r="AT348" s="226">
        <f>SUMIF(Calcs!$J$221:$J$290,$AA348,Calcs!AE$221:AE$290)</f>
        <v>0</v>
      </c>
      <c r="AU348" s="226">
        <f>SUMIF(Calcs!$J$221:$J$290,$AA348,Calcs!AF$221:AF$290)</f>
        <v>0</v>
      </c>
      <c r="AV348" s="226">
        <f>SUMIF(Calcs!$J$221:$J$290,$AA348,Calcs!AG$221:AG$290)</f>
        <v>0</v>
      </c>
      <c r="AW348" s="226">
        <f>SUMIF(Calcs!$J$221:$J$290,$AA348,Calcs!AH$221:AH$290)</f>
        <v>0</v>
      </c>
      <c r="AX348" s="226">
        <f>SUMIF(Calcs!$J$221:$J$290,$AA348,Calcs!AI$221:AI$290)</f>
        <v>0</v>
      </c>
      <c r="AY348" s="226">
        <f>SUMIF(Calcs!$J$221:$J$290,$AA348,Calcs!AJ$221:AJ$290)</f>
        <v>0</v>
      </c>
      <c r="AZ348" s="226">
        <f>SUMIF(Calcs!$J$221:$J$290,$AA348,Calcs!AK$221:AK$290)</f>
        <v>0</v>
      </c>
      <c r="BA348" s="226">
        <f>SUMIF(Calcs!$J$221:$J$290,$AA348,Calcs!AL$221:AL$290)</f>
        <v>0</v>
      </c>
      <c r="BB348" s="226">
        <f>SUMIF(Calcs!$J$221:$J$290,$AA348,Calcs!AM$221:AM$290)</f>
        <v>0</v>
      </c>
      <c r="BC348" s="226">
        <f>SUMIF(Calcs!$J$221:$J$290,$AA348,Calcs!AN$221:AN$290)</f>
        <v>0</v>
      </c>
      <c r="BD348" s="226">
        <f>SUMIF(Calcs!$J$221:$J$290,$AA348,Calcs!AO$221:AO$290)</f>
        <v>0</v>
      </c>
      <c r="BE348" s="226">
        <f>SUMIF(Calcs!$J$221:$J$290,$AA348,Calcs!AP$221:AP$290)</f>
        <v>0</v>
      </c>
      <c r="BF348" s="226">
        <f>SUMIF(Calcs!$J$221:$J$290,$AA348,Calcs!AQ$221:AQ$290)</f>
        <v>0</v>
      </c>
      <c r="BG348" s="226">
        <f>SUMIF(Calcs!$J$221:$J$290,$AA348,Calcs!AR$221:AR$290)</f>
        <v>0</v>
      </c>
      <c r="BH348" s="226">
        <f>SUMIF(Calcs!$J$221:$J$290,$AA348,Calcs!AS$221:AS$290)</f>
        <v>0</v>
      </c>
      <c r="BI348" s="226">
        <f>SUMIF(Calcs!$J$221:$J$290,$AA348,Calcs!AT$221:AT$290)</f>
        <v>0</v>
      </c>
      <c r="BJ348" s="226">
        <f>SUMIF(Calcs!$J$221:$J$290,$AA348,Calcs!AU$221:AU$290)</f>
        <v>0</v>
      </c>
      <c r="BK348" s="226">
        <f>SUMIF(Calcs!$J$221:$J$290,$AA348,Calcs!AV$221:AV$290)</f>
        <v>0</v>
      </c>
      <c r="BL348" s="226">
        <f>SUMIF(Calcs!$J$221:$J$290,$AA348,Calcs!AW$221:AW$290)</f>
        <v>0</v>
      </c>
      <c r="BM348" s="226">
        <f>SUMIF(Calcs!$J$221:$J$290,$AA348,Calcs!AX$221:AX$290)</f>
        <v>0</v>
      </c>
      <c r="BN348" s="226">
        <f>SUMIF(Calcs!$J$221:$J$290,$AA348,Calcs!AY$221:AY$290)</f>
        <v>0</v>
      </c>
      <c r="BO348" s="226">
        <f>SUMIF(Calcs!$J$221:$J$290,$AA348,Calcs!AZ$221:AZ$290)</f>
        <v>0</v>
      </c>
      <c r="BP348" s="226">
        <f>SUMIF(Calcs!$J$221:$J$290,$AA348,Calcs!BA$221:BA$290)</f>
        <v>0</v>
      </c>
      <c r="BQ348" s="226">
        <f>SUMIF(Calcs!$J$221:$J$290,$AA348,Calcs!BB$221:BB$290)</f>
        <v>0</v>
      </c>
      <c r="BR348" s="226">
        <f>SUMIF(Calcs!$J$221:$J$290,$AA348,Calcs!BC$221:BC$290)</f>
        <v>0</v>
      </c>
      <c r="BS348" s="226">
        <f>SUMIF(Calcs!$J$221:$J$290,$AA348,Calcs!BD$221:BD$290)</f>
        <v>0</v>
      </c>
      <c r="BT348" s="226">
        <f>SUMIF(Calcs!$J$221:$J$290,$AA348,Calcs!BE$221:BE$290)</f>
        <v>0</v>
      </c>
      <c r="BU348" s="226">
        <f>SUMIF(Calcs!$J$221:$J$290,$AA348,Calcs!BF$221:BF$290)</f>
        <v>0</v>
      </c>
      <c r="BV348" s="226">
        <f>SUMIF(Calcs!$J$221:$J$290,$AA348,Calcs!BG$221:BG$290)</f>
        <v>0</v>
      </c>
      <c r="BW348" s="226">
        <f>SUMIF(Calcs!$J$221:$J$290,$AA348,Calcs!BH$221:BH$290)</f>
        <v>0</v>
      </c>
      <c r="BX348" s="226">
        <f>SUMIF(Calcs!$J$221:$J$290,$AA348,Calcs!BI$221:BI$290)</f>
        <v>0</v>
      </c>
      <c r="BY348" s="226">
        <f>SUMIF(Calcs!$J$221:$J$290,$AA348,Calcs!BJ$221:BJ$290)</f>
        <v>0</v>
      </c>
      <c r="BZ348" s="226">
        <f>SUMIF(Calcs!$J$221:$J$290,$AA348,Calcs!BK$221:BK$290)</f>
        <v>0</v>
      </c>
      <c r="CA348" s="226">
        <f>SUMIF(Calcs!$J$221:$J$290,$AA348,Calcs!BL$221:BL$290)</f>
        <v>0</v>
      </c>
      <c r="CB348" s="226">
        <f>SUMIF(Calcs!$J$221:$J$290,$AA348,Calcs!BM$221:BM$290)</f>
        <v>0</v>
      </c>
      <c r="CC348" s="226">
        <f>SUMIF(Calcs!$J$221:$J$290,$AA348,Calcs!BN$221:BN$290)</f>
        <v>0</v>
      </c>
      <c r="CD348" s="226">
        <f>SUMIF(Calcs!$J$221:$J$290,$AA348,Calcs!BO$221:BO$290)</f>
        <v>0</v>
      </c>
      <c r="CE348" s="226">
        <f>SUMIF(Calcs!$J$221:$J$290,$AA348,Calcs!BP$221:BP$290)</f>
        <v>0</v>
      </c>
    </row>
    <row r="349" spans="27:83" hidden="1" outlineLevel="1" x14ac:dyDescent="0.3">
      <c r="AA349" s="192" t="s">
        <v>53</v>
      </c>
      <c r="AD349" s="192" t="s">
        <v>234</v>
      </c>
      <c r="AG349" s="226">
        <f>SUMIF(Calcs!$J$221:$J$290,$AA349,Calcs!R$221:R$290)</f>
        <v>0</v>
      </c>
      <c r="AH349" s="226">
        <f>SUMIF(Calcs!$J$221:$J$290,$AA349,Calcs!S$221:S$290)</f>
        <v>0</v>
      </c>
      <c r="AI349" s="226">
        <f>SUMIF(Calcs!$J$221:$J$290,$AA349,Calcs!T$221:T$290)</f>
        <v>0</v>
      </c>
      <c r="AJ349" s="226">
        <f>SUMIF(Calcs!$J$221:$J$290,$AA349,Calcs!U$221:U$290)</f>
        <v>0</v>
      </c>
      <c r="AK349" s="226">
        <f>SUMIF(Calcs!$J$221:$J$290,$AA349,Calcs!V$221:V$290)</f>
        <v>0</v>
      </c>
      <c r="AL349" s="226">
        <f>SUMIF(Calcs!$J$221:$J$290,$AA349,Calcs!W$221:W$290)</f>
        <v>0</v>
      </c>
      <c r="AM349" s="226">
        <f>SUMIF(Calcs!$J$221:$J$290,$AA349,Calcs!X$221:X$290)</f>
        <v>0</v>
      </c>
      <c r="AN349" s="226">
        <f>SUMIF(Calcs!$J$221:$J$290,$AA349,Calcs!Y$221:Y$290)</f>
        <v>0</v>
      </c>
      <c r="AO349" s="226">
        <f>SUMIF(Calcs!$J$221:$J$290,$AA349,Calcs!Z$221:Z$290)</f>
        <v>0</v>
      </c>
      <c r="AP349" s="226">
        <f>SUMIF(Calcs!$J$221:$J$290,$AA349,Calcs!AA$221:AA$290)</f>
        <v>0</v>
      </c>
      <c r="AQ349" s="226">
        <f>SUMIF(Calcs!$J$221:$J$290,$AA349,Calcs!AB$221:AB$290)</f>
        <v>0</v>
      </c>
      <c r="AR349" s="226">
        <f>SUMIF(Calcs!$J$221:$J$290,$AA349,Calcs!AC$221:AC$290)</f>
        <v>0</v>
      </c>
      <c r="AS349" s="226">
        <f>SUMIF(Calcs!$J$221:$J$290,$AA349,Calcs!AD$221:AD$290)</f>
        <v>0</v>
      </c>
      <c r="AT349" s="226">
        <f>SUMIF(Calcs!$J$221:$J$290,$AA349,Calcs!AE$221:AE$290)</f>
        <v>0</v>
      </c>
      <c r="AU349" s="226">
        <f>SUMIF(Calcs!$J$221:$J$290,$AA349,Calcs!AF$221:AF$290)</f>
        <v>0</v>
      </c>
      <c r="AV349" s="226">
        <f>SUMIF(Calcs!$J$221:$J$290,$AA349,Calcs!AG$221:AG$290)</f>
        <v>0</v>
      </c>
      <c r="AW349" s="226">
        <f>SUMIF(Calcs!$J$221:$J$290,$AA349,Calcs!AH$221:AH$290)</f>
        <v>0</v>
      </c>
      <c r="AX349" s="226">
        <f>SUMIF(Calcs!$J$221:$J$290,$AA349,Calcs!AI$221:AI$290)</f>
        <v>0</v>
      </c>
      <c r="AY349" s="226">
        <f>SUMIF(Calcs!$J$221:$J$290,$AA349,Calcs!AJ$221:AJ$290)</f>
        <v>0</v>
      </c>
      <c r="AZ349" s="226">
        <f>SUMIF(Calcs!$J$221:$J$290,$AA349,Calcs!AK$221:AK$290)</f>
        <v>0</v>
      </c>
      <c r="BA349" s="226">
        <f>SUMIF(Calcs!$J$221:$J$290,$AA349,Calcs!AL$221:AL$290)</f>
        <v>0</v>
      </c>
      <c r="BB349" s="226">
        <f>SUMIF(Calcs!$J$221:$J$290,$AA349,Calcs!AM$221:AM$290)</f>
        <v>0</v>
      </c>
      <c r="BC349" s="226">
        <f>SUMIF(Calcs!$J$221:$J$290,$AA349,Calcs!AN$221:AN$290)</f>
        <v>0</v>
      </c>
      <c r="BD349" s="226">
        <f>SUMIF(Calcs!$J$221:$J$290,$AA349,Calcs!AO$221:AO$290)</f>
        <v>0</v>
      </c>
      <c r="BE349" s="226">
        <f>SUMIF(Calcs!$J$221:$J$290,$AA349,Calcs!AP$221:AP$290)</f>
        <v>0</v>
      </c>
      <c r="BF349" s="226">
        <f>SUMIF(Calcs!$J$221:$J$290,$AA349,Calcs!AQ$221:AQ$290)</f>
        <v>0</v>
      </c>
      <c r="BG349" s="226">
        <f>SUMIF(Calcs!$J$221:$J$290,$AA349,Calcs!AR$221:AR$290)</f>
        <v>0</v>
      </c>
      <c r="BH349" s="226">
        <f>SUMIF(Calcs!$J$221:$J$290,$AA349,Calcs!AS$221:AS$290)</f>
        <v>0</v>
      </c>
      <c r="BI349" s="226">
        <f>SUMIF(Calcs!$J$221:$J$290,$AA349,Calcs!AT$221:AT$290)</f>
        <v>0</v>
      </c>
      <c r="BJ349" s="226">
        <f>SUMIF(Calcs!$J$221:$J$290,$AA349,Calcs!AU$221:AU$290)</f>
        <v>0</v>
      </c>
      <c r="BK349" s="226">
        <f>SUMIF(Calcs!$J$221:$J$290,$AA349,Calcs!AV$221:AV$290)</f>
        <v>0</v>
      </c>
      <c r="BL349" s="226">
        <f>SUMIF(Calcs!$J$221:$J$290,$AA349,Calcs!AW$221:AW$290)</f>
        <v>0</v>
      </c>
      <c r="BM349" s="226">
        <f>SUMIF(Calcs!$J$221:$J$290,$AA349,Calcs!AX$221:AX$290)</f>
        <v>0</v>
      </c>
      <c r="BN349" s="226">
        <f>SUMIF(Calcs!$J$221:$J$290,$AA349,Calcs!AY$221:AY$290)</f>
        <v>0</v>
      </c>
      <c r="BO349" s="226">
        <f>SUMIF(Calcs!$J$221:$J$290,$AA349,Calcs!AZ$221:AZ$290)</f>
        <v>0</v>
      </c>
      <c r="BP349" s="226">
        <f>SUMIF(Calcs!$J$221:$J$290,$AA349,Calcs!BA$221:BA$290)</f>
        <v>0</v>
      </c>
      <c r="BQ349" s="226">
        <f>SUMIF(Calcs!$J$221:$J$290,$AA349,Calcs!BB$221:BB$290)</f>
        <v>0</v>
      </c>
      <c r="BR349" s="226">
        <f>SUMIF(Calcs!$J$221:$J$290,$AA349,Calcs!BC$221:BC$290)</f>
        <v>0</v>
      </c>
      <c r="BS349" s="226">
        <f>SUMIF(Calcs!$J$221:$J$290,$AA349,Calcs!BD$221:BD$290)</f>
        <v>0</v>
      </c>
      <c r="BT349" s="226">
        <f>SUMIF(Calcs!$J$221:$J$290,$AA349,Calcs!BE$221:BE$290)</f>
        <v>0</v>
      </c>
      <c r="BU349" s="226">
        <f>SUMIF(Calcs!$J$221:$J$290,$AA349,Calcs!BF$221:BF$290)</f>
        <v>0</v>
      </c>
      <c r="BV349" s="226">
        <f>SUMIF(Calcs!$J$221:$J$290,$AA349,Calcs!BG$221:BG$290)</f>
        <v>0</v>
      </c>
      <c r="BW349" s="226">
        <f>SUMIF(Calcs!$J$221:$J$290,$AA349,Calcs!BH$221:BH$290)</f>
        <v>0</v>
      </c>
      <c r="BX349" s="226">
        <f>SUMIF(Calcs!$J$221:$J$290,$AA349,Calcs!BI$221:BI$290)</f>
        <v>0</v>
      </c>
      <c r="BY349" s="226">
        <f>SUMIF(Calcs!$J$221:$J$290,$AA349,Calcs!BJ$221:BJ$290)</f>
        <v>0</v>
      </c>
      <c r="BZ349" s="226">
        <f>SUMIF(Calcs!$J$221:$J$290,$AA349,Calcs!BK$221:BK$290)</f>
        <v>0</v>
      </c>
      <c r="CA349" s="226">
        <f>SUMIF(Calcs!$J$221:$J$290,$AA349,Calcs!BL$221:BL$290)</f>
        <v>0</v>
      </c>
      <c r="CB349" s="226">
        <f>SUMIF(Calcs!$J$221:$J$290,$AA349,Calcs!BM$221:BM$290)</f>
        <v>0</v>
      </c>
      <c r="CC349" s="226">
        <f>SUMIF(Calcs!$J$221:$J$290,$AA349,Calcs!BN$221:BN$290)</f>
        <v>0</v>
      </c>
      <c r="CD349" s="226">
        <f>SUMIF(Calcs!$J$221:$J$290,$AA349,Calcs!BO$221:BO$290)</f>
        <v>0</v>
      </c>
      <c r="CE349" s="226">
        <f>SUMIF(Calcs!$J$221:$J$290,$AA349,Calcs!BP$221:BP$290)</f>
        <v>0</v>
      </c>
    </row>
    <row r="350" spans="27:83" hidden="1" outlineLevel="1" x14ac:dyDescent="0.3">
      <c r="AA350" s="192" t="s">
        <v>54</v>
      </c>
      <c r="AD350" s="192" t="s">
        <v>234</v>
      </c>
      <c r="AG350" s="226">
        <f>SUMIF(Calcs!$J$221:$J$290,$AA350,Calcs!R$221:R$290)</f>
        <v>0</v>
      </c>
      <c r="AH350" s="226">
        <f>SUMIF(Calcs!$J$221:$J$290,$AA350,Calcs!S$221:S$290)</f>
        <v>0</v>
      </c>
      <c r="AI350" s="226">
        <f>SUMIF(Calcs!$J$221:$J$290,$AA350,Calcs!T$221:T$290)</f>
        <v>0</v>
      </c>
      <c r="AJ350" s="226">
        <f>SUMIF(Calcs!$J$221:$J$290,$AA350,Calcs!U$221:U$290)</f>
        <v>760493.3714148876</v>
      </c>
      <c r="AK350" s="226">
        <f>SUMIF(Calcs!$J$221:$J$290,$AA350,Calcs!V$221:V$290)</f>
        <v>771622.35841197695</v>
      </c>
      <c r="AL350" s="226">
        <f>SUMIF(Calcs!$J$221:$J$290,$AA350,Calcs!W$221:W$290)</f>
        <v>776831.45331736619</v>
      </c>
      <c r="AM350" s="226">
        <f>SUMIF(Calcs!$J$221:$J$290,$AA350,Calcs!X$221:X$290)</f>
        <v>777369.37650212168</v>
      </c>
      <c r="AN350" s="226">
        <f>SUMIF(Calcs!$J$221:$J$290,$AA350,Calcs!Y$221:Y$290)</f>
        <v>789093.58836505224</v>
      </c>
      <c r="AO350" s="226">
        <f>SUMIF(Calcs!$J$221:$J$290,$AA350,Calcs!Z$221:Z$290)</f>
        <v>789093.58836505224</v>
      </c>
      <c r="AP350" s="226">
        <f>SUMIF(Calcs!$J$221:$J$290,$AA350,Calcs!AA$221:AA$290)</f>
        <v>63980.561218788018</v>
      </c>
      <c r="AQ350" s="226">
        <f>SUMIF(Calcs!$J$221:$J$290,$AA350,Calcs!AB$221:AB$290)</f>
        <v>63980.561218788018</v>
      </c>
      <c r="AR350" s="226">
        <f>SUMIF(Calcs!$J$221:$J$290,$AA350,Calcs!AC$221:AC$290)</f>
        <v>0</v>
      </c>
      <c r="AS350" s="226">
        <f>SUMIF(Calcs!$J$221:$J$290,$AA350,Calcs!AD$221:AD$290)</f>
        <v>0</v>
      </c>
      <c r="AT350" s="226">
        <f>SUMIF(Calcs!$J$221:$J$290,$AA350,Calcs!AE$221:AE$290)</f>
        <v>0</v>
      </c>
      <c r="AU350" s="226">
        <f>SUMIF(Calcs!$J$221:$J$290,$AA350,Calcs!AF$221:AF$290)</f>
        <v>0</v>
      </c>
      <c r="AV350" s="226">
        <f>SUMIF(Calcs!$J$221:$J$290,$AA350,Calcs!AG$221:AG$290)</f>
        <v>0</v>
      </c>
      <c r="AW350" s="226">
        <f>SUMIF(Calcs!$J$221:$J$290,$AA350,Calcs!AH$221:AH$290)</f>
        <v>0</v>
      </c>
      <c r="AX350" s="226">
        <f>SUMIF(Calcs!$J$221:$J$290,$AA350,Calcs!AI$221:AI$290)</f>
        <v>0</v>
      </c>
      <c r="AY350" s="226">
        <f>SUMIF(Calcs!$J$221:$J$290,$AA350,Calcs!AJ$221:AJ$290)</f>
        <v>0</v>
      </c>
      <c r="AZ350" s="226">
        <f>SUMIF(Calcs!$J$221:$J$290,$AA350,Calcs!AK$221:AK$290)</f>
        <v>0</v>
      </c>
      <c r="BA350" s="226">
        <f>SUMIF(Calcs!$J$221:$J$290,$AA350,Calcs!AL$221:AL$290)</f>
        <v>0</v>
      </c>
      <c r="BB350" s="226">
        <f>SUMIF(Calcs!$J$221:$J$290,$AA350,Calcs!AM$221:AM$290)</f>
        <v>0</v>
      </c>
      <c r="BC350" s="226">
        <f>SUMIF(Calcs!$J$221:$J$290,$AA350,Calcs!AN$221:AN$290)</f>
        <v>0</v>
      </c>
      <c r="BD350" s="226">
        <f>SUMIF(Calcs!$J$221:$J$290,$AA350,Calcs!AO$221:AO$290)</f>
        <v>0</v>
      </c>
      <c r="BE350" s="226">
        <f>SUMIF(Calcs!$J$221:$J$290,$AA350,Calcs!AP$221:AP$290)</f>
        <v>0</v>
      </c>
      <c r="BF350" s="226">
        <f>SUMIF(Calcs!$J$221:$J$290,$AA350,Calcs!AQ$221:AQ$290)</f>
        <v>0</v>
      </c>
      <c r="BG350" s="226">
        <f>SUMIF(Calcs!$J$221:$J$290,$AA350,Calcs!AR$221:AR$290)</f>
        <v>0</v>
      </c>
      <c r="BH350" s="226">
        <f>SUMIF(Calcs!$J$221:$J$290,$AA350,Calcs!AS$221:AS$290)</f>
        <v>0</v>
      </c>
      <c r="BI350" s="226">
        <f>SUMIF(Calcs!$J$221:$J$290,$AA350,Calcs!AT$221:AT$290)</f>
        <v>0</v>
      </c>
      <c r="BJ350" s="226">
        <f>SUMIF(Calcs!$J$221:$J$290,$AA350,Calcs!AU$221:AU$290)</f>
        <v>0</v>
      </c>
      <c r="BK350" s="226">
        <f>SUMIF(Calcs!$J$221:$J$290,$AA350,Calcs!AV$221:AV$290)</f>
        <v>0</v>
      </c>
      <c r="BL350" s="226">
        <f>SUMIF(Calcs!$J$221:$J$290,$AA350,Calcs!AW$221:AW$290)</f>
        <v>0</v>
      </c>
      <c r="BM350" s="226">
        <f>SUMIF(Calcs!$J$221:$J$290,$AA350,Calcs!AX$221:AX$290)</f>
        <v>0</v>
      </c>
      <c r="BN350" s="226">
        <f>SUMIF(Calcs!$J$221:$J$290,$AA350,Calcs!AY$221:AY$290)</f>
        <v>0</v>
      </c>
      <c r="BO350" s="226">
        <f>SUMIF(Calcs!$J$221:$J$290,$AA350,Calcs!AZ$221:AZ$290)</f>
        <v>0</v>
      </c>
      <c r="BP350" s="226">
        <f>SUMIF(Calcs!$J$221:$J$290,$AA350,Calcs!BA$221:BA$290)</f>
        <v>0</v>
      </c>
      <c r="BQ350" s="226">
        <f>SUMIF(Calcs!$J$221:$J$290,$AA350,Calcs!BB$221:BB$290)</f>
        <v>0</v>
      </c>
      <c r="BR350" s="226">
        <f>SUMIF(Calcs!$J$221:$J$290,$AA350,Calcs!BC$221:BC$290)</f>
        <v>0</v>
      </c>
      <c r="BS350" s="226">
        <f>SUMIF(Calcs!$J$221:$J$290,$AA350,Calcs!BD$221:BD$290)</f>
        <v>0</v>
      </c>
      <c r="BT350" s="226">
        <f>SUMIF(Calcs!$J$221:$J$290,$AA350,Calcs!BE$221:BE$290)</f>
        <v>0</v>
      </c>
      <c r="BU350" s="226">
        <f>SUMIF(Calcs!$J$221:$J$290,$AA350,Calcs!BF$221:BF$290)</f>
        <v>0</v>
      </c>
      <c r="BV350" s="226">
        <f>SUMIF(Calcs!$J$221:$J$290,$AA350,Calcs!BG$221:BG$290)</f>
        <v>0</v>
      </c>
      <c r="BW350" s="226">
        <f>SUMIF(Calcs!$J$221:$J$290,$AA350,Calcs!BH$221:BH$290)</f>
        <v>0</v>
      </c>
      <c r="BX350" s="226">
        <f>SUMIF(Calcs!$J$221:$J$290,$AA350,Calcs!BI$221:BI$290)</f>
        <v>0</v>
      </c>
      <c r="BY350" s="226">
        <f>SUMIF(Calcs!$J$221:$J$290,$AA350,Calcs!BJ$221:BJ$290)</f>
        <v>0</v>
      </c>
      <c r="BZ350" s="226">
        <f>SUMIF(Calcs!$J$221:$J$290,$AA350,Calcs!BK$221:BK$290)</f>
        <v>0</v>
      </c>
      <c r="CA350" s="226">
        <f>SUMIF(Calcs!$J$221:$J$290,$AA350,Calcs!BL$221:BL$290)</f>
        <v>0</v>
      </c>
      <c r="CB350" s="226">
        <f>SUMIF(Calcs!$J$221:$J$290,$AA350,Calcs!BM$221:BM$290)</f>
        <v>0</v>
      </c>
      <c r="CC350" s="226">
        <f>SUMIF(Calcs!$J$221:$J$290,$AA350,Calcs!BN$221:BN$290)</f>
        <v>0</v>
      </c>
      <c r="CD350" s="226">
        <f>SUMIF(Calcs!$J$221:$J$290,$AA350,Calcs!BO$221:BO$290)</f>
        <v>0</v>
      </c>
      <c r="CE350" s="226">
        <f>SUMIF(Calcs!$J$221:$J$290,$AA350,Calcs!BP$221:BP$290)</f>
        <v>0</v>
      </c>
    </row>
    <row r="351" spans="27:83" ht="14.4" hidden="1" outlineLevel="1" thickBot="1" x14ac:dyDescent="0.35">
      <c r="AA351" s="221" t="s">
        <v>66</v>
      </c>
      <c r="AB351" s="222"/>
      <c r="AC351" s="222"/>
      <c r="AD351" s="222"/>
      <c r="AE351" s="222"/>
      <c r="AF351" s="222"/>
      <c r="AG351" s="223">
        <f>SUM(AG339:AG350)</f>
        <v>0</v>
      </c>
      <c r="AH351" s="223">
        <f t="shared" ref="AH351:CE351" si="151">SUM(AH339:AH350)</f>
        <v>0</v>
      </c>
      <c r="AI351" s="223">
        <f t="shared" si="151"/>
        <v>0</v>
      </c>
      <c r="AJ351" s="223">
        <f t="shared" si="151"/>
        <v>6719267.2445740784</v>
      </c>
      <c r="AK351" s="223">
        <f t="shared" si="151"/>
        <v>6817596.3564448478</v>
      </c>
      <c r="AL351" s="223">
        <f t="shared" si="151"/>
        <v>6863620.8217291944</v>
      </c>
      <c r="AM351" s="223">
        <f t="shared" si="151"/>
        <v>6868373.5911434758</v>
      </c>
      <c r="AN351" s="223">
        <f t="shared" si="151"/>
        <v>6971961.7560113305</v>
      </c>
      <c r="AO351" s="223">
        <f t="shared" si="151"/>
        <v>3965835.0871465756</v>
      </c>
      <c r="AP351" s="223">
        <f t="shared" si="151"/>
        <v>894768.14864475047</v>
      </c>
      <c r="AQ351" s="223">
        <f t="shared" si="151"/>
        <v>894768.14864475047</v>
      </c>
      <c r="AR351" s="223">
        <f t="shared" si="151"/>
        <v>0</v>
      </c>
      <c r="AS351" s="223">
        <f t="shared" si="151"/>
        <v>0</v>
      </c>
      <c r="AT351" s="223">
        <f t="shared" si="151"/>
        <v>0</v>
      </c>
      <c r="AU351" s="223">
        <f t="shared" si="151"/>
        <v>0</v>
      </c>
      <c r="AV351" s="223">
        <f t="shared" si="151"/>
        <v>0</v>
      </c>
      <c r="AW351" s="223">
        <f t="shared" si="151"/>
        <v>0</v>
      </c>
      <c r="AX351" s="223">
        <f t="shared" si="151"/>
        <v>0</v>
      </c>
      <c r="AY351" s="223">
        <f t="shared" si="151"/>
        <v>0</v>
      </c>
      <c r="AZ351" s="223">
        <f t="shared" si="151"/>
        <v>0</v>
      </c>
      <c r="BA351" s="223">
        <f t="shared" si="151"/>
        <v>0</v>
      </c>
      <c r="BB351" s="223">
        <f t="shared" si="151"/>
        <v>0</v>
      </c>
      <c r="BC351" s="223">
        <f t="shared" si="151"/>
        <v>0</v>
      </c>
      <c r="BD351" s="223">
        <f t="shared" si="151"/>
        <v>0</v>
      </c>
      <c r="BE351" s="223">
        <f t="shared" si="151"/>
        <v>0</v>
      </c>
      <c r="BF351" s="223">
        <f t="shared" si="151"/>
        <v>0</v>
      </c>
      <c r="BG351" s="223">
        <f t="shared" si="151"/>
        <v>0</v>
      </c>
      <c r="BH351" s="223">
        <f t="shared" si="151"/>
        <v>0</v>
      </c>
      <c r="BI351" s="223">
        <f t="shared" si="151"/>
        <v>0</v>
      </c>
      <c r="BJ351" s="223">
        <f t="shared" si="151"/>
        <v>0</v>
      </c>
      <c r="BK351" s="223">
        <f t="shared" si="151"/>
        <v>0</v>
      </c>
      <c r="BL351" s="223">
        <f t="shared" si="151"/>
        <v>0</v>
      </c>
      <c r="BM351" s="223">
        <f t="shared" si="151"/>
        <v>0</v>
      </c>
      <c r="BN351" s="223">
        <f t="shared" si="151"/>
        <v>0</v>
      </c>
      <c r="BO351" s="223">
        <f t="shared" si="151"/>
        <v>0</v>
      </c>
      <c r="BP351" s="223">
        <f t="shared" si="151"/>
        <v>0</v>
      </c>
      <c r="BQ351" s="223">
        <f t="shared" si="151"/>
        <v>0</v>
      </c>
      <c r="BR351" s="223">
        <f t="shared" si="151"/>
        <v>0</v>
      </c>
      <c r="BS351" s="223">
        <f t="shared" si="151"/>
        <v>0</v>
      </c>
      <c r="BT351" s="223">
        <f t="shared" si="151"/>
        <v>0</v>
      </c>
      <c r="BU351" s="223">
        <f t="shared" si="151"/>
        <v>0</v>
      </c>
      <c r="BV351" s="223">
        <f t="shared" si="151"/>
        <v>0</v>
      </c>
      <c r="BW351" s="223">
        <f t="shared" si="151"/>
        <v>0</v>
      </c>
      <c r="BX351" s="223">
        <f t="shared" si="151"/>
        <v>0</v>
      </c>
      <c r="BY351" s="223">
        <f t="shared" si="151"/>
        <v>0</v>
      </c>
      <c r="BZ351" s="223">
        <f t="shared" si="151"/>
        <v>0</v>
      </c>
      <c r="CA351" s="223">
        <f t="shared" si="151"/>
        <v>0</v>
      </c>
      <c r="CB351" s="223">
        <f t="shared" si="151"/>
        <v>0</v>
      </c>
      <c r="CC351" s="223">
        <f t="shared" si="151"/>
        <v>0</v>
      </c>
      <c r="CD351" s="223">
        <f t="shared" si="151"/>
        <v>0</v>
      </c>
      <c r="CE351" s="223">
        <f t="shared" si="151"/>
        <v>0</v>
      </c>
    </row>
    <row r="352" spans="27:83" hidden="1" outlineLevel="1" x14ac:dyDescent="0.3">
      <c r="AA352" s="192" t="s">
        <v>237</v>
      </c>
      <c r="AB352" s="193" t="str">
        <f>IF((SUM(AG351:CE351)-SUM(Calcs!$L$265:$L$272,Calcs!$L$274,Calcs!$L$276:$L$280,Calcs!$L$282,Calcs!$L$284:$L$286,Calcs!$L$288:$L$290))&lt;0.000001,"Ok","Check")</f>
        <v>Ok</v>
      </c>
    </row>
    <row r="353" spans="28:28" hidden="1" outlineLevel="1" x14ac:dyDescent="0.3">
      <c r="AB353" s="196"/>
    </row>
    <row r="354" spans="28:28" hidden="1" outlineLevel="1" x14ac:dyDescent="0.3"/>
    <row r="355" spans="28:28" hidden="1" outlineLevel="1" x14ac:dyDescent="0.3"/>
    <row r="356" spans="28:28" hidden="1" outlineLevel="1" x14ac:dyDescent="0.3"/>
    <row r="357" spans="28:28" hidden="1" outlineLevel="1" x14ac:dyDescent="0.3"/>
    <row r="358" spans="28:28" hidden="1" outlineLevel="1" x14ac:dyDescent="0.3"/>
    <row r="359" spans="28:28" hidden="1" outlineLevel="1" x14ac:dyDescent="0.3"/>
    <row r="360" spans="28:28" hidden="1" outlineLevel="1" x14ac:dyDescent="0.3"/>
    <row r="361" spans="28:28" hidden="1" outlineLevel="1" x14ac:dyDescent="0.3"/>
    <row r="362" spans="28:28" hidden="1" outlineLevel="1" x14ac:dyDescent="0.3"/>
    <row r="363" spans="28:28" hidden="1" outlineLevel="1" x14ac:dyDescent="0.3"/>
    <row r="364" spans="28:28" hidden="1" outlineLevel="1" x14ac:dyDescent="0.3"/>
    <row r="365" spans="28:28" hidden="1" outlineLevel="1" x14ac:dyDescent="0.3"/>
    <row r="366" spans="28:28" hidden="1" outlineLevel="1" x14ac:dyDescent="0.3"/>
    <row r="367" spans="28:28" hidden="1" outlineLevel="1" x14ac:dyDescent="0.3"/>
    <row r="368" spans="28:28" hidden="1" outlineLevel="1" x14ac:dyDescent="0.3"/>
    <row r="369" spans="3:60" hidden="1" outlineLevel="1" x14ac:dyDescent="0.3"/>
    <row r="370" spans="3:60" hidden="1" outlineLevel="1" x14ac:dyDescent="0.3"/>
    <row r="371" spans="3:60" hidden="1" outlineLevel="1" x14ac:dyDescent="0.3"/>
    <row r="372" spans="3:60" hidden="1" outlineLevel="1" x14ac:dyDescent="0.3"/>
    <row r="373" spans="3:60" hidden="1" outlineLevel="1" x14ac:dyDescent="0.3"/>
    <row r="375" spans="3:60" s="198" customFormat="1" collapsed="1" x14ac:dyDescent="0.3">
      <c r="C375" s="197" t="s">
        <v>238</v>
      </c>
    </row>
    <row r="376" spans="3:60" hidden="1" outlineLevel="1" x14ac:dyDescent="0.3"/>
    <row r="377" spans="3:60" hidden="1" outlineLevel="1" x14ac:dyDescent="0.3">
      <c r="D377" s="199" t="s">
        <v>239</v>
      </c>
      <c r="J377" s="367">
        <v>0</v>
      </c>
      <c r="K377" s="367">
        <f>J377+1</f>
        <v>1</v>
      </c>
      <c r="L377" s="367">
        <f t="shared" ref="L377:BH377" si="152">K377+1</f>
        <v>2</v>
      </c>
      <c r="M377" s="367">
        <f t="shared" si="152"/>
        <v>3</v>
      </c>
      <c r="N377" s="367">
        <f t="shared" si="152"/>
        <v>4</v>
      </c>
      <c r="O377" s="367">
        <f t="shared" si="152"/>
        <v>5</v>
      </c>
      <c r="P377" s="367">
        <f t="shared" si="152"/>
        <v>6</v>
      </c>
      <c r="Q377" s="367">
        <f t="shared" si="152"/>
        <v>7</v>
      </c>
      <c r="R377" s="367">
        <f t="shared" si="152"/>
        <v>8</v>
      </c>
      <c r="S377" s="367">
        <f t="shared" si="152"/>
        <v>9</v>
      </c>
      <c r="T377" s="367">
        <f t="shared" si="152"/>
        <v>10</v>
      </c>
      <c r="U377" s="367">
        <f t="shared" si="152"/>
        <v>11</v>
      </c>
      <c r="V377" s="367">
        <f t="shared" si="152"/>
        <v>12</v>
      </c>
      <c r="W377" s="367">
        <f t="shared" si="152"/>
        <v>13</v>
      </c>
      <c r="X377" s="367">
        <f t="shared" si="152"/>
        <v>14</v>
      </c>
      <c r="Y377" s="367">
        <f t="shared" si="152"/>
        <v>15</v>
      </c>
      <c r="Z377" s="367">
        <f t="shared" si="152"/>
        <v>16</v>
      </c>
      <c r="AA377" s="367">
        <f t="shared" si="152"/>
        <v>17</v>
      </c>
      <c r="AB377" s="367">
        <f t="shared" si="152"/>
        <v>18</v>
      </c>
      <c r="AC377" s="367">
        <f t="shared" si="152"/>
        <v>19</v>
      </c>
      <c r="AD377" s="367">
        <f t="shared" si="152"/>
        <v>20</v>
      </c>
      <c r="AE377" s="367">
        <f t="shared" si="152"/>
        <v>21</v>
      </c>
      <c r="AF377" s="367">
        <f t="shared" si="152"/>
        <v>22</v>
      </c>
      <c r="AG377" s="367">
        <f t="shared" si="152"/>
        <v>23</v>
      </c>
      <c r="AH377" s="367">
        <f t="shared" si="152"/>
        <v>24</v>
      </c>
      <c r="AI377" s="367">
        <f t="shared" si="152"/>
        <v>25</v>
      </c>
      <c r="AJ377" s="367">
        <f t="shared" si="152"/>
        <v>26</v>
      </c>
      <c r="AK377" s="367">
        <f t="shared" si="152"/>
        <v>27</v>
      </c>
      <c r="AL377" s="367">
        <f t="shared" si="152"/>
        <v>28</v>
      </c>
      <c r="AM377" s="367">
        <f t="shared" si="152"/>
        <v>29</v>
      </c>
      <c r="AN377" s="367">
        <f t="shared" si="152"/>
        <v>30</v>
      </c>
      <c r="AO377" s="367">
        <f t="shared" si="152"/>
        <v>31</v>
      </c>
      <c r="AP377" s="367">
        <f t="shared" si="152"/>
        <v>32</v>
      </c>
      <c r="AQ377" s="367">
        <f t="shared" si="152"/>
        <v>33</v>
      </c>
      <c r="AR377" s="367">
        <f t="shared" si="152"/>
        <v>34</v>
      </c>
      <c r="AS377" s="367">
        <f t="shared" si="152"/>
        <v>35</v>
      </c>
      <c r="AT377" s="367">
        <f t="shared" si="152"/>
        <v>36</v>
      </c>
      <c r="AU377" s="367">
        <f t="shared" si="152"/>
        <v>37</v>
      </c>
      <c r="AV377" s="367">
        <f t="shared" si="152"/>
        <v>38</v>
      </c>
      <c r="AW377" s="367">
        <f t="shared" si="152"/>
        <v>39</v>
      </c>
      <c r="AX377" s="367">
        <f t="shared" si="152"/>
        <v>40</v>
      </c>
      <c r="AY377" s="367">
        <f t="shared" si="152"/>
        <v>41</v>
      </c>
      <c r="AZ377" s="367">
        <f t="shared" si="152"/>
        <v>42</v>
      </c>
      <c r="BA377" s="367">
        <f t="shared" si="152"/>
        <v>43</v>
      </c>
      <c r="BB377" s="367">
        <f t="shared" si="152"/>
        <v>44</v>
      </c>
      <c r="BC377" s="367">
        <f t="shared" si="152"/>
        <v>45</v>
      </c>
      <c r="BD377" s="367">
        <f t="shared" si="152"/>
        <v>46</v>
      </c>
      <c r="BE377" s="367">
        <f t="shared" si="152"/>
        <v>47</v>
      </c>
      <c r="BF377" s="367">
        <f t="shared" si="152"/>
        <v>48</v>
      </c>
      <c r="BG377" s="367">
        <f t="shared" si="152"/>
        <v>49</v>
      </c>
      <c r="BH377" s="367">
        <f t="shared" si="152"/>
        <v>50</v>
      </c>
    </row>
    <row r="378" spans="3:60" hidden="1" outlineLevel="1" x14ac:dyDescent="0.3"/>
    <row r="387" ht="10.35" customHeight="1" x14ac:dyDescent="0.3"/>
    <row r="388" ht="10.35" customHeight="1" x14ac:dyDescent="0.3"/>
    <row r="389" ht="10.35" customHeight="1" x14ac:dyDescent="0.3"/>
  </sheetData>
  <mergeCells count="1">
    <mergeCell ref="K4:L4"/>
  </mergeCells>
  <conditionalFormatting sqref="AN105 AN145 AN183 AN220">
    <cfRule type="containsText" dxfId="83" priority="81" operator="containsText" text="Ok">
      <formula>NOT(ISERROR(SEARCH("Ok",AN105)))</formula>
    </cfRule>
    <cfRule type="containsText" dxfId="82" priority="82" operator="containsText" text="Check">
      <formula>NOT(ISERROR(SEARCH("Check",AN105)))</formula>
    </cfRule>
  </conditionalFormatting>
  <conditionalFormatting sqref="AN183">
    <cfRule type="containsText" dxfId="81" priority="119" operator="containsText" text="Ok">
      <formula>NOT(ISERROR(SEARCH("Ok",AB328)))</formula>
    </cfRule>
    <cfRule type="containsText" dxfId="80" priority="120" operator="containsText" text="Check">
      <formula>NOT(ISERROR(SEARCH("Check",AB328)))</formula>
    </cfRule>
  </conditionalFormatting>
  <conditionalFormatting sqref="AB352">
    <cfRule type="containsText" dxfId="79" priority="63" operator="containsText" text="Ok">
      <formula>NOT(ISERROR(SEARCH("Ok",AB352)))</formula>
    </cfRule>
    <cfRule type="containsText" dxfId="78" priority="64" operator="containsText" text="Check">
      <formula>NOT(ISERROR(SEARCH("Check",AB352)))</formula>
    </cfRule>
  </conditionalFormatting>
  <conditionalFormatting sqref="AB352">
    <cfRule type="containsText" dxfId="77" priority="69" operator="containsText" text="Ok">
      <formula>NOT(ISERROR(SEARCH("Ok",AB361)))</formula>
    </cfRule>
    <cfRule type="containsText" dxfId="76" priority="70" operator="containsText" text="Check">
      <formula>NOT(ISERROR(SEARCH("Check",AB361)))</formula>
    </cfRule>
  </conditionalFormatting>
  <conditionalFormatting sqref="AN183">
    <cfRule type="containsText" dxfId="75" priority="87" operator="containsText" text="Ok">
      <formula>NOT(ISERROR(SEARCH("Ok",#REF!)))</formula>
    </cfRule>
    <cfRule type="containsText" dxfId="74" priority="88" operator="containsText" text="Check">
      <formula>NOT(ISERROR(SEARCH("Check",#REF!)))</formula>
    </cfRule>
  </conditionalFormatting>
  <conditionalFormatting sqref="AN183">
    <cfRule type="containsText" dxfId="73" priority="83" operator="containsText" text="Ok">
      <formula>NOT(ISERROR(SEARCH("Ok",#REF!)))</formula>
    </cfRule>
    <cfRule type="containsText" dxfId="72" priority="84" operator="containsText" text="Check">
      <formula>NOT(ISERROR(SEARCH("Check",#REF!)))</formula>
    </cfRule>
  </conditionalFormatting>
  <conditionalFormatting sqref="AN145">
    <cfRule type="containsText" dxfId="71" priority="105" operator="containsText" text="Ok">
      <formula>NOT(ISERROR(SEARCH("Ok",#REF!)))</formula>
    </cfRule>
    <cfRule type="containsText" dxfId="70" priority="106" operator="containsText" text="Check">
      <formula>NOT(ISERROR(SEARCH("Check",#REF!)))</formula>
    </cfRule>
  </conditionalFormatting>
  <conditionalFormatting sqref="AN105">
    <cfRule type="containsText" dxfId="69" priority="107" operator="containsText" text="Ok">
      <formula>NOT(ISERROR(SEARCH("Ok",#REF!)))</formula>
    </cfRule>
    <cfRule type="containsText" dxfId="68" priority="108" operator="containsText" text="Check">
      <formula>NOT(ISERROR(SEARCH("Check",#REF!)))</formula>
    </cfRule>
  </conditionalFormatting>
  <conditionalFormatting sqref="AB352">
    <cfRule type="containsText" dxfId="67" priority="67" operator="containsText" text="Ok">
      <formula>NOT(ISERROR(SEARCH("Ok",#REF!)))</formula>
    </cfRule>
    <cfRule type="containsText" dxfId="66" priority="68" operator="containsText" text="Check">
      <formula>NOT(ISERROR(SEARCH("Check",#REF!)))</formula>
    </cfRule>
  </conditionalFormatting>
  <conditionalFormatting sqref="AB352">
    <cfRule type="containsText" dxfId="65" priority="65" operator="containsText" text="Ok">
      <formula>NOT(ISERROR(SEARCH("Ok",#REF!)))</formula>
    </cfRule>
    <cfRule type="containsText" dxfId="64" priority="66" operator="containsText" text="Check">
      <formula>NOT(ISERROR(SEARCH("Check",#REF!)))</formula>
    </cfRule>
  </conditionalFormatting>
  <conditionalFormatting sqref="AH7">
    <cfRule type="containsText" dxfId="63" priority="57" operator="containsText" text="Ok">
      <formula>NOT(ISERROR(SEARCH("Ok",AH7)))</formula>
    </cfRule>
    <cfRule type="containsText" dxfId="62" priority="58" operator="containsText" text="Check">
      <formula>NOT(ISERROR(SEARCH("Check",AH7)))</formula>
    </cfRule>
  </conditionalFormatting>
  <conditionalFormatting sqref="AH7">
    <cfRule type="containsText" dxfId="61" priority="61" operator="containsText" text="Ok">
      <formula>NOT(ISERROR(SEARCH("Ok",V23)))</formula>
    </cfRule>
    <cfRule type="containsText" dxfId="60" priority="62" operator="containsText" text="Check">
      <formula>NOT(ISERROR(SEARCH("Check",V23)))</formula>
    </cfRule>
  </conditionalFormatting>
  <conditionalFormatting sqref="AH7">
    <cfRule type="containsText" dxfId="59" priority="59" operator="containsText" text="Ok">
      <formula>NOT(ISERROR(SEARCH("Ok",#REF!)))</formula>
    </cfRule>
    <cfRule type="containsText" dxfId="58" priority="60" operator="containsText" text="Check">
      <formula>NOT(ISERROR(SEARCH("Check",#REF!)))</formula>
    </cfRule>
  </conditionalFormatting>
  <conditionalFormatting sqref="AH8">
    <cfRule type="containsText" dxfId="57" priority="51" operator="containsText" text="Ok">
      <formula>NOT(ISERROR(SEARCH("Ok",AH8)))</formula>
    </cfRule>
    <cfRule type="containsText" dxfId="56" priority="52" operator="containsText" text="Check">
      <formula>NOT(ISERROR(SEARCH("Check",AH8)))</formula>
    </cfRule>
  </conditionalFormatting>
  <conditionalFormatting sqref="AH8">
    <cfRule type="containsText" dxfId="55" priority="53" operator="containsText" text="Ok">
      <formula>NOT(ISERROR(SEARCH("Ok",#REF!)))</formula>
    </cfRule>
    <cfRule type="containsText" dxfId="54" priority="54" operator="containsText" text="Check">
      <formula>NOT(ISERROR(SEARCH("Check",#REF!)))</formula>
    </cfRule>
  </conditionalFormatting>
  <conditionalFormatting sqref="AN105">
    <cfRule type="containsText" dxfId="53" priority="121" operator="containsText" text="Ok">
      <formula>NOT(ISERROR(SEARCH("Ok",#REF!)))</formula>
    </cfRule>
    <cfRule type="containsText" dxfId="52" priority="122" operator="containsText" text="Check">
      <formula>NOT(ISERROR(SEARCH("Check",#REF!)))</formula>
    </cfRule>
  </conditionalFormatting>
  <conditionalFormatting sqref="AN295">
    <cfRule type="containsText" dxfId="51" priority="43" operator="containsText" text="Ok">
      <formula>NOT(ISERROR(SEARCH("Ok",AN295)))</formula>
    </cfRule>
    <cfRule type="containsText" dxfId="50" priority="44" operator="containsText" text="Check">
      <formula>NOT(ISERROR(SEARCH("Check",AN295)))</formula>
    </cfRule>
  </conditionalFormatting>
  <conditionalFormatting sqref="AN295">
    <cfRule type="containsText" dxfId="49" priority="47" operator="containsText" text="Ok">
      <formula>NOT(ISERROR(SEARCH("Ok",#REF!)))</formula>
    </cfRule>
    <cfRule type="containsText" dxfId="48" priority="48" operator="containsText" text="Check">
      <formula>NOT(ISERROR(SEARCH("Check",#REF!)))</formula>
    </cfRule>
  </conditionalFormatting>
  <conditionalFormatting sqref="AN295">
    <cfRule type="containsText" dxfId="47" priority="45" operator="containsText" text="Ok">
      <formula>NOT(ISERROR(SEARCH("Ok",#REF!)))</formula>
    </cfRule>
    <cfRule type="containsText" dxfId="46" priority="46" operator="containsText" text="Check">
      <formula>NOT(ISERROR(SEARCH("Check",#REF!)))</formula>
    </cfRule>
  </conditionalFormatting>
  <conditionalFormatting sqref="AN295">
    <cfRule type="containsText" dxfId="45" priority="125" operator="containsText" text="Ok">
      <formula>NOT(ISERROR(SEARCH("Ok",#REF!)))</formula>
    </cfRule>
    <cfRule type="containsText" dxfId="44" priority="126" operator="containsText" text="Check">
      <formula>NOT(ISERROR(SEARCH("Check",#REF!)))</formula>
    </cfRule>
  </conditionalFormatting>
  <conditionalFormatting sqref="AN254">
    <cfRule type="containsText" dxfId="43" priority="25" operator="containsText" text="Ok">
      <formula>NOT(ISERROR(SEARCH("Ok",AN254)))</formula>
    </cfRule>
    <cfRule type="containsText" dxfId="42" priority="26" operator="containsText" text="Check">
      <formula>NOT(ISERROR(SEARCH("Check",AN254)))</formula>
    </cfRule>
  </conditionalFormatting>
  <conditionalFormatting sqref="AN220">
    <cfRule type="containsText" dxfId="41" priority="39" operator="containsText" text="Ok">
      <formula>NOT(ISERROR(SEARCH("Ok",#REF!)))</formula>
    </cfRule>
    <cfRule type="containsText" dxfId="40" priority="40" operator="containsText" text="Check">
      <formula>NOT(ISERROR(SEARCH("Check",#REF!)))</formula>
    </cfRule>
  </conditionalFormatting>
  <conditionalFormatting sqref="AN220">
    <cfRule type="containsText" dxfId="39" priority="37" operator="containsText" text="Ok">
      <formula>NOT(ISERROR(SEARCH("Ok",#REF!)))</formula>
    </cfRule>
    <cfRule type="containsText" dxfId="38" priority="38" operator="containsText" text="Check">
      <formula>NOT(ISERROR(SEARCH("Check",#REF!)))</formula>
    </cfRule>
  </conditionalFormatting>
  <conditionalFormatting sqref="AN220">
    <cfRule type="containsText" dxfId="37" priority="41" operator="containsText" text="Ok">
      <formula>NOT(ISERROR(SEARCH("Ok",#REF!)))</formula>
    </cfRule>
    <cfRule type="containsText" dxfId="36" priority="42" operator="containsText" text="Check">
      <formula>NOT(ISERROR(SEARCH("Check",#REF!)))</formula>
    </cfRule>
  </conditionalFormatting>
  <conditionalFormatting sqref="AN254">
    <cfRule type="containsText" dxfId="35" priority="21" operator="containsText" text="Ok">
      <formula>NOT(ISERROR(SEARCH("Ok",#REF!)))</formula>
    </cfRule>
    <cfRule type="containsText" dxfId="34" priority="22" operator="containsText" text="Check">
      <formula>NOT(ISERROR(SEARCH("Check",#REF!)))</formula>
    </cfRule>
  </conditionalFormatting>
  <conditionalFormatting sqref="AN254">
    <cfRule type="containsText" dxfId="33" priority="19" operator="containsText" text="Ok">
      <formula>NOT(ISERROR(SEARCH("Ok",#REF!)))</formula>
    </cfRule>
    <cfRule type="containsText" dxfId="32" priority="20" operator="containsText" text="Check">
      <formula>NOT(ISERROR(SEARCH("Check",#REF!)))</formula>
    </cfRule>
  </conditionalFormatting>
  <conditionalFormatting sqref="AN254">
    <cfRule type="containsText" dxfId="31" priority="23" operator="containsText" text="Ok">
      <formula>NOT(ISERROR(SEARCH("Ok",#REF!)))</formula>
    </cfRule>
    <cfRule type="containsText" dxfId="30" priority="24" operator="containsText" text="Check">
      <formula>NOT(ISERROR(SEARCH("Check",#REF!)))</formula>
    </cfRule>
  </conditionalFormatting>
  <conditionalFormatting sqref="T56">
    <cfRule type="containsText" dxfId="29" priority="13" operator="containsText" text="Ok">
      <formula>NOT(ISERROR(SEARCH("Ok",T56)))</formula>
    </cfRule>
    <cfRule type="containsText" dxfId="28" priority="14" operator="containsText" text="Check">
      <formula>NOT(ISERROR(SEARCH("Check",T56)))</formula>
    </cfRule>
  </conditionalFormatting>
  <conditionalFormatting sqref="T56">
    <cfRule type="containsText" dxfId="27" priority="15" operator="containsText" text="Ok">
      <formula>NOT(ISERROR(SEARCH("Ok",#REF!)))</formula>
    </cfRule>
    <cfRule type="containsText" dxfId="26" priority="16" operator="containsText" text="Check">
      <formula>NOT(ISERROR(SEARCH("Check",#REF!)))</formula>
    </cfRule>
  </conditionalFormatting>
  <conditionalFormatting sqref="T56">
    <cfRule type="containsText" dxfId="25" priority="17" operator="containsText" text="Ok">
      <formula>NOT(ISERROR(SEARCH("Ok",#REF!)))</formula>
    </cfRule>
    <cfRule type="containsText" dxfId="24" priority="18" operator="containsText" text="Check">
      <formula>NOT(ISERROR(SEARCH("Check",#REF!)))</formula>
    </cfRule>
  </conditionalFormatting>
  <conditionalFormatting sqref="T60">
    <cfRule type="containsText" dxfId="23" priority="7" operator="containsText" text="Ok">
      <formula>NOT(ISERROR(SEARCH("Ok",T60)))</formula>
    </cfRule>
    <cfRule type="containsText" dxfId="22" priority="8" operator="containsText" text="Check">
      <formula>NOT(ISERROR(SEARCH("Check",T60)))</formula>
    </cfRule>
  </conditionalFormatting>
  <conditionalFormatting sqref="T60">
    <cfRule type="containsText" dxfId="21" priority="9" operator="containsText" text="Ok">
      <formula>NOT(ISERROR(SEARCH("Ok",#REF!)))</formula>
    </cfRule>
    <cfRule type="containsText" dxfId="20" priority="10" operator="containsText" text="Check">
      <formula>NOT(ISERROR(SEARCH("Check",#REF!)))</formula>
    </cfRule>
  </conditionalFormatting>
  <conditionalFormatting sqref="T60">
    <cfRule type="containsText" dxfId="19" priority="11" operator="containsText" text="Ok">
      <formula>NOT(ISERROR(SEARCH("Ok",#REF!)))</formula>
    </cfRule>
    <cfRule type="containsText" dxfId="18" priority="12" operator="containsText" text="Check">
      <formula>NOT(ISERROR(SEARCH("Check",#REF!)))</formula>
    </cfRule>
  </conditionalFormatting>
  <conditionalFormatting sqref="AH9">
    <cfRule type="containsText" dxfId="17" priority="1" operator="containsText" text="Ok">
      <formula>NOT(ISERROR(SEARCH("Ok",AH9)))</formula>
    </cfRule>
    <cfRule type="containsText" dxfId="16" priority="2" operator="containsText" text="Check">
      <formula>NOT(ISERROR(SEARCH("Check",AH9)))</formula>
    </cfRule>
  </conditionalFormatting>
  <conditionalFormatting sqref="AH9">
    <cfRule type="containsText" dxfId="15" priority="3" operator="containsText" text="Ok">
      <formula>NOT(ISERROR(SEARCH("Ok",#REF!)))</formula>
    </cfRule>
    <cfRule type="containsText" dxfId="14" priority="4" operator="containsText" text="Check">
      <formula>NOT(ISERROR(SEARCH("Check",#REF!)))</formula>
    </cfRule>
  </conditionalFormatting>
  <conditionalFormatting sqref="AN145">
    <cfRule type="containsText" dxfId="13" priority="135" operator="containsText" text="Ok">
      <formula>NOT(ISERROR(SEARCH("Ok",AN163)))</formula>
    </cfRule>
    <cfRule type="containsText" dxfId="12" priority="136" operator="containsText" text="Check">
      <formula>NOT(ISERROR(SEARCH("Check",AN163)))</formula>
    </cfRule>
  </conditionalFormatting>
  <conditionalFormatting sqref="AH9">
    <cfRule type="containsText" dxfId="11" priority="139" operator="containsText" text="Ok">
      <formula>NOT(ISERROR(SEARCH("Ok",#REF!)))</formula>
    </cfRule>
    <cfRule type="containsText" dxfId="10" priority="140" operator="containsText" text="Check">
      <formula>NOT(ISERROR(SEARCH("Check",#REF!)))</formula>
    </cfRule>
  </conditionalFormatting>
  <conditionalFormatting sqref="AH8">
    <cfRule type="containsText" dxfId="9" priority="141" operator="containsText" text="Ok">
      <formula>NOT(ISERROR(SEARCH("Ok",V64)))</formula>
    </cfRule>
    <cfRule type="containsText" dxfId="8" priority="142" operator="containsText" text="Check">
      <formula>NOT(ISERROR(SEARCH("Check",V64)))</formula>
    </cfRule>
  </conditionalFormatting>
  <dataValidations count="2">
    <dataValidation type="list" allowBlank="1" showInputMessage="1" showErrorMessage="1" sqref="H14:I14" xr:uid="{00000000-0002-0000-0700-000000000000}">
      <formula1>"True, False"</formula1>
    </dataValidation>
    <dataValidation type="list" allowBlank="1" showInputMessage="1" showErrorMessage="1" sqref="P14" xr:uid="{00000000-0002-0000-0700-000001000000}">
      <formula1>"On,Off"</formula1>
    </dataValidation>
  </dataValidations>
  <pageMargins left="0.7" right="0.7" top="0.75" bottom="0.75" header="0.3" footer="0.3"/>
  <pageSetup paperSize="9" orientation="portrait" r:id="rId1"/>
  <headerFooter>
    <oddFooter>&amp;L&amp;1#&amp;"Calibri"&amp;8&amp;K000000For Official use only</oddFooter>
  </headerFooter>
  <customProperties>
    <customPr name="EpmWorksheetKeyString_GUID" r:id="rId2"/>
  </customProperties>
  <drawing r:id="rId3"/>
  <legacyDrawing r:id="rId4"/>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700-000002000000}">
          <x14:formula1>
            <xm:f>Assumptions!$D$30:$D$32</xm:f>
          </x14:formula1>
          <xm:sqref>E14</xm:sqref>
        </x14:dataValidation>
        <x14:dataValidation type="list" allowBlank="1" showInputMessage="1" showErrorMessage="1" xr:uid="{00000000-0002-0000-0700-000003000000}">
          <x14:formula1>
            <xm:f>Assumptions!$D$36:$D$38</xm:f>
          </x14:formula1>
          <xm:sqref>F14</xm:sqref>
        </x14:dataValidation>
        <x14:dataValidation type="list" allowBlank="1" showInputMessage="1" showErrorMessage="1" xr:uid="{B8688E49-6248-4126-853A-B9865893AE5D}">
          <x14:formula1>
            <xm:f>Assumptions!$D$232:$D$233</xm:f>
          </x14:formula1>
          <xm:sqref>U14</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21197E1-E145-41CF-A169-F19A263B380C}">
  <sheetPr>
    <tabColor theme="8"/>
    <outlinePr summaryBelow="0"/>
  </sheetPr>
  <dimension ref="A1:BF88"/>
  <sheetViews>
    <sheetView showGridLines="0" topLeftCell="A37" zoomScale="115" zoomScaleNormal="115" workbookViewId="0">
      <selection activeCell="E34" sqref="E34"/>
    </sheetView>
  </sheetViews>
  <sheetFormatPr defaultColWidth="9.140625" defaultRowHeight="10.199999999999999" outlineLevelRow="1" x14ac:dyDescent="0.2"/>
  <cols>
    <col min="1" max="3" width="0.85546875" customWidth="1"/>
    <col min="4" max="4" width="45.7109375" customWidth="1"/>
    <col min="5" max="8" width="9.140625" customWidth="1"/>
  </cols>
  <sheetData>
    <row r="1" spans="1:58" s="2" customFormat="1" ht="10.35" customHeight="1" x14ac:dyDescent="0.2">
      <c r="A1" s="1" t="s">
        <v>12</v>
      </c>
      <c r="B1" s="392"/>
      <c r="C1" s="392"/>
      <c r="D1" s="392"/>
      <c r="E1" s="392"/>
      <c r="F1" s="392"/>
      <c r="G1" s="392"/>
      <c r="H1" s="392"/>
      <c r="I1" s="392"/>
      <c r="J1" s="392"/>
      <c r="K1" s="392"/>
      <c r="L1" s="392"/>
      <c r="M1" s="392"/>
      <c r="N1" s="392"/>
      <c r="O1" s="392"/>
      <c r="P1" s="392"/>
      <c r="Q1" s="392"/>
      <c r="R1" s="392"/>
      <c r="S1" s="392"/>
      <c r="T1" s="392"/>
      <c r="U1" s="3"/>
      <c r="V1" s="4"/>
      <c r="W1" s="392"/>
      <c r="X1" s="5"/>
      <c r="Y1" s="392"/>
      <c r="Z1" s="392"/>
      <c r="AA1" s="392"/>
      <c r="AB1" s="392"/>
      <c r="AC1" s="392"/>
      <c r="AD1" s="392"/>
      <c r="AE1" s="392"/>
      <c r="AF1" s="392"/>
      <c r="AG1" s="392"/>
      <c r="AH1" s="392"/>
      <c r="AI1" s="392"/>
      <c r="AJ1" s="392"/>
      <c r="AK1" s="392"/>
      <c r="AL1" s="392"/>
      <c r="AM1" s="392"/>
      <c r="AN1" s="392"/>
      <c r="AO1" s="392"/>
      <c r="AP1" s="392"/>
      <c r="AQ1" s="392"/>
      <c r="AR1" s="392"/>
      <c r="AS1" s="392"/>
      <c r="AT1" s="392"/>
      <c r="AU1" s="1"/>
      <c r="AV1" s="392"/>
      <c r="AW1" s="6"/>
      <c r="AX1" s="392"/>
      <c r="AY1" s="392"/>
      <c r="AZ1" s="392"/>
      <c r="BA1" s="392"/>
      <c r="BB1" s="392"/>
      <c r="BC1" s="392"/>
      <c r="BD1" s="1"/>
      <c r="BE1" s="392"/>
      <c r="BF1" s="6"/>
    </row>
    <row r="2" spans="1:58" s="2" customFormat="1" ht="10.35" customHeight="1" x14ac:dyDescent="0.2">
      <c r="A2" s="392"/>
      <c r="B2" s="160" t="str">
        <f ca="1">RIGHT(CELL("filename",A1),LEN(CELL("filename",A1))-FIND("]",CELL("filename",A1)))</f>
        <v>Output_tables</v>
      </c>
      <c r="C2" s="392"/>
      <c r="D2" s="392"/>
      <c r="E2" s="392"/>
      <c r="F2" s="392"/>
      <c r="G2" s="392"/>
      <c r="H2" s="392"/>
      <c r="I2" s="392"/>
      <c r="J2" s="392"/>
      <c r="K2" s="392"/>
      <c r="L2" s="392"/>
      <c r="M2" s="392"/>
      <c r="N2" s="392"/>
      <c r="O2" s="392"/>
      <c r="P2" s="392"/>
      <c r="Q2" s="392"/>
      <c r="R2" s="392"/>
      <c r="S2" s="392"/>
      <c r="T2" s="392"/>
      <c r="U2" s="392"/>
      <c r="V2" s="4"/>
      <c r="W2" s="392"/>
      <c r="X2" s="5"/>
      <c r="Y2" s="392"/>
      <c r="Z2" s="392"/>
      <c r="AA2" s="392"/>
      <c r="AB2" s="392"/>
      <c r="AC2" s="392"/>
      <c r="AD2" s="392"/>
      <c r="AE2" s="392"/>
      <c r="AF2" s="392"/>
      <c r="AG2" s="392"/>
      <c r="AH2" s="392"/>
      <c r="AI2" s="392"/>
      <c r="AJ2" s="392"/>
      <c r="AK2" s="392"/>
      <c r="AL2" s="392"/>
      <c r="AM2" s="392"/>
      <c r="AN2" s="392"/>
      <c r="AO2" s="392"/>
      <c r="AP2" s="392"/>
      <c r="AQ2" s="392"/>
      <c r="AR2" s="392"/>
      <c r="AS2" s="392"/>
      <c r="AT2" s="392"/>
      <c r="AU2" s="1"/>
      <c r="AV2" s="392"/>
      <c r="AW2" s="6"/>
      <c r="AX2" s="392"/>
      <c r="AY2" s="392"/>
      <c r="AZ2" s="392"/>
      <c r="BA2" s="392"/>
      <c r="BB2" s="392"/>
      <c r="BC2" s="392"/>
      <c r="BD2" s="392"/>
      <c r="BE2" s="392"/>
      <c r="BF2" s="392"/>
    </row>
    <row r="3" spans="1:58" s="2" customFormat="1" ht="10.35" customHeight="1" x14ac:dyDescent="0.2">
      <c r="A3" s="1"/>
      <c r="B3" s="392"/>
      <c r="C3" s="392"/>
      <c r="D3" s="392"/>
      <c r="E3" s="392"/>
      <c r="F3" s="392"/>
      <c r="G3" s="6"/>
      <c r="H3" s="392"/>
      <c r="I3" s="392"/>
      <c r="J3" s="392"/>
      <c r="K3" s="392"/>
      <c r="L3" s="392"/>
      <c r="M3" s="392"/>
      <c r="N3" s="392"/>
      <c r="O3" s="392"/>
      <c r="P3" s="392"/>
      <c r="Q3" s="392"/>
      <c r="R3" s="392"/>
      <c r="S3" s="392"/>
      <c r="T3" s="392"/>
      <c r="U3" s="392"/>
      <c r="V3" s="4"/>
      <c r="W3" s="392"/>
      <c r="X3" s="5"/>
      <c r="Y3" s="392"/>
      <c r="Z3" s="392"/>
      <c r="AA3" s="392"/>
      <c r="AB3" s="392"/>
      <c r="AC3" s="392"/>
      <c r="AD3" s="392"/>
      <c r="AE3" s="392"/>
      <c r="AF3" s="392"/>
      <c r="AG3" s="392"/>
      <c r="AH3" s="392"/>
      <c r="AI3" s="392"/>
      <c r="AJ3" s="392"/>
      <c r="AK3" s="392"/>
      <c r="AL3" s="392"/>
      <c r="AM3" s="392"/>
      <c r="AN3" s="392"/>
      <c r="AO3" s="392"/>
      <c r="AP3" s="392"/>
      <c r="AQ3" s="392"/>
      <c r="AR3" s="392"/>
      <c r="AS3" s="392"/>
      <c r="AT3" s="392"/>
      <c r="AU3" s="1"/>
      <c r="AV3" s="6"/>
      <c r="AW3" s="6"/>
      <c r="AX3" s="392"/>
      <c r="AY3" s="392"/>
      <c r="AZ3" s="392"/>
      <c r="BA3" s="392"/>
      <c r="BB3" s="392"/>
      <c r="BC3" s="392"/>
      <c r="BD3" s="392"/>
      <c r="BE3" s="392"/>
      <c r="BF3" s="392"/>
    </row>
    <row r="4" spans="1:58" s="2" customFormat="1" ht="10.35" customHeight="1" x14ac:dyDescent="0.2">
      <c r="A4" s="7"/>
      <c r="B4" s="392"/>
      <c r="C4" s="392"/>
      <c r="D4" s="11" t="s">
        <v>13</v>
      </c>
      <c r="E4" s="393" t="s">
        <v>14</v>
      </c>
      <c r="F4" s="394" t="s">
        <v>15</v>
      </c>
      <c r="G4" s="133" t="s">
        <v>16</v>
      </c>
      <c r="H4" s="395" t="s">
        <v>17</v>
      </c>
      <c r="I4" s="396" t="s">
        <v>18</v>
      </c>
      <c r="J4" s="397" t="s">
        <v>19</v>
      </c>
      <c r="K4" s="510" t="s">
        <v>20</v>
      </c>
      <c r="L4" s="510"/>
      <c r="M4" s="392"/>
      <c r="N4" s="392"/>
      <c r="O4" s="392"/>
      <c r="P4" s="392"/>
      <c r="Q4" s="392"/>
      <c r="R4" s="392"/>
      <c r="S4" s="392"/>
      <c r="T4" s="392"/>
      <c r="U4" s="392"/>
      <c r="V4" s="4"/>
      <c r="W4" s="392"/>
      <c r="X4" s="5"/>
      <c r="Y4" s="392"/>
      <c r="Z4" s="392"/>
      <c r="AA4" s="392"/>
      <c r="AB4" s="392"/>
      <c r="AC4" s="392"/>
      <c r="AD4" s="392"/>
      <c r="AE4" s="392"/>
      <c r="AF4" s="392"/>
      <c r="AG4" s="392"/>
      <c r="AH4" s="392"/>
      <c r="AI4" s="392"/>
      <c r="AJ4" s="392"/>
      <c r="AK4" s="392"/>
      <c r="AL4" s="392"/>
      <c r="AM4" s="392"/>
      <c r="AN4" s="392"/>
      <c r="AO4" s="392"/>
      <c r="AP4" s="392"/>
      <c r="AQ4" s="392"/>
      <c r="AR4" s="392"/>
      <c r="AS4" s="392"/>
      <c r="AT4" s="392"/>
      <c r="AU4" s="1"/>
      <c r="AV4" s="6"/>
      <c r="AW4" s="6"/>
      <c r="AX4" s="392"/>
      <c r="AY4" s="392"/>
      <c r="AZ4" s="392"/>
      <c r="BA4" s="392"/>
      <c r="BB4" s="392"/>
      <c r="BC4" s="392"/>
      <c r="BD4" s="392"/>
      <c r="BE4" s="392"/>
      <c r="BF4" s="392"/>
    </row>
    <row r="5" spans="1:58" s="2" customFormat="1" ht="10.35" customHeight="1" collapsed="1" x14ac:dyDescent="0.2">
      <c r="A5" s="392"/>
      <c r="B5" s="392"/>
      <c r="C5" s="392"/>
      <c r="D5" s="392"/>
      <c r="E5" s="392"/>
      <c r="F5" s="392"/>
      <c r="G5" s="392"/>
      <c r="H5" s="392"/>
      <c r="I5" s="392"/>
      <c r="J5" s="392"/>
      <c r="K5" s="392"/>
      <c r="L5" s="392"/>
      <c r="M5" s="392"/>
      <c r="N5" s="392"/>
      <c r="O5" s="392"/>
      <c r="P5" s="392"/>
      <c r="Q5" s="392"/>
      <c r="R5" s="392"/>
      <c r="S5" s="392"/>
      <c r="T5" s="392"/>
      <c r="U5" s="392"/>
      <c r="V5" s="1"/>
      <c r="W5" s="392"/>
      <c r="X5" s="5"/>
      <c r="Y5" s="392"/>
      <c r="Z5" s="392"/>
      <c r="AA5" s="392"/>
      <c r="AB5" s="392"/>
      <c r="AC5" s="392"/>
      <c r="AD5" s="392"/>
      <c r="AE5" s="392"/>
      <c r="AF5" s="392"/>
      <c r="AG5" s="392"/>
      <c r="AH5" s="392"/>
      <c r="AI5" s="392"/>
      <c r="AJ5" s="392"/>
      <c r="AK5" s="392"/>
      <c r="AL5" s="392"/>
      <c r="AM5" s="392"/>
      <c r="AN5" s="392"/>
      <c r="AO5" s="392"/>
      <c r="AP5" s="392"/>
      <c r="AQ5" s="392"/>
      <c r="AR5" s="392"/>
      <c r="AS5" s="392"/>
      <c r="AT5" s="392"/>
      <c r="AU5" s="1"/>
      <c r="AV5" s="6"/>
      <c r="AW5" s="6"/>
      <c r="AX5" s="392"/>
      <c r="AY5" s="392"/>
      <c r="AZ5" s="392"/>
      <c r="BA5" s="392"/>
      <c r="BB5" s="392"/>
      <c r="BC5" s="392"/>
      <c r="BD5" s="392"/>
      <c r="BE5" s="392"/>
      <c r="BF5" s="392"/>
    </row>
    <row r="6" spans="1:58" hidden="1" outlineLevel="1" x14ac:dyDescent="0.2"/>
    <row r="7" spans="1:58" hidden="1" outlineLevel="1" x14ac:dyDescent="0.2">
      <c r="D7" s="27" t="s">
        <v>240</v>
      </c>
      <c r="E7" s="27"/>
      <c r="F7" s="23">
        <v>0</v>
      </c>
      <c r="G7" s="23">
        <f>F7+1</f>
        <v>1</v>
      </c>
      <c r="H7" s="23">
        <f t="shared" ref="H7:BC7" si="0">G7+1</f>
        <v>2</v>
      </c>
      <c r="I7" s="23">
        <f t="shared" si="0"/>
        <v>3</v>
      </c>
      <c r="J7" s="23">
        <f t="shared" si="0"/>
        <v>4</v>
      </c>
      <c r="K7" s="23">
        <f t="shared" si="0"/>
        <v>5</v>
      </c>
      <c r="L7" s="23">
        <f t="shared" si="0"/>
        <v>6</v>
      </c>
      <c r="M7" s="23">
        <f t="shared" si="0"/>
        <v>7</v>
      </c>
      <c r="N7" s="23">
        <f t="shared" si="0"/>
        <v>8</v>
      </c>
      <c r="O7" s="23">
        <f t="shared" si="0"/>
        <v>9</v>
      </c>
      <c r="P7" s="23">
        <f t="shared" si="0"/>
        <v>10</v>
      </c>
      <c r="Q7" s="23">
        <f t="shared" si="0"/>
        <v>11</v>
      </c>
      <c r="R7" s="23">
        <f t="shared" si="0"/>
        <v>12</v>
      </c>
      <c r="S7" s="23">
        <f t="shared" si="0"/>
        <v>13</v>
      </c>
      <c r="T7" s="23">
        <f t="shared" si="0"/>
        <v>14</v>
      </c>
      <c r="U7" s="23">
        <f t="shared" si="0"/>
        <v>15</v>
      </c>
      <c r="V7" s="23">
        <f t="shared" si="0"/>
        <v>16</v>
      </c>
      <c r="W7" s="23">
        <f t="shared" si="0"/>
        <v>17</v>
      </c>
      <c r="X7" s="23">
        <f t="shared" si="0"/>
        <v>18</v>
      </c>
      <c r="Y7" s="23">
        <f t="shared" si="0"/>
        <v>19</v>
      </c>
      <c r="Z7" s="23">
        <f t="shared" si="0"/>
        <v>20</v>
      </c>
      <c r="AA7" s="23">
        <f t="shared" si="0"/>
        <v>21</v>
      </c>
      <c r="AB7" s="23">
        <f t="shared" si="0"/>
        <v>22</v>
      </c>
      <c r="AC7" s="23">
        <f t="shared" si="0"/>
        <v>23</v>
      </c>
      <c r="AD7" s="23">
        <f t="shared" si="0"/>
        <v>24</v>
      </c>
      <c r="AE7" s="23">
        <f t="shared" si="0"/>
        <v>25</v>
      </c>
      <c r="AF7" s="23">
        <f t="shared" si="0"/>
        <v>26</v>
      </c>
      <c r="AG7" s="23">
        <f t="shared" si="0"/>
        <v>27</v>
      </c>
      <c r="AH7" s="23">
        <f t="shared" si="0"/>
        <v>28</v>
      </c>
      <c r="AI7" s="23">
        <f t="shared" si="0"/>
        <v>29</v>
      </c>
      <c r="AJ7" s="23">
        <f t="shared" si="0"/>
        <v>30</v>
      </c>
      <c r="AK7" s="23">
        <f t="shared" si="0"/>
        <v>31</v>
      </c>
      <c r="AL7" s="23">
        <f t="shared" si="0"/>
        <v>32</v>
      </c>
      <c r="AM7" s="23">
        <f t="shared" si="0"/>
        <v>33</v>
      </c>
      <c r="AN7" s="23">
        <f t="shared" si="0"/>
        <v>34</v>
      </c>
      <c r="AO7" s="23">
        <f t="shared" si="0"/>
        <v>35</v>
      </c>
      <c r="AP7" s="23">
        <f t="shared" si="0"/>
        <v>36</v>
      </c>
      <c r="AQ7" s="23">
        <f t="shared" si="0"/>
        <v>37</v>
      </c>
      <c r="AR7" s="23">
        <f t="shared" si="0"/>
        <v>38</v>
      </c>
      <c r="AS7" s="23">
        <f t="shared" si="0"/>
        <v>39</v>
      </c>
      <c r="AT7" s="23">
        <f t="shared" si="0"/>
        <v>40</v>
      </c>
      <c r="AU7" s="23">
        <f t="shared" si="0"/>
        <v>41</v>
      </c>
      <c r="AV7" s="23">
        <f t="shared" si="0"/>
        <v>42</v>
      </c>
      <c r="AW7" s="23">
        <f t="shared" si="0"/>
        <v>43</v>
      </c>
      <c r="AX7" s="23">
        <f t="shared" si="0"/>
        <v>44</v>
      </c>
      <c r="AY7" s="23">
        <f t="shared" si="0"/>
        <v>45</v>
      </c>
      <c r="AZ7" s="23">
        <f t="shared" si="0"/>
        <v>46</v>
      </c>
      <c r="BA7" s="23">
        <f t="shared" si="0"/>
        <v>47</v>
      </c>
      <c r="BB7" s="23">
        <f t="shared" si="0"/>
        <v>48</v>
      </c>
      <c r="BC7" s="23">
        <f t="shared" si="0"/>
        <v>49</v>
      </c>
      <c r="BD7" s="23">
        <f t="shared" ref="BD7" si="1">BC7+1</f>
        <v>50</v>
      </c>
    </row>
    <row r="8" spans="1:58" hidden="1" outlineLevel="1" x14ac:dyDescent="0.2">
      <c r="D8" s="27" t="s">
        <v>241</v>
      </c>
      <c r="E8" s="27"/>
      <c r="F8" s="339">
        <f>INDEX(Calcs!$R$15:$BP$20,6,MATCH(Output_tables!F$7,Calcs!$R$15:$BP$15,0))</f>
        <v>1</v>
      </c>
      <c r="G8" s="339">
        <f>INDEX(Calcs!$R$15:$BP$20,6,MATCH(Output_tables!G$7,Calcs!$R$15:$BP$15,0))</f>
        <v>0.96674400618716161</v>
      </c>
      <c r="H8" s="339">
        <f>INDEX(Calcs!$R$15:$BP$20,6,MATCH(Output_tables!H$7,Calcs!$R$15:$BP$15,0))</f>
        <v>0.9345939734988028</v>
      </c>
      <c r="I8" s="339">
        <f>INDEX(Calcs!$R$15:$BP$20,6,MATCH(Output_tables!I$7,Calcs!$R$15:$BP$15,0))</f>
        <v>0.90351312209861057</v>
      </c>
      <c r="J8" s="339">
        <f>INDEX(Calcs!$R$15:$BP$20,6,MATCH(Output_tables!J$7,Calcs!$R$15:$BP$15,0))</f>
        <v>0.87346589530028085</v>
      </c>
      <c r="K8" s="339">
        <f>INDEX(Calcs!$R$15:$BP$20,6,MATCH(Output_tables!K$7,Calcs!$R$15:$BP$15,0))</f>
        <v>0.84441791889044937</v>
      </c>
      <c r="L8" s="339">
        <f>INDEX(Calcs!$R$15:$BP$20,6,MATCH(Output_tables!L$7,Calcs!$R$15:$BP$15,0))</f>
        <v>0.81633596180437873</v>
      </c>
      <c r="M8" s="339">
        <f>INDEX(Calcs!$R$15:$BP$20,6,MATCH(Output_tables!M$7,Calcs!$R$15:$BP$15,0))</f>
        <v>0.78918789810941481</v>
      </c>
      <c r="N8" s="339">
        <f>INDEX(Calcs!$R$15:$BP$20,6,MATCH(Output_tables!N$7,Calcs!$R$15:$BP$15,0))</f>
        <v>0.76294267025272122</v>
      </c>
      <c r="O8" s="339">
        <f>INDEX(Calcs!$R$15:$BP$20,6,MATCH(Output_tables!O$7,Calcs!$R$15:$BP$15,0))</f>
        <v>0.73757025353124628</v>
      </c>
      <c r="P8" s="339">
        <f>INDEX(Calcs!$R$15:$BP$20,6,MATCH(Output_tables!P$7,Calcs!$R$15:$BP$15,0))</f>
        <v>0.71304162174327745</v>
      </c>
      <c r="Q8" s="339">
        <f>INDEX(Calcs!$R$15:$BP$20,6,MATCH(Output_tables!Q$7,Calcs!$R$15:$BP$15,0))</f>
        <v>0.68932871398228679</v>
      </c>
      <c r="R8" s="339">
        <f>INDEX(Calcs!$R$15:$BP$20,6,MATCH(Output_tables!R$7,Calcs!$R$15:$BP$15,0))</f>
        <v>0.66640440253508004</v>
      </c>
      <c r="S8" s="339">
        <f>INDEX(Calcs!$R$15:$BP$20,6,MATCH(Output_tables!S$7,Calcs!$R$15:$BP$15,0))</f>
        <v>0.64424246184752521</v>
      </c>
      <c r="T8" s="339">
        <f>INDEX(Calcs!$R$15:$BP$20,6,MATCH(Output_tables!T$7,Calcs!$R$15:$BP$15,0))</f>
        <v>0.62281753852235611</v>
      </c>
      <c r="U8" s="339">
        <f>INDEX(Calcs!$R$15:$BP$20,6,MATCH(Output_tables!U$7,Calcs!$R$15:$BP$15,0))</f>
        <v>0.60210512231472935</v>
      </c>
      <c r="V8" s="339">
        <f>INDEX(Calcs!$R$15:$BP$20,6,MATCH(Output_tables!V$7,Calcs!$R$15:$BP$15,0))</f>
        <v>0.58208151809235242</v>
      </c>
      <c r="W8" s="339">
        <f>INDEX(Calcs!$R$15:$BP$20,6,MATCH(Output_tables!W$7,Calcs!$R$15:$BP$15,0))</f>
        <v>0.56272381872810562</v>
      </c>
      <c r="X8" s="339">
        <f>INDEX(Calcs!$R$15:$BP$20,6,MATCH(Output_tables!X$7,Calcs!$R$15:$BP$15,0))</f>
        <v>0.54400987889414698</v>
      </c>
      <c r="Y8" s="339">
        <f>INDEX(Calcs!$R$15:$BP$20,6,MATCH(Output_tables!Y$7,Calcs!$R$15:$BP$15,0))</f>
        <v>0.52591828972752031</v>
      </c>
      <c r="Z8" s="339">
        <f>INDEX(Calcs!$R$15:$BP$20,6,MATCH(Output_tables!Z$7,Calcs!$R$15:$BP$15,0))</f>
        <v>0.50842835433828337</v>
      </c>
      <c r="AA8" s="339">
        <f>INDEX(Calcs!$R$15:$BP$20,6,MATCH(Output_tables!AA$7,Calcs!$R$15:$BP$15,0))</f>
        <v>0.49152006413213783</v>
      </c>
      <c r="AB8" s="339">
        <f>INDEX(Calcs!$R$15:$BP$20,6,MATCH(Output_tables!AB$7,Calcs!$R$15:$BP$15,0))</f>
        <v>0.4751740759204735</v>
      </c>
      <c r="AC8" s="339">
        <f>INDEX(Calcs!$R$15:$BP$20,6,MATCH(Output_tables!AC$7,Calcs!$R$15:$BP$15,0))</f>
        <v>0.45937168979164106</v>
      </c>
      <c r="AD8" s="339">
        <f>INDEX(Calcs!$R$15:$BP$20,6,MATCH(Output_tables!AD$7,Calcs!$R$15:$BP$15,0))</f>
        <v>0.44409482771813713</v>
      </c>
      <c r="AE8" s="339">
        <f>INDEX(Calcs!$R$15:$BP$20,6,MATCH(Output_tables!AE$7,Calcs!$R$15:$BP$15,0))</f>
        <v>0.42932601287522926</v>
      </c>
      <c r="AF8" s="339">
        <f>INDEX(Calcs!$R$15:$BP$20,6,MATCH(Output_tables!AF$7,Calcs!$R$15:$BP$15,0))</f>
        <v>0.41504834964736004</v>
      </c>
      <c r="AG8" s="339">
        <f>INDEX(Calcs!$R$15:$BP$20,6,MATCH(Output_tables!AG$7,Calcs!$R$15:$BP$15,0))</f>
        <v>0.40124550429945866</v>
      </c>
      <c r="AH8" s="339">
        <f>INDEX(Calcs!$R$15:$BP$20,6,MATCH(Output_tables!AH$7,Calcs!$R$15:$BP$15,0))</f>
        <v>0.38790168629104665</v>
      </c>
      <c r="AI8" s="339">
        <f>INDEX(Calcs!$R$15:$BP$20,6,MATCH(Output_tables!AI$7,Calcs!$R$15:$BP$15,0))</f>
        <v>0.37500163021176203</v>
      </c>
      <c r="AJ8" s="339">
        <f>INDEX(Calcs!$R$15:$BP$20,6,MATCH(Output_tables!AJ$7,Calcs!$R$15:$BP$15,0))</f>
        <v>0.36253057831763535</v>
      </c>
      <c r="AK8" s="339">
        <f>INDEX(Calcs!$R$15:$BP$20,6,MATCH(Output_tables!AK$7,Calcs!$R$15:$BP$15,0))</f>
        <v>0.35047426364813933</v>
      </c>
      <c r="AL8" s="339">
        <f>INDEX(Calcs!$R$15:$BP$20,6,MATCH(Output_tables!AL$7,Calcs!$R$15:$BP$15,0))</f>
        <v>0.3388188937046977</v>
      </c>
      <c r="AM8" s="339">
        <f>INDEX(Calcs!$R$15:$BP$20,6,MATCH(Output_tables!AM$7,Calcs!$R$15:$BP$15,0))</f>
        <v>0.32755113467198155</v>
      </c>
      <c r="AN8" s="339">
        <f>INDEX(Calcs!$R$15:$BP$20,6,MATCH(Output_tables!AN$7,Calcs!$R$15:$BP$15,0))</f>
        <v>0.31665809616394192</v>
      </c>
      <c r="AO8" s="339">
        <f>INDEX(Calcs!$R$15:$BP$20,6,MATCH(Output_tables!AO$7,Calcs!$R$15:$BP$15,0))</f>
        <v>0.30612731647712865</v>
      </c>
      <c r="AP8" s="339">
        <f>INDEX(Calcs!$R$15:$BP$20,6,MATCH(Output_tables!AP$7,Calcs!$R$15:$BP$15,0))</f>
        <v>0.29594674833442441</v>
      </c>
      <c r="AQ8" s="339">
        <f>INDEX(Calcs!$R$15:$BP$20,6,MATCH(Output_tables!AQ$7,Calcs!$R$15:$BP$15,0))</f>
        <v>0.28610474510288514</v>
      </c>
      <c r="AR8" s="339">
        <f>INDEX(Calcs!$R$15:$BP$20,6,MATCH(Output_tables!AR$7,Calcs!$R$15:$BP$15,0))</f>
        <v>0.27659004746991989</v>
      </c>
      <c r="AS8" s="339">
        <f>INDEX(Calcs!$R$15:$BP$20,6,MATCH(Output_tables!AS$7,Calcs!$R$15:$BP$15,0))</f>
        <v>0.26739177056256758</v>
      </c>
      <c r="AT8" s="339">
        <f>INDEX(Calcs!$R$15:$BP$20,6,MATCH(Output_tables!AT$7,Calcs!$R$15:$BP$15,0))</f>
        <v>0.2584993914951349</v>
      </c>
      <c r="AU8" s="339">
        <f>INDEX(Calcs!$R$15:$BP$20,6,MATCH(Output_tables!AU$7,Calcs!$R$15:$BP$15,0))</f>
        <v>0.2499027373309502</v>
      </c>
      <c r="AV8" s="339">
        <f>INDEX(Calcs!$R$15:$BP$20,6,MATCH(Output_tables!AV$7,Calcs!$R$15:$BP$15,0))</f>
        <v>0.24159197344446073</v>
      </c>
      <c r="AW8" s="339">
        <f>INDEX(Calcs!$R$15:$BP$20,6,MATCH(Output_tables!AW$7,Calcs!$R$15:$BP$15,0))</f>
        <v>0.23355759227036033</v>
      </c>
      <c r="AX8" s="339">
        <f>INDEX(Calcs!$R$15:$BP$20,6,MATCH(Output_tables!AX$7,Calcs!$R$15:$BP$15,0))</f>
        <v>0.22579040242687579</v>
      </c>
      <c r="AY8" s="339">
        <f>INDEX(Calcs!$R$15:$BP$20,6,MATCH(Output_tables!AY$7,Calcs!$R$15:$BP$15,0))</f>
        <v>0.21828151820076933</v>
      </c>
      <c r="AZ8" s="339">
        <f>INDEX(Calcs!$R$15:$BP$20,6,MATCH(Output_tables!AZ$7,Calcs!$R$15:$BP$15,0))</f>
        <v>0.21102234938202757</v>
      </c>
      <c r="BA8" s="339">
        <f>INDEX(Calcs!$R$15:$BP$20,6,MATCH(Output_tables!BA$7,Calcs!$R$15:$BP$15,0))</f>
        <v>0.20400459143660823</v>
      </c>
      <c r="BB8" s="339">
        <f>INDEX(Calcs!$R$15:$BP$20,6,MATCH(Output_tables!BB$7,Calcs!$R$15:$BP$15,0))</f>
        <v>0.19722021600600176</v>
      </c>
      <c r="BC8" s="339">
        <f>INDEX(Calcs!$R$15:$BP$20,6,MATCH(Output_tables!BC$7,Calcs!$R$15:$BP$15,0))</f>
        <v>0.19066146172273951</v>
      </c>
      <c r="BD8" s="339">
        <f>INDEX(Calcs!$R$15:$BP$20,6,MATCH(Output_tables!BD$7,Calcs!$R$15:$BP$15,0))</f>
        <v>0.18432082533134136</v>
      </c>
    </row>
    <row r="9" spans="1:58" hidden="1" outlineLevel="1" x14ac:dyDescent="0.2"/>
    <row r="10" spans="1:58" s="14" customFormat="1" x14ac:dyDescent="0.2">
      <c r="A10" s="398"/>
      <c r="B10" s="16" t="s">
        <v>82</v>
      </c>
      <c r="C10" s="398"/>
      <c r="D10" s="398"/>
      <c r="E10" s="398"/>
      <c r="F10" s="398"/>
      <c r="G10" s="25"/>
      <c r="H10" s="398"/>
      <c r="I10" s="398"/>
      <c r="J10" s="398"/>
      <c r="K10" s="399"/>
      <c r="L10" s="398"/>
      <c r="M10" s="398"/>
      <c r="N10" s="398"/>
      <c r="O10" s="398"/>
      <c r="P10" s="398"/>
      <c r="Q10" s="398"/>
      <c r="R10" s="398"/>
      <c r="S10" s="398"/>
      <c r="T10" s="398"/>
      <c r="U10" s="398"/>
      <c r="V10" s="398"/>
      <c r="W10" s="398"/>
      <c r="X10" s="398"/>
      <c r="Y10" s="398"/>
      <c r="Z10" s="398"/>
      <c r="AA10" s="398"/>
      <c r="AB10" s="398"/>
      <c r="AC10" s="398"/>
      <c r="AD10" s="398"/>
      <c r="AE10" s="398"/>
      <c r="AF10" s="398"/>
      <c r="AG10" s="398"/>
      <c r="AH10" s="398"/>
      <c r="AI10" s="398"/>
      <c r="AJ10" s="398"/>
      <c r="AK10" s="398"/>
      <c r="AL10" s="398"/>
      <c r="AM10" s="398"/>
      <c r="AN10" s="398"/>
      <c r="AO10" s="398"/>
      <c r="AP10" s="398"/>
      <c r="AQ10" s="398"/>
      <c r="AR10" s="398"/>
      <c r="AS10" s="398"/>
      <c r="AT10" s="398"/>
      <c r="AU10" s="398"/>
      <c r="AV10" s="398"/>
      <c r="AW10" s="398"/>
      <c r="AX10" s="398"/>
      <c r="AY10" s="398"/>
      <c r="AZ10" s="398"/>
      <c r="BA10" s="398"/>
      <c r="BB10" s="398"/>
      <c r="BC10" s="398"/>
      <c r="BD10" s="398"/>
      <c r="BE10" s="398"/>
      <c r="BF10" s="398"/>
    </row>
    <row r="15" spans="1:58" s="307" customFormat="1" ht="10.199999999999999" customHeight="1" x14ac:dyDescent="0.35">
      <c r="C15" s="322" t="s">
        <v>242</v>
      </c>
    </row>
    <row r="16" spans="1:58" s="265" customFormat="1" ht="10.199999999999999" customHeight="1" x14ac:dyDescent="0.35">
      <c r="C16" s="323"/>
      <c r="D16" s="331"/>
    </row>
    <row r="17" spans="4:56" x14ac:dyDescent="0.2">
      <c r="D17" s="27" t="s">
        <v>243</v>
      </c>
    </row>
    <row r="18" spans="4:56" x14ac:dyDescent="0.2">
      <c r="D18" s="27" t="s">
        <v>244</v>
      </c>
    </row>
    <row r="19" spans="4:56" x14ac:dyDescent="0.2">
      <c r="D19" s="27" t="s">
        <v>245</v>
      </c>
    </row>
    <row r="21" spans="4:56" s="340" customFormat="1" ht="15" customHeight="1" x14ac:dyDescent="0.2">
      <c r="D21" s="341" t="s">
        <v>246</v>
      </c>
      <c r="E21" s="380" t="s">
        <v>66</v>
      </c>
      <c r="F21" s="342" t="str">
        <f>"FY"&amp;RIGHT(Assumptions!$L$19+F7,2)</f>
        <v>FY22</v>
      </c>
      <c r="G21" s="342" t="str">
        <f>"FY"&amp;RIGHT(Assumptions!$L$19+G7,2)</f>
        <v>FY23</v>
      </c>
      <c r="H21" s="342" t="str">
        <f>"FY"&amp;RIGHT(Assumptions!$L$19+H7,2)</f>
        <v>FY24</v>
      </c>
      <c r="I21" s="342" t="str">
        <f>"FY"&amp;RIGHT(Assumptions!$L$19+I7,2)</f>
        <v>FY25</v>
      </c>
      <c r="J21" s="342" t="str">
        <f>"FY"&amp;RIGHT(Assumptions!$L$19+J7,2)</f>
        <v>FY26</v>
      </c>
      <c r="K21" s="344" t="str">
        <f>"FY"&amp;RIGHT(Assumptions!$L$19+K7,2)</f>
        <v>FY27</v>
      </c>
      <c r="L21" s="344" t="str">
        <f>"FY"&amp;RIGHT(Assumptions!$L$19+L7,2)</f>
        <v>FY28</v>
      </c>
      <c r="M21" s="344" t="str">
        <f>"FY"&amp;RIGHT(Assumptions!$L$19+M7,2)</f>
        <v>FY29</v>
      </c>
      <c r="N21" s="344" t="str">
        <f>"FY"&amp;RIGHT(Assumptions!$L$19+N7,2)</f>
        <v>FY30</v>
      </c>
      <c r="O21" s="344" t="str">
        <f>"FY"&amp;RIGHT(Assumptions!$L$19+O7,2)</f>
        <v>FY31</v>
      </c>
      <c r="P21" s="344" t="str">
        <f>"FY"&amp;RIGHT(Assumptions!$L$19+P7,2)</f>
        <v>FY32</v>
      </c>
      <c r="Q21" s="344" t="str">
        <f>"FY"&amp;RIGHT(Assumptions!$L$19+Q7,2)</f>
        <v>FY33</v>
      </c>
      <c r="R21" s="344" t="str">
        <f>"FY"&amp;RIGHT(Assumptions!$L$19+R7,2)</f>
        <v>FY34</v>
      </c>
      <c r="S21" s="344" t="str">
        <f>"FY"&amp;RIGHT(Assumptions!$L$19+S7,2)</f>
        <v>FY35</v>
      </c>
      <c r="T21" s="344" t="str">
        <f>"FY"&amp;RIGHT(Assumptions!$L$19+T7,2)</f>
        <v>FY36</v>
      </c>
      <c r="U21" s="344" t="str">
        <f>"FY"&amp;RIGHT(Assumptions!$L$19+U7,2)</f>
        <v>FY37</v>
      </c>
      <c r="V21" s="344" t="str">
        <f>"FY"&amp;RIGHT(Assumptions!$L$19+V7,2)</f>
        <v>FY38</v>
      </c>
      <c r="W21" s="344" t="str">
        <f>"FY"&amp;RIGHT(Assumptions!$L$19+W7,2)</f>
        <v>FY39</v>
      </c>
      <c r="X21" s="344" t="str">
        <f>"FY"&amp;RIGHT(Assumptions!$L$19+X7,2)</f>
        <v>FY40</v>
      </c>
      <c r="Y21" s="344" t="str">
        <f>"FY"&amp;RIGHT(Assumptions!$L$19+Y7,2)</f>
        <v>FY41</v>
      </c>
      <c r="Z21" s="344" t="str">
        <f>"FY"&amp;RIGHT(Assumptions!$L$19+Z7,2)</f>
        <v>FY42</v>
      </c>
      <c r="AA21" s="344" t="str">
        <f>"FY"&amp;RIGHT(Assumptions!$L$19+AA7,2)</f>
        <v>FY43</v>
      </c>
      <c r="AB21" s="344" t="str">
        <f>"FY"&amp;RIGHT(Assumptions!$L$19+AB7,2)</f>
        <v>FY44</v>
      </c>
      <c r="AC21" s="344" t="str">
        <f>"FY"&amp;RIGHT(Assumptions!$L$19+AC7,2)</f>
        <v>FY45</v>
      </c>
      <c r="AD21" s="344" t="str">
        <f>"FY"&amp;RIGHT(Assumptions!$L$19+AD7,2)</f>
        <v>FY46</v>
      </c>
      <c r="AE21" s="344" t="str">
        <f>"FY"&amp;RIGHT(Assumptions!$L$19+AE7,2)</f>
        <v>FY47</v>
      </c>
      <c r="AF21" s="344" t="str">
        <f>"FY"&amp;RIGHT(Assumptions!$L$19+AF7,2)</f>
        <v>FY48</v>
      </c>
      <c r="AG21" s="344" t="str">
        <f>"FY"&amp;RIGHT(Assumptions!$L$19+AG7,2)</f>
        <v>FY49</v>
      </c>
      <c r="AH21" s="344" t="str">
        <f>"FY"&amp;RIGHT(Assumptions!$L$19+AH7,2)</f>
        <v>FY50</v>
      </c>
      <c r="AI21" s="344" t="str">
        <f>"FY"&amp;RIGHT(Assumptions!$L$19+AI7,2)</f>
        <v>FY51</v>
      </c>
      <c r="AJ21" s="344" t="str">
        <f>"FY"&amp;RIGHT(Assumptions!$L$19+AJ7,2)</f>
        <v>FY52</v>
      </c>
      <c r="AK21" s="344" t="str">
        <f>"FY"&amp;RIGHT(Assumptions!$L$19+AK7,2)</f>
        <v>FY53</v>
      </c>
      <c r="AL21" s="344" t="str">
        <f>"FY"&amp;RIGHT(Assumptions!$L$19+AL7,2)</f>
        <v>FY54</v>
      </c>
      <c r="AM21" s="344" t="str">
        <f>"FY"&amp;RIGHT(Assumptions!$L$19+AM7,2)</f>
        <v>FY55</v>
      </c>
      <c r="AN21" s="344" t="str">
        <f>"FY"&amp;RIGHT(Assumptions!$L$19+AN7,2)</f>
        <v>FY56</v>
      </c>
      <c r="AO21" s="344" t="str">
        <f>"FY"&amp;RIGHT(Assumptions!$L$19+AO7,2)</f>
        <v>FY57</v>
      </c>
      <c r="AP21" s="344" t="str">
        <f>"FY"&amp;RIGHT(Assumptions!$L$19+AP7,2)</f>
        <v>FY58</v>
      </c>
      <c r="AQ21" s="344" t="str">
        <f>"FY"&amp;RIGHT(Assumptions!$L$19+AQ7,2)</f>
        <v>FY59</v>
      </c>
      <c r="AR21" s="344" t="str">
        <f>"FY"&amp;RIGHT(Assumptions!$L$19+AR7,2)</f>
        <v>FY60</v>
      </c>
      <c r="AS21" s="344" t="str">
        <f>"FY"&amp;RIGHT(Assumptions!$L$19+AS7,2)</f>
        <v>FY61</v>
      </c>
      <c r="AT21" s="344" t="str">
        <f>"FY"&amp;RIGHT(Assumptions!$L$19+AT7,2)</f>
        <v>FY62</v>
      </c>
      <c r="AU21" s="344" t="str">
        <f>"FY"&amp;RIGHT(Assumptions!$L$19+AU7,2)</f>
        <v>FY63</v>
      </c>
      <c r="AV21" s="344" t="str">
        <f>"FY"&amp;RIGHT(Assumptions!$L$19+AV7,2)</f>
        <v>FY64</v>
      </c>
      <c r="AW21" s="344" t="str">
        <f>"FY"&amp;RIGHT(Assumptions!$L$19+AW7,2)</f>
        <v>FY65</v>
      </c>
      <c r="AX21" s="344" t="str">
        <f>"FY"&amp;RIGHT(Assumptions!$L$19+AX7,2)</f>
        <v>FY66</v>
      </c>
      <c r="AY21" s="344" t="str">
        <f>"FY"&amp;RIGHT(Assumptions!$L$19+AY7,2)</f>
        <v>FY67</v>
      </c>
      <c r="AZ21" s="344" t="str">
        <f>"FY"&amp;RIGHT(Assumptions!$L$19+AZ7,2)</f>
        <v>FY68</v>
      </c>
      <c r="BA21" s="344" t="str">
        <f>"FY"&amp;RIGHT(Assumptions!$L$19+BA7,2)</f>
        <v>FY69</v>
      </c>
      <c r="BB21" s="344" t="str">
        <f>"FY"&amp;RIGHT(Assumptions!$L$19+BB7,2)</f>
        <v>FY70</v>
      </c>
      <c r="BC21" s="344" t="str">
        <f>"FY"&amp;RIGHT(Assumptions!$L$19+BC7,2)</f>
        <v>FY71</v>
      </c>
      <c r="BD21" s="344" t="str">
        <f>"FY"&amp;RIGHT(Assumptions!$L$19+BD7,2)</f>
        <v>FY72</v>
      </c>
    </row>
    <row r="22" spans="4:56" ht="14.25" customHeight="1" x14ac:dyDescent="0.2">
      <c r="D22" s="377" t="s">
        <v>25</v>
      </c>
      <c r="E22" s="381">
        <f>SUM(F22:J22)</f>
        <v>-5975595</v>
      </c>
      <c r="F22" s="324">
        <f>Calcs!R304</f>
        <v>0</v>
      </c>
      <c r="G22" s="324">
        <f>Calcs!S304</f>
        <v>0</v>
      </c>
      <c r="H22" s="324">
        <f>Calcs!T304</f>
        <v>0</v>
      </c>
      <c r="I22" s="324">
        <f>Calcs!U304</f>
        <v>-2714370</v>
      </c>
      <c r="J22" s="324">
        <f>Calcs!V304</f>
        <v>-3261225</v>
      </c>
      <c r="K22" s="345">
        <f>Calcs!W304</f>
        <v>-3274476</v>
      </c>
      <c r="L22" s="345">
        <f>Calcs!X304</f>
        <v>-2730746</v>
      </c>
      <c r="M22" s="345">
        <f>Calcs!Y304</f>
        <v>-3349622</v>
      </c>
      <c r="N22" s="345">
        <f>Calcs!Z304</f>
        <v>0</v>
      </c>
      <c r="O22" s="345">
        <f>Calcs!AA304</f>
        <v>0</v>
      </c>
      <c r="P22" s="345">
        <f>Calcs!AB304</f>
        <v>0</v>
      </c>
      <c r="Q22" s="345">
        <f>Calcs!AC304</f>
        <v>0</v>
      </c>
      <c r="R22" s="345">
        <f>Calcs!AD304</f>
        <v>0</v>
      </c>
      <c r="S22" s="345">
        <f>Calcs!AE304</f>
        <v>0</v>
      </c>
      <c r="T22" s="345">
        <f>Calcs!AF304</f>
        <v>0</v>
      </c>
      <c r="U22" s="345">
        <f>Calcs!AG304</f>
        <v>0</v>
      </c>
      <c r="V22" s="345">
        <f>Calcs!AH304</f>
        <v>0</v>
      </c>
      <c r="W22" s="345">
        <f>Calcs!AI304</f>
        <v>0</v>
      </c>
      <c r="X22" s="345">
        <f>Calcs!AJ304</f>
        <v>0</v>
      </c>
      <c r="Y22" s="345">
        <f>Calcs!AK304</f>
        <v>0</v>
      </c>
      <c r="Z22" s="345">
        <f>Calcs!AL304</f>
        <v>0</v>
      </c>
      <c r="AA22" s="345">
        <f>Calcs!AM304</f>
        <v>0</v>
      </c>
      <c r="AB22" s="345">
        <f>Calcs!AN304</f>
        <v>0</v>
      </c>
      <c r="AC22" s="345">
        <f>Calcs!AO304</f>
        <v>0</v>
      </c>
      <c r="AD22" s="345">
        <f>Calcs!AP304</f>
        <v>0</v>
      </c>
      <c r="AE22" s="345">
        <f>Calcs!AQ304</f>
        <v>0</v>
      </c>
      <c r="AF22" s="345">
        <f>Calcs!AR304</f>
        <v>0</v>
      </c>
      <c r="AG22" s="345">
        <f>Calcs!AS304</f>
        <v>0</v>
      </c>
      <c r="AH22" s="345">
        <f>Calcs!AT304</f>
        <v>0</v>
      </c>
      <c r="AI22" s="345">
        <f>Calcs!AU304</f>
        <v>0</v>
      </c>
      <c r="AJ22" s="345">
        <f>Calcs!AV304</f>
        <v>0</v>
      </c>
      <c r="AK22" s="345">
        <f>Calcs!AW304</f>
        <v>0</v>
      </c>
      <c r="AL22" s="345">
        <f>Calcs!AX304</f>
        <v>0</v>
      </c>
      <c r="AM22" s="345">
        <f>Calcs!AY304</f>
        <v>0</v>
      </c>
      <c r="AN22" s="345">
        <f>Calcs!AZ304</f>
        <v>0</v>
      </c>
      <c r="AO22" s="345">
        <f>Calcs!BA304</f>
        <v>0</v>
      </c>
      <c r="AP22" s="345">
        <f>Calcs!BB304</f>
        <v>0</v>
      </c>
      <c r="AQ22" s="345">
        <f>Calcs!BC304</f>
        <v>0</v>
      </c>
      <c r="AR22" s="345">
        <f>Calcs!BD304</f>
        <v>0</v>
      </c>
      <c r="AS22" s="345">
        <f>Calcs!BE304</f>
        <v>0</v>
      </c>
      <c r="AT22" s="345">
        <f>Calcs!BF304</f>
        <v>0</v>
      </c>
      <c r="AU22" s="345">
        <f>Calcs!BG304</f>
        <v>0</v>
      </c>
      <c r="AV22" s="345">
        <f>Calcs!BH304</f>
        <v>0</v>
      </c>
      <c r="AW22" s="345">
        <f>Calcs!BI304</f>
        <v>0</v>
      </c>
      <c r="AX22" s="345">
        <f>Calcs!BJ304</f>
        <v>0</v>
      </c>
      <c r="AY22" s="345">
        <f>Calcs!BK304</f>
        <v>0</v>
      </c>
      <c r="AZ22" s="345">
        <f>Calcs!BL304</f>
        <v>0</v>
      </c>
      <c r="BA22" s="345">
        <f>Calcs!BM304</f>
        <v>0</v>
      </c>
      <c r="BB22" s="345">
        <f>Calcs!BN304</f>
        <v>0</v>
      </c>
      <c r="BC22" s="345">
        <f>Calcs!BO304</f>
        <v>0</v>
      </c>
      <c r="BD22" s="345">
        <f>Calcs!BP304</f>
        <v>0</v>
      </c>
    </row>
    <row r="23" spans="4:56" ht="14.25" customHeight="1" x14ac:dyDescent="0.2">
      <c r="D23" s="377" t="s">
        <v>26</v>
      </c>
      <c r="E23" s="381">
        <f t="shared" ref="E23:E32" si="2">SUM(F23:J23)</f>
        <v>0</v>
      </c>
      <c r="F23" s="324">
        <f>Calcs!R309</f>
        <v>0</v>
      </c>
      <c r="G23" s="324">
        <f>Calcs!S309</f>
        <v>0</v>
      </c>
      <c r="H23" s="324">
        <f>Calcs!T309</f>
        <v>0</v>
      </c>
      <c r="I23" s="324">
        <f>Calcs!U309</f>
        <v>0</v>
      </c>
      <c r="J23" s="324">
        <f>Calcs!V309</f>
        <v>0</v>
      </c>
      <c r="K23" s="345">
        <f>Calcs!W309</f>
        <v>0</v>
      </c>
      <c r="L23" s="345">
        <f>Calcs!X309</f>
        <v>0</v>
      </c>
      <c r="M23" s="345">
        <f>Calcs!Y309</f>
        <v>0</v>
      </c>
      <c r="N23" s="345">
        <f>Calcs!Z309</f>
        <v>0</v>
      </c>
      <c r="O23" s="345">
        <f>Calcs!AA309</f>
        <v>0</v>
      </c>
      <c r="P23" s="345">
        <f>Calcs!AB309</f>
        <v>0</v>
      </c>
      <c r="Q23" s="345">
        <f>Calcs!AC309</f>
        <v>0</v>
      </c>
      <c r="R23" s="345">
        <f>Calcs!AD309</f>
        <v>0</v>
      </c>
      <c r="S23" s="345">
        <f>Calcs!AE309</f>
        <v>0</v>
      </c>
      <c r="T23" s="345">
        <f>Calcs!AF309</f>
        <v>0</v>
      </c>
      <c r="U23" s="345">
        <f>Calcs!AG309</f>
        <v>0</v>
      </c>
      <c r="V23" s="345">
        <f>Calcs!AH309</f>
        <v>0</v>
      </c>
      <c r="W23" s="345">
        <f>Calcs!AI309</f>
        <v>0</v>
      </c>
      <c r="X23" s="345">
        <f>Calcs!AJ309</f>
        <v>0</v>
      </c>
      <c r="Y23" s="345">
        <f>Calcs!AK309</f>
        <v>0</v>
      </c>
      <c r="Z23" s="345">
        <f>Calcs!AL309</f>
        <v>0</v>
      </c>
      <c r="AA23" s="345">
        <f>Calcs!AM309</f>
        <v>0</v>
      </c>
      <c r="AB23" s="345">
        <f>Calcs!AN309</f>
        <v>0</v>
      </c>
      <c r="AC23" s="345">
        <f>Calcs!AO309</f>
        <v>0</v>
      </c>
      <c r="AD23" s="345">
        <f>Calcs!AP309</f>
        <v>0</v>
      </c>
      <c r="AE23" s="345">
        <f>Calcs!AQ309</f>
        <v>0</v>
      </c>
      <c r="AF23" s="345">
        <f>Calcs!AR309</f>
        <v>0</v>
      </c>
      <c r="AG23" s="345">
        <f>Calcs!AS309</f>
        <v>0</v>
      </c>
      <c r="AH23" s="345">
        <f>Calcs!AT309</f>
        <v>0</v>
      </c>
      <c r="AI23" s="345">
        <f>Calcs!AU309</f>
        <v>0</v>
      </c>
      <c r="AJ23" s="345">
        <f>Calcs!AV309</f>
        <v>0</v>
      </c>
      <c r="AK23" s="345">
        <f>Calcs!AW309</f>
        <v>0</v>
      </c>
      <c r="AL23" s="345">
        <f>Calcs!AX309</f>
        <v>0</v>
      </c>
      <c r="AM23" s="345">
        <f>Calcs!AY309</f>
        <v>0</v>
      </c>
      <c r="AN23" s="345">
        <f>Calcs!AZ309</f>
        <v>0</v>
      </c>
      <c r="AO23" s="345">
        <f>Calcs!BA309</f>
        <v>0</v>
      </c>
      <c r="AP23" s="345">
        <f>Calcs!BB309</f>
        <v>0</v>
      </c>
      <c r="AQ23" s="345">
        <f>Calcs!BC309</f>
        <v>0</v>
      </c>
      <c r="AR23" s="345">
        <f>Calcs!BD309</f>
        <v>0</v>
      </c>
      <c r="AS23" s="345">
        <f>Calcs!BE309</f>
        <v>0</v>
      </c>
      <c r="AT23" s="345">
        <f>Calcs!BF309</f>
        <v>0</v>
      </c>
      <c r="AU23" s="345">
        <f>Calcs!BG309</f>
        <v>0</v>
      </c>
      <c r="AV23" s="345">
        <f>Calcs!BH309</f>
        <v>0</v>
      </c>
      <c r="AW23" s="345">
        <f>Calcs!BI309</f>
        <v>0</v>
      </c>
      <c r="AX23" s="345">
        <f>Calcs!BJ309</f>
        <v>0</v>
      </c>
      <c r="AY23" s="345">
        <f>Calcs!BK309</f>
        <v>0</v>
      </c>
      <c r="AZ23" s="345">
        <f>Calcs!BL309</f>
        <v>0</v>
      </c>
      <c r="BA23" s="345">
        <f>Calcs!BM309</f>
        <v>0</v>
      </c>
      <c r="BB23" s="345">
        <f>Calcs!BN309</f>
        <v>0</v>
      </c>
      <c r="BC23" s="345">
        <f>Calcs!BO309</f>
        <v>0</v>
      </c>
      <c r="BD23" s="345">
        <f>Calcs!BP309</f>
        <v>0</v>
      </c>
    </row>
    <row r="24" spans="4:56" ht="14.25" customHeight="1" x14ac:dyDescent="0.2">
      <c r="D24" s="377" t="s">
        <v>32</v>
      </c>
      <c r="E24" s="381">
        <f t="shared" si="2"/>
        <v>416563.76105233468</v>
      </c>
      <c r="F24" s="324">
        <f>Calcs!R331</f>
        <v>0</v>
      </c>
      <c r="G24" s="324">
        <f>Calcs!S331</f>
        <v>0</v>
      </c>
      <c r="H24" s="324">
        <f>Calcs!T331</f>
        <v>0</v>
      </c>
      <c r="I24" s="324">
        <f>Calcs!U331</f>
        <v>206768.96195547498</v>
      </c>
      <c r="J24" s="324">
        <f>Calcs!V331</f>
        <v>209794.7990968597</v>
      </c>
      <c r="K24" s="345">
        <f>Calcs!W331</f>
        <v>211211.0890828071</v>
      </c>
      <c r="L24" s="345">
        <f>Calcs!X331</f>
        <v>211357.3438993569</v>
      </c>
      <c r="M24" s="345">
        <f>Calcs!Y331</f>
        <v>211714.73939589749</v>
      </c>
      <c r="N24" s="345">
        <f>Calcs!Z331</f>
        <v>383249.75907096895</v>
      </c>
      <c r="O24" s="345">
        <f>Calcs!AA331</f>
        <v>0</v>
      </c>
      <c r="P24" s="345">
        <f>Calcs!AB331</f>
        <v>0</v>
      </c>
      <c r="Q24" s="345">
        <f>Calcs!AC331</f>
        <v>0</v>
      </c>
      <c r="R24" s="345">
        <f>Calcs!AD331</f>
        <v>0</v>
      </c>
      <c r="S24" s="345">
        <f>Calcs!AE331</f>
        <v>0</v>
      </c>
      <c r="T24" s="345">
        <f>Calcs!AF331</f>
        <v>0</v>
      </c>
      <c r="U24" s="345">
        <f>Calcs!AG331</f>
        <v>0</v>
      </c>
      <c r="V24" s="345">
        <f>Calcs!AH331</f>
        <v>0</v>
      </c>
      <c r="W24" s="345">
        <f>Calcs!AI331</f>
        <v>0</v>
      </c>
      <c r="X24" s="345">
        <f>Calcs!AJ331</f>
        <v>0</v>
      </c>
      <c r="Y24" s="345">
        <f>Calcs!AK331</f>
        <v>0</v>
      </c>
      <c r="Z24" s="345">
        <f>Calcs!AL331</f>
        <v>0</v>
      </c>
      <c r="AA24" s="345">
        <f>Calcs!AM331</f>
        <v>0</v>
      </c>
      <c r="AB24" s="345">
        <f>Calcs!AN331</f>
        <v>0</v>
      </c>
      <c r="AC24" s="345">
        <f>Calcs!AO331</f>
        <v>0</v>
      </c>
      <c r="AD24" s="345">
        <f>Calcs!AP331</f>
        <v>0</v>
      </c>
      <c r="AE24" s="345">
        <f>Calcs!AQ331</f>
        <v>0</v>
      </c>
      <c r="AF24" s="345">
        <f>Calcs!AR331</f>
        <v>0</v>
      </c>
      <c r="AG24" s="345">
        <f>Calcs!AS331</f>
        <v>0</v>
      </c>
      <c r="AH24" s="345">
        <f>Calcs!AT331</f>
        <v>0</v>
      </c>
      <c r="AI24" s="345">
        <f>Calcs!AU331</f>
        <v>0</v>
      </c>
      <c r="AJ24" s="345">
        <f>Calcs!AV331</f>
        <v>0</v>
      </c>
      <c r="AK24" s="345">
        <f>Calcs!AW331</f>
        <v>0</v>
      </c>
      <c r="AL24" s="345">
        <f>Calcs!AX331</f>
        <v>0</v>
      </c>
      <c r="AM24" s="345">
        <f>Calcs!AY331</f>
        <v>0</v>
      </c>
      <c r="AN24" s="345">
        <f>Calcs!AZ331</f>
        <v>0</v>
      </c>
      <c r="AO24" s="345">
        <f>Calcs!BA331</f>
        <v>0</v>
      </c>
      <c r="AP24" s="345">
        <f>Calcs!BB331</f>
        <v>0</v>
      </c>
      <c r="AQ24" s="345">
        <f>Calcs!BC331</f>
        <v>0</v>
      </c>
      <c r="AR24" s="345">
        <f>Calcs!BD331</f>
        <v>0</v>
      </c>
      <c r="AS24" s="345">
        <f>Calcs!BE331</f>
        <v>0</v>
      </c>
      <c r="AT24" s="345">
        <f>Calcs!BF331</f>
        <v>0</v>
      </c>
      <c r="AU24" s="345">
        <f>Calcs!BG331</f>
        <v>0</v>
      </c>
      <c r="AV24" s="345">
        <f>Calcs!BH331</f>
        <v>0</v>
      </c>
      <c r="AW24" s="345">
        <f>Calcs!BI331</f>
        <v>0</v>
      </c>
      <c r="AX24" s="345">
        <f>Calcs!BJ331</f>
        <v>0</v>
      </c>
      <c r="AY24" s="345">
        <f>Calcs!BK331</f>
        <v>0</v>
      </c>
      <c r="AZ24" s="345">
        <f>Calcs!BL331</f>
        <v>0</v>
      </c>
      <c r="BA24" s="345">
        <f>Calcs!BM331</f>
        <v>0</v>
      </c>
      <c r="BB24" s="345">
        <f>Calcs!BN331</f>
        <v>0</v>
      </c>
      <c r="BC24" s="345">
        <f>Calcs!BO331</f>
        <v>0</v>
      </c>
      <c r="BD24" s="345">
        <f>Calcs!BP331</f>
        <v>0</v>
      </c>
    </row>
    <row r="25" spans="4:56" ht="14.25" customHeight="1" x14ac:dyDescent="0.2">
      <c r="D25" s="377" t="s">
        <v>247</v>
      </c>
      <c r="E25" s="381">
        <f t="shared" si="2"/>
        <v>0</v>
      </c>
      <c r="F25" s="324">
        <f>Calcs!R168</f>
        <v>0</v>
      </c>
      <c r="G25" s="324">
        <f>Calcs!S168</f>
        <v>0</v>
      </c>
      <c r="H25" s="324">
        <f>Calcs!T168</f>
        <v>0</v>
      </c>
      <c r="I25" s="324">
        <f>Calcs!U168</f>
        <v>0</v>
      </c>
      <c r="J25" s="324">
        <f>Calcs!V168</f>
        <v>0</v>
      </c>
      <c r="K25" s="345">
        <f>Calcs!W168</f>
        <v>0</v>
      </c>
      <c r="L25" s="345">
        <f>Calcs!X168</f>
        <v>0</v>
      </c>
      <c r="M25" s="345">
        <f>Calcs!Y168</f>
        <v>0</v>
      </c>
      <c r="N25" s="345">
        <f>Calcs!Z168</f>
        <v>0</v>
      </c>
      <c r="O25" s="345">
        <f>Calcs!AA168</f>
        <v>0</v>
      </c>
      <c r="P25" s="345">
        <f>Calcs!AB168</f>
        <v>0</v>
      </c>
      <c r="Q25" s="345">
        <f>Calcs!AC168</f>
        <v>0</v>
      </c>
      <c r="R25" s="345">
        <f>Calcs!AD168</f>
        <v>0</v>
      </c>
      <c r="S25" s="345">
        <f>Calcs!AE168</f>
        <v>0</v>
      </c>
      <c r="T25" s="345">
        <f>Calcs!AF168</f>
        <v>0</v>
      </c>
      <c r="U25" s="345">
        <f>Calcs!AG168</f>
        <v>0</v>
      </c>
      <c r="V25" s="345">
        <f>Calcs!AH168</f>
        <v>0</v>
      </c>
      <c r="W25" s="345">
        <f>Calcs!AI168</f>
        <v>0</v>
      </c>
      <c r="X25" s="345">
        <f>Calcs!AJ168</f>
        <v>0</v>
      </c>
      <c r="Y25" s="345">
        <f>Calcs!AK168</f>
        <v>0</v>
      </c>
      <c r="Z25" s="345">
        <f>Calcs!AL168</f>
        <v>0</v>
      </c>
      <c r="AA25" s="345">
        <f>Calcs!AM168</f>
        <v>0</v>
      </c>
      <c r="AB25" s="345">
        <f>Calcs!AN168</f>
        <v>0</v>
      </c>
      <c r="AC25" s="345">
        <f>Calcs!AO168</f>
        <v>0</v>
      </c>
      <c r="AD25" s="345">
        <f>Calcs!AP168</f>
        <v>0</v>
      </c>
      <c r="AE25" s="345">
        <f>Calcs!AQ168</f>
        <v>0</v>
      </c>
      <c r="AF25" s="345">
        <f>Calcs!AR168</f>
        <v>0</v>
      </c>
      <c r="AG25" s="345">
        <f>Calcs!AS168</f>
        <v>0</v>
      </c>
      <c r="AH25" s="345">
        <f>Calcs!AT168</f>
        <v>0</v>
      </c>
      <c r="AI25" s="345">
        <f>Calcs!AU168</f>
        <v>0</v>
      </c>
      <c r="AJ25" s="345">
        <f>Calcs!AV168</f>
        <v>0</v>
      </c>
      <c r="AK25" s="345">
        <f>Calcs!AW168</f>
        <v>0</v>
      </c>
      <c r="AL25" s="345">
        <f>Calcs!AX168</f>
        <v>0</v>
      </c>
      <c r="AM25" s="345">
        <f>Calcs!AY168</f>
        <v>0</v>
      </c>
      <c r="AN25" s="345">
        <f>Calcs!AZ168</f>
        <v>0</v>
      </c>
      <c r="AO25" s="345">
        <f>Calcs!BA168</f>
        <v>0</v>
      </c>
      <c r="AP25" s="345">
        <f>Calcs!BB168</f>
        <v>0</v>
      </c>
      <c r="AQ25" s="345">
        <f>Calcs!BC168</f>
        <v>0</v>
      </c>
      <c r="AR25" s="345">
        <f>Calcs!BD168</f>
        <v>0</v>
      </c>
      <c r="AS25" s="345">
        <f>Calcs!BE168</f>
        <v>0</v>
      </c>
      <c r="AT25" s="345">
        <f>Calcs!BF168</f>
        <v>0</v>
      </c>
      <c r="AU25" s="345">
        <f>Calcs!BG168</f>
        <v>0</v>
      </c>
      <c r="AV25" s="345">
        <f>Calcs!BH168</f>
        <v>0</v>
      </c>
      <c r="AW25" s="345">
        <f>Calcs!BI168</f>
        <v>0</v>
      </c>
      <c r="AX25" s="345">
        <f>Calcs!BJ168</f>
        <v>0</v>
      </c>
      <c r="AY25" s="345">
        <f>Calcs!BK168</f>
        <v>0</v>
      </c>
      <c r="AZ25" s="345">
        <f>Calcs!BL168</f>
        <v>0</v>
      </c>
      <c r="BA25" s="345">
        <f>Calcs!BM168</f>
        <v>0</v>
      </c>
      <c r="BB25" s="345">
        <f>Calcs!BN168</f>
        <v>0</v>
      </c>
      <c r="BC25" s="345">
        <f>Calcs!BO168</f>
        <v>0</v>
      </c>
      <c r="BD25" s="345">
        <f>Calcs!BP168</f>
        <v>0</v>
      </c>
    </row>
    <row r="26" spans="4:56" ht="14.25" customHeight="1" x14ac:dyDescent="0.2">
      <c r="D26" s="377" t="s">
        <v>30</v>
      </c>
      <c r="E26" s="381">
        <f t="shared" si="2"/>
        <v>0</v>
      </c>
      <c r="F26" s="324">
        <f>Calcs!R324</f>
        <v>0</v>
      </c>
      <c r="G26" s="324">
        <f>Calcs!S324</f>
        <v>0</v>
      </c>
      <c r="H26" s="324">
        <f>Calcs!T324</f>
        <v>0</v>
      </c>
      <c r="I26" s="324">
        <f>Calcs!U324</f>
        <v>0</v>
      </c>
      <c r="J26" s="324">
        <f>Calcs!V324</f>
        <v>0</v>
      </c>
      <c r="K26" s="345">
        <f>Calcs!W324</f>
        <v>0</v>
      </c>
      <c r="L26" s="345">
        <f>Calcs!X324</f>
        <v>0</v>
      </c>
      <c r="M26" s="345">
        <f>Calcs!Y324</f>
        <v>0</v>
      </c>
      <c r="N26" s="345">
        <f>Calcs!Z324</f>
        <v>0</v>
      </c>
      <c r="O26" s="345">
        <f>Calcs!AA324</f>
        <v>0</v>
      </c>
      <c r="P26" s="345">
        <f>Calcs!AB324</f>
        <v>0</v>
      </c>
      <c r="Q26" s="345">
        <f>Calcs!AC324</f>
        <v>0</v>
      </c>
      <c r="R26" s="345">
        <f>Calcs!AD324</f>
        <v>0</v>
      </c>
      <c r="S26" s="345">
        <f>Calcs!AE324</f>
        <v>0</v>
      </c>
      <c r="T26" s="345">
        <f>Calcs!AF324</f>
        <v>0</v>
      </c>
      <c r="U26" s="345">
        <f>Calcs!AG324</f>
        <v>0</v>
      </c>
      <c r="V26" s="345">
        <f>Calcs!AH324</f>
        <v>0</v>
      </c>
      <c r="W26" s="345">
        <f>Calcs!AI324</f>
        <v>0</v>
      </c>
      <c r="X26" s="345">
        <f>Calcs!AJ324</f>
        <v>0</v>
      </c>
      <c r="Y26" s="345">
        <f>Calcs!AK324</f>
        <v>0</v>
      </c>
      <c r="Z26" s="345">
        <f>Calcs!AL324</f>
        <v>0</v>
      </c>
      <c r="AA26" s="345">
        <f>Calcs!AM324</f>
        <v>0</v>
      </c>
      <c r="AB26" s="345">
        <f>Calcs!AN324</f>
        <v>0</v>
      </c>
      <c r="AC26" s="345">
        <f>Calcs!AO324</f>
        <v>0</v>
      </c>
      <c r="AD26" s="345">
        <f>Calcs!AP324</f>
        <v>0</v>
      </c>
      <c r="AE26" s="345">
        <f>Calcs!AQ324</f>
        <v>0</v>
      </c>
      <c r="AF26" s="345">
        <f>Calcs!AR324</f>
        <v>0</v>
      </c>
      <c r="AG26" s="345">
        <f>Calcs!AS324</f>
        <v>0</v>
      </c>
      <c r="AH26" s="345">
        <f>Calcs!AT324</f>
        <v>0</v>
      </c>
      <c r="AI26" s="345">
        <f>Calcs!AU324</f>
        <v>0</v>
      </c>
      <c r="AJ26" s="345">
        <f>Calcs!AV324</f>
        <v>0</v>
      </c>
      <c r="AK26" s="345">
        <f>Calcs!AW324</f>
        <v>0</v>
      </c>
      <c r="AL26" s="345">
        <f>Calcs!AX324</f>
        <v>0</v>
      </c>
      <c r="AM26" s="345">
        <f>Calcs!AY324</f>
        <v>0</v>
      </c>
      <c r="AN26" s="345">
        <f>Calcs!AZ324</f>
        <v>0</v>
      </c>
      <c r="AO26" s="345">
        <f>Calcs!BA324</f>
        <v>0</v>
      </c>
      <c r="AP26" s="345">
        <f>Calcs!BB324</f>
        <v>0</v>
      </c>
      <c r="AQ26" s="345">
        <f>Calcs!BC324</f>
        <v>0</v>
      </c>
      <c r="AR26" s="345">
        <f>Calcs!BD324</f>
        <v>0</v>
      </c>
      <c r="AS26" s="345">
        <f>Calcs!BE324</f>
        <v>0</v>
      </c>
      <c r="AT26" s="345">
        <f>Calcs!BF324</f>
        <v>0</v>
      </c>
      <c r="AU26" s="345">
        <f>Calcs!BG324</f>
        <v>0</v>
      </c>
      <c r="AV26" s="345">
        <f>Calcs!BH324</f>
        <v>0</v>
      </c>
      <c r="AW26" s="345">
        <f>Calcs!BI324</f>
        <v>0</v>
      </c>
      <c r="AX26" s="345">
        <f>Calcs!BJ324</f>
        <v>0</v>
      </c>
      <c r="AY26" s="345">
        <f>Calcs!BK324</f>
        <v>0</v>
      </c>
      <c r="AZ26" s="345">
        <f>Calcs!BL324</f>
        <v>0</v>
      </c>
      <c r="BA26" s="345">
        <f>Calcs!BM324</f>
        <v>0</v>
      </c>
      <c r="BB26" s="345">
        <f>Calcs!BN324</f>
        <v>0</v>
      </c>
      <c r="BC26" s="345">
        <f>Calcs!BO324</f>
        <v>0</v>
      </c>
      <c r="BD26" s="345">
        <f>Calcs!BP324</f>
        <v>0</v>
      </c>
    </row>
    <row r="27" spans="4:56" ht="14.25" customHeight="1" x14ac:dyDescent="0.2">
      <c r="D27" s="377" t="s">
        <v>121</v>
      </c>
      <c r="E27" s="381">
        <f t="shared" si="2"/>
        <v>0</v>
      </c>
      <c r="F27" s="324">
        <f>Calcs!R334+Calcs!R335+Calcs!R337+Calcs!R338+Calcs!R339</f>
        <v>0</v>
      </c>
      <c r="G27" s="324">
        <f>Calcs!S334+Calcs!S335+Calcs!S337+Calcs!S338+Calcs!S339</f>
        <v>0</v>
      </c>
      <c r="H27" s="324">
        <f>Calcs!T334+Calcs!T335+Calcs!T337+Calcs!T338+Calcs!T339</f>
        <v>0</v>
      </c>
      <c r="I27" s="324">
        <f>Calcs!U334+Calcs!U335+Calcs!U337+Calcs!U338+Calcs!U339</f>
        <v>0</v>
      </c>
      <c r="J27" s="324">
        <f>Calcs!V334+Calcs!V335+Calcs!V337+Calcs!V338+Calcs!V339</f>
        <v>0</v>
      </c>
      <c r="K27" s="345">
        <f>Calcs!W334+Calcs!W335+Calcs!W337+Calcs!W338+Calcs!W339</f>
        <v>0</v>
      </c>
      <c r="L27" s="345">
        <f>Calcs!X334+Calcs!X335+Calcs!X337+Calcs!X338+Calcs!X339</f>
        <v>0</v>
      </c>
      <c r="M27" s="345">
        <f>Calcs!Y334+Calcs!Y335+Calcs!Y337+Calcs!Y338+Calcs!Y339</f>
        <v>0</v>
      </c>
      <c r="N27" s="345">
        <f>Calcs!Z334+Calcs!Z335+Calcs!Z337+Calcs!Z338+Calcs!Z339</f>
        <v>0</v>
      </c>
      <c r="O27" s="345">
        <f>Calcs!AA334+Calcs!AA335+Calcs!AA337+Calcs!AA338+Calcs!AA339</f>
        <v>0</v>
      </c>
      <c r="P27" s="345">
        <f>Calcs!AB334+Calcs!AB335+Calcs!AB337+Calcs!AB338+Calcs!AB339</f>
        <v>0</v>
      </c>
      <c r="Q27" s="345">
        <f>Calcs!AC334+Calcs!AC335+Calcs!AC337+Calcs!AC338+Calcs!AC339</f>
        <v>0</v>
      </c>
      <c r="R27" s="345">
        <f>Calcs!AD334+Calcs!AD335+Calcs!AD337+Calcs!AD338+Calcs!AD339</f>
        <v>0</v>
      </c>
      <c r="S27" s="345">
        <f>Calcs!AE334+Calcs!AE335+Calcs!AE337+Calcs!AE338+Calcs!AE339</f>
        <v>0</v>
      </c>
      <c r="T27" s="345">
        <f>Calcs!AF334+Calcs!AF335+Calcs!AF337+Calcs!AF338+Calcs!AF339</f>
        <v>0</v>
      </c>
      <c r="U27" s="345">
        <f>Calcs!AG334+Calcs!AG335+Calcs!AG337+Calcs!AG338+Calcs!AG339</f>
        <v>0</v>
      </c>
      <c r="V27" s="345">
        <f>Calcs!AH334+Calcs!AH335+Calcs!AH337+Calcs!AH338+Calcs!AH339</f>
        <v>0</v>
      </c>
      <c r="W27" s="345">
        <f>Calcs!AI334+Calcs!AI335+Calcs!AI337+Calcs!AI338+Calcs!AI339</f>
        <v>0</v>
      </c>
      <c r="X27" s="345">
        <f>Calcs!AJ334+Calcs!AJ335+Calcs!AJ337+Calcs!AJ338+Calcs!AJ339</f>
        <v>0</v>
      </c>
      <c r="Y27" s="345">
        <f>Calcs!AK334+Calcs!AK335+Calcs!AK337+Calcs!AK338+Calcs!AK339</f>
        <v>0</v>
      </c>
      <c r="Z27" s="345">
        <f>Calcs!AL334+Calcs!AL335+Calcs!AL337+Calcs!AL338+Calcs!AL339</f>
        <v>0</v>
      </c>
      <c r="AA27" s="345">
        <f>Calcs!AM334+Calcs!AM335+Calcs!AM337+Calcs!AM338+Calcs!AM339</f>
        <v>0</v>
      </c>
      <c r="AB27" s="345">
        <f>Calcs!AN334+Calcs!AN335+Calcs!AN337+Calcs!AN338+Calcs!AN339</f>
        <v>0</v>
      </c>
      <c r="AC27" s="345">
        <f>Calcs!AO334+Calcs!AO335+Calcs!AO337+Calcs!AO338+Calcs!AO339</f>
        <v>0</v>
      </c>
      <c r="AD27" s="345">
        <f>Calcs!AP334+Calcs!AP335+Calcs!AP337+Calcs!AP338+Calcs!AP339</f>
        <v>0</v>
      </c>
      <c r="AE27" s="345">
        <f>Calcs!AQ334+Calcs!AQ335+Calcs!AQ337+Calcs!AQ338+Calcs!AQ339</f>
        <v>0</v>
      </c>
      <c r="AF27" s="345">
        <f>Calcs!AR334+Calcs!AR335+Calcs!AR337+Calcs!AR338+Calcs!AR339</f>
        <v>0</v>
      </c>
      <c r="AG27" s="345">
        <f>Calcs!AS334+Calcs!AS335+Calcs!AS337+Calcs!AS338+Calcs!AS339</f>
        <v>0</v>
      </c>
      <c r="AH27" s="345">
        <f>Calcs!AT334+Calcs!AT335+Calcs!AT337+Calcs!AT338+Calcs!AT339</f>
        <v>0</v>
      </c>
      <c r="AI27" s="345">
        <f>Calcs!AU334+Calcs!AU335+Calcs!AU337+Calcs!AU338+Calcs!AU339</f>
        <v>0</v>
      </c>
      <c r="AJ27" s="345">
        <f>Calcs!AV334+Calcs!AV335+Calcs!AV337+Calcs!AV338+Calcs!AV339</f>
        <v>0</v>
      </c>
      <c r="AK27" s="345">
        <f>Calcs!AW334+Calcs!AW335+Calcs!AW337+Calcs!AW338+Calcs!AW339</f>
        <v>0</v>
      </c>
      <c r="AL27" s="345">
        <f>Calcs!AX334+Calcs!AX335+Calcs!AX337+Calcs!AX338+Calcs!AX339</f>
        <v>0</v>
      </c>
      <c r="AM27" s="345">
        <f>Calcs!AY334+Calcs!AY335+Calcs!AY337+Calcs!AY338+Calcs!AY339</f>
        <v>0</v>
      </c>
      <c r="AN27" s="345">
        <f>Calcs!AZ334+Calcs!AZ335+Calcs!AZ337+Calcs!AZ338+Calcs!AZ339</f>
        <v>0</v>
      </c>
      <c r="AO27" s="345">
        <f>Calcs!BA334+Calcs!BA335+Calcs!BA337+Calcs!BA338+Calcs!BA339</f>
        <v>0</v>
      </c>
      <c r="AP27" s="345">
        <f>Calcs!BB334+Calcs!BB335+Calcs!BB337+Calcs!BB338+Calcs!BB339</f>
        <v>0</v>
      </c>
      <c r="AQ27" s="345">
        <f>Calcs!BC334+Calcs!BC335+Calcs!BC337+Calcs!BC338+Calcs!BC339</f>
        <v>0</v>
      </c>
      <c r="AR27" s="345">
        <f>Calcs!BD334+Calcs!BD335+Calcs!BD337+Calcs!BD338+Calcs!BD339</f>
        <v>0</v>
      </c>
      <c r="AS27" s="345">
        <f>Calcs!BE334+Calcs!BE335+Calcs!BE337+Calcs!BE338+Calcs!BE339</f>
        <v>0</v>
      </c>
      <c r="AT27" s="345">
        <f>Calcs!BF334+Calcs!BF335+Calcs!BF337+Calcs!BF338+Calcs!BF339</f>
        <v>0</v>
      </c>
      <c r="AU27" s="345">
        <f>Calcs!BG334+Calcs!BG335+Calcs!BG337+Calcs!BG338+Calcs!BG339</f>
        <v>0</v>
      </c>
      <c r="AV27" s="345">
        <f>Calcs!BH334+Calcs!BH335+Calcs!BH337+Calcs!BH338+Calcs!BH339</f>
        <v>0</v>
      </c>
      <c r="AW27" s="345">
        <f>Calcs!BI334+Calcs!BI335+Calcs!BI337+Calcs!BI338+Calcs!BI339</f>
        <v>0</v>
      </c>
      <c r="AX27" s="345">
        <f>Calcs!BJ334+Calcs!BJ335+Calcs!BJ337+Calcs!BJ338+Calcs!BJ339</f>
        <v>0</v>
      </c>
      <c r="AY27" s="345">
        <f>Calcs!BK334+Calcs!BK335+Calcs!BK337+Calcs!BK338+Calcs!BK339</f>
        <v>0</v>
      </c>
      <c r="AZ27" s="345">
        <f>Calcs!BL334+Calcs!BL335+Calcs!BL337+Calcs!BL338+Calcs!BL339</f>
        <v>0</v>
      </c>
      <c r="BA27" s="345">
        <f>Calcs!BM334+Calcs!BM335+Calcs!BM337+Calcs!BM338+Calcs!BM339</f>
        <v>0</v>
      </c>
      <c r="BB27" s="345">
        <f>Calcs!BN334+Calcs!BN335+Calcs!BN337+Calcs!BN338+Calcs!BN339</f>
        <v>0</v>
      </c>
      <c r="BC27" s="345">
        <f>Calcs!BO334+Calcs!BO335+Calcs!BO337+Calcs!BO338+Calcs!BO339</f>
        <v>0</v>
      </c>
      <c r="BD27" s="345">
        <f>Calcs!BP334+Calcs!BP335+Calcs!BP337+Calcs!BP338+Calcs!BP339</f>
        <v>0</v>
      </c>
    </row>
    <row r="28" spans="4:56" ht="14.25" customHeight="1" x14ac:dyDescent="0.2">
      <c r="D28" s="377" t="s">
        <v>248</v>
      </c>
      <c r="E28" s="381">
        <f t="shared" si="2"/>
        <v>0</v>
      </c>
      <c r="F28" s="324">
        <f>Calcs!R328</f>
        <v>0</v>
      </c>
      <c r="G28" s="324">
        <f>Calcs!S328</f>
        <v>0</v>
      </c>
      <c r="H28" s="324">
        <f>Calcs!T328</f>
        <v>0</v>
      </c>
      <c r="I28" s="324">
        <f>Calcs!U328</f>
        <v>0</v>
      </c>
      <c r="J28" s="324">
        <f>Calcs!V328</f>
        <v>0</v>
      </c>
      <c r="K28" s="345">
        <f>Calcs!W328</f>
        <v>0</v>
      </c>
      <c r="L28" s="345">
        <f>Calcs!X328</f>
        <v>0</v>
      </c>
      <c r="M28" s="345">
        <f>Calcs!Y328</f>
        <v>0</v>
      </c>
      <c r="N28" s="345">
        <f>Calcs!Z328</f>
        <v>0</v>
      </c>
      <c r="O28" s="345">
        <f>Calcs!AA328</f>
        <v>0</v>
      </c>
      <c r="P28" s="345">
        <f>Calcs!AB328</f>
        <v>0</v>
      </c>
      <c r="Q28" s="345">
        <f>Calcs!AC328</f>
        <v>0</v>
      </c>
      <c r="R28" s="345">
        <f>Calcs!AD328</f>
        <v>0</v>
      </c>
      <c r="S28" s="345">
        <f>Calcs!AE328</f>
        <v>0</v>
      </c>
      <c r="T28" s="345">
        <f>Calcs!AF328</f>
        <v>0</v>
      </c>
      <c r="U28" s="345">
        <f>Calcs!AG328</f>
        <v>0</v>
      </c>
      <c r="V28" s="345">
        <f>Calcs!AH328</f>
        <v>0</v>
      </c>
      <c r="W28" s="345">
        <f>Calcs!AI328</f>
        <v>0</v>
      </c>
      <c r="X28" s="345">
        <f>Calcs!AJ328</f>
        <v>0</v>
      </c>
      <c r="Y28" s="345">
        <f>Calcs!AK328</f>
        <v>0</v>
      </c>
      <c r="Z28" s="345">
        <f>Calcs!AL328</f>
        <v>0</v>
      </c>
      <c r="AA28" s="345">
        <f>Calcs!AM328</f>
        <v>0</v>
      </c>
      <c r="AB28" s="345">
        <f>Calcs!AN328</f>
        <v>0</v>
      </c>
      <c r="AC28" s="345">
        <f>Calcs!AO328</f>
        <v>0</v>
      </c>
      <c r="AD28" s="345">
        <f>Calcs!AP328</f>
        <v>0</v>
      </c>
      <c r="AE28" s="345">
        <f>Calcs!AQ328</f>
        <v>0</v>
      </c>
      <c r="AF28" s="345">
        <f>Calcs!AR328</f>
        <v>0</v>
      </c>
      <c r="AG28" s="345">
        <f>Calcs!AS328</f>
        <v>0</v>
      </c>
      <c r="AH28" s="345">
        <f>Calcs!AT328</f>
        <v>0</v>
      </c>
      <c r="AI28" s="345">
        <f>Calcs!AU328</f>
        <v>0</v>
      </c>
      <c r="AJ28" s="345">
        <f>Calcs!AV328</f>
        <v>0</v>
      </c>
      <c r="AK28" s="345">
        <f>Calcs!AW328</f>
        <v>0</v>
      </c>
      <c r="AL28" s="345">
        <f>Calcs!AX328</f>
        <v>0</v>
      </c>
      <c r="AM28" s="345">
        <f>Calcs!AY328</f>
        <v>0</v>
      </c>
      <c r="AN28" s="345">
        <f>Calcs!AZ328</f>
        <v>0</v>
      </c>
      <c r="AO28" s="345">
        <f>Calcs!BA328</f>
        <v>0</v>
      </c>
      <c r="AP28" s="345">
        <f>Calcs!BB328</f>
        <v>0</v>
      </c>
      <c r="AQ28" s="345">
        <f>Calcs!BC328</f>
        <v>0</v>
      </c>
      <c r="AR28" s="345">
        <f>Calcs!BD328</f>
        <v>0</v>
      </c>
      <c r="AS28" s="345">
        <f>Calcs!BE328</f>
        <v>0</v>
      </c>
      <c r="AT28" s="345">
        <f>Calcs!BF328</f>
        <v>0</v>
      </c>
      <c r="AU28" s="345">
        <f>Calcs!BG328</f>
        <v>0</v>
      </c>
      <c r="AV28" s="345">
        <f>Calcs!BH328</f>
        <v>0</v>
      </c>
      <c r="AW28" s="345">
        <f>Calcs!BI328</f>
        <v>0</v>
      </c>
      <c r="AX28" s="345">
        <f>Calcs!BJ328</f>
        <v>0</v>
      </c>
      <c r="AY28" s="345">
        <f>Calcs!BK328</f>
        <v>0</v>
      </c>
      <c r="AZ28" s="345">
        <f>Calcs!BL328</f>
        <v>0</v>
      </c>
      <c r="BA28" s="345">
        <f>Calcs!BM328</f>
        <v>0</v>
      </c>
      <c r="BB28" s="345">
        <f>Calcs!BN328</f>
        <v>0</v>
      </c>
      <c r="BC28" s="345">
        <f>Calcs!BO328</f>
        <v>0</v>
      </c>
      <c r="BD28" s="345">
        <f>Calcs!BP328</f>
        <v>0</v>
      </c>
    </row>
    <row r="29" spans="4:56" ht="14.25" customHeight="1" x14ac:dyDescent="0.2">
      <c r="D29" s="377" t="s">
        <v>249</v>
      </c>
      <c r="E29" s="381">
        <f t="shared" si="2"/>
        <v>280259.93040000001</v>
      </c>
      <c r="F29" s="324">
        <f>Calcs!R315</f>
        <v>0</v>
      </c>
      <c r="G29" s="324">
        <f>Calcs!S315</f>
        <v>0</v>
      </c>
      <c r="H29" s="324">
        <f>Calcs!T315</f>
        <v>0</v>
      </c>
      <c r="I29" s="324">
        <f>Calcs!U315</f>
        <v>93374.327999999994</v>
      </c>
      <c r="J29" s="324">
        <f>Calcs!V315</f>
        <v>186885.6024</v>
      </c>
      <c r="K29" s="345">
        <f>Calcs!W315</f>
        <v>280943.87807999999</v>
      </c>
      <c r="L29" s="345">
        <f>Calcs!X315</f>
        <v>333769.44688</v>
      </c>
      <c r="M29" s="345">
        <f>Calcs!Y315</f>
        <v>389096.81760000001</v>
      </c>
      <c r="N29" s="345">
        <f>Calcs!Z315</f>
        <v>306151.79216000001</v>
      </c>
      <c r="O29" s="345">
        <f>Calcs!AA315</f>
        <v>241881.63232000003</v>
      </c>
      <c r="P29" s="345">
        <f>Calcs!AB315</f>
        <v>200048.70048000003</v>
      </c>
      <c r="Q29" s="345">
        <f>Calcs!AC315</f>
        <v>180744.16352000003</v>
      </c>
      <c r="R29" s="345">
        <f>Calcs!AD315</f>
        <v>180227.15904000003</v>
      </c>
      <c r="S29" s="345">
        <f>Calcs!AE315</f>
        <v>202755.55392000003</v>
      </c>
      <c r="T29" s="345">
        <f>Calcs!AF315</f>
        <v>225283.94880000004</v>
      </c>
      <c r="U29" s="345">
        <f>Calcs!AG315</f>
        <v>247812.34368000005</v>
      </c>
      <c r="V29" s="345">
        <f>Calcs!AH315</f>
        <v>270340.73856000003</v>
      </c>
      <c r="W29" s="345">
        <f>Calcs!AI315</f>
        <v>292869.13344000006</v>
      </c>
      <c r="X29" s="345">
        <f>Calcs!AJ315</f>
        <v>315397.52832000004</v>
      </c>
      <c r="Y29" s="345">
        <f>Calcs!AK315</f>
        <v>337925.92320000002</v>
      </c>
      <c r="Z29" s="345">
        <f>Calcs!AL315</f>
        <v>360454.31808</v>
      </c>
      <c r="AA29" s="345">
        <f>Calcs!AM315</f>
        <v>382982.71295999998</v>
      </c>
      <c r="AB29" s="345">
        <f>Calcs!AN315</f>
        <v>405511.1078399999</v>
      </c>
      <c r="AC29" s="345">
        <f>Calcs!AO315</f>
        <v>428039.50271999987</v>
      </c>
      <c r="AD29" s="345">
        <f>Calcs!AP315</f>
        <v>450567.89759999985</v>
      </c>
      <c r="AE29" s="345">
        <f>Calcs!AQ315</f>
        <v>473096.29247999983</v>
      </c>
      <c r="AF29" s="345">
        <f>Calcs!AR315</f>
        <v>495624.68735999981</v>
      </c>
      <c r="AG29" s="345">
        <f>Calcs!AS315</f>
        <v>518153.08223999979</v>
      </c>
      <c r="AH29" s="345">
        <f>Calcs!AT315</f>
        <v>540681.47711999982</v>
      </c>
      <c r="AI29" s="345">
        <f>Calcs!AU315</f>
        <v>563209.87199999974</v>
      </c>
      <c r="AJ29" s="345">
        <f>Calcs!AV315</f>
        <v>585738.26687999966</v>
      </c>
      <c r="AK29" s="345">
        <f>Calcs!AW315</f>
        <v>608266.6617599997</v>
      </c>
      <c r="AL29" s="345">
        <f>Calcs!AX315</f>
        <v>630795.05663999962</v>
      </c>
      <c r="AM29" s="345">
        <f>Calcs!AY315</f>
        <v>653323.45151999965</v>
      </c>
      <c r="AN29" s="345">
        <f>Calcs!AZ315</f>
        <v>675851.84639999957</v>
      </c>
      <c r="AO29" s="345">
        <f>Calcs!BA315</f>
        <v>698380.24127999961</v>
      </c>
      <c r="AP29" s="345">
        <f>Calcs!BB315</f>
        <v>720908.63615999953</v>
      </c>
      <c r="AQ29" s="345">
        <f>Calcs!BC315</f>
        <v>743437.03103999957</v>
      </c>
      <c r="AR29" s="345">
        <f>Calcs!BD315</f>
        <v>765965.42591999948</v>
      </c>
      <c r="AS29" s="345">
        <f>Calcs!BE315</f>
        <v>788493.82079999952</v>
      </c>
      <c r="AT29" s="345">
        <f>Calcs!BF315</f>
        <v>811022.21567999944</v>
      </c>
      <c r="AU29" s="345">
        <f>Calcs!BG315</f>
        <v>833550.61055999948</v>
      </c>
      <c r="AV29" s="345">
        <f>Calcs!BH315</f>
        <v>856079.0054399994</v>
      </c>
      <c r="AW29" s="345">
        <f>Calcs!BI315</f>
        <v>878607.40031999943</v>
      </c>
      <c r="AX29" s="345">
        <f>Calcs!BJ315</f>
        <v>901135.79519999935</v>
      </c>
      <c r="AY29" s="345">
        <f>Calcs!BK315</f>
        <v>923664.19007999939</v>
      </c>
      <c r="AZ29" s="345">
        <f>Calcs!BL315</f>
        <v>946192.58495999931</v>
      </c>
      <c r="BA29" s="345">
        <f>Calcs!BM315</f>
        <v>968720.97983999923</v>
      </c>
      <c r="BB29" s="345">
        <f>Calcs!BN315</f>
        <v>991249.37471999926</v>
      </c>
      <c r="BC29" s="345">
        <f>Calcs!BO315</f>
        <v>1013777.7695999992</v>
      </c>
      <c r="BD29" s="345">
        <f>Calcs!BP315</f>
        <v>1036306.1644799992</v>
      </c>
    </row>
    <row r="30" spans="4:56" ht="14.25" customHeight="1" x14ac:dyDescent="0.2">
      <c r="D30" s="377" t="s">
        <v>250</v>
      </c>
      <c r="E30" s="381">
        <f t="shared" si="2"/>
        <v>542874</v>
      </c>
      <c r="F30" s="324">
        <f>Calcs!R318</f>
        <v>0</v>
      </c>
      <c r="G30" s="324">
        <f>Calcs!S318</f>
        <v>0</v>
      </c>
      <c r="H30" s="324">
        <f>Calcs!T318</f>
        <v>0</v>
      </c>
      <c r="I30" s="324">
        <f>Calcs!U318</f>
        <v>0</v>
      </c>
      <c r="J30" s="324">
        <f>Calcs!V318</f>
        <v>542874</v>
      </c>
      <c r="K30" s="345">
        <f>Calcs!W318</f>
        <v>540223.80000000005</v>
      </c>
      <c r="L30" s="345">
        <f>Calcs!X318</f>
        <v>1195119</v>
      </c>
      <c r="M30" s="345">
        <f>Calcs!Y318</f>
        <v>1741268.2</v>
      </c>
      <c r="N30" s="345">
        <f>Calcs!Z318</f>
        <v>2411192.6</v>
      </c>
      <c r="O30" s="345">
        <f>Calcs!AA318</f>
        <v>1868318.6</v>
      </c>
      <c r="P30" s="345">
        <f>Calcs!AB318</f>
        <v>1216073.6000000001</v>
      </c>
      <c r="Q30" s="345">
        <f>Calcs!AC318</f>
        <v>561178.40000000014</v>
      </c>
      <c r="R30" s="345">
        <f>Calcs!AD318</f>
        <v>15029.200000000186</v>
      </c>
      <c r="S30" s="345">
        <f>Calcs!AE318</f>
        <v>-654895.19999999984</v>
      </c>
      <c r="T30" s="345">
        <f>Calcs!AF318</f>
        <v>-654895.19999999984</v>
      </c>
      <c r="U30" s="345">
        <f>Calcs!AG318</f>
        <v>-654895.19999999984</v>
      </c>
      <c r="V30" s="345">
        <f>Calcs!AH318</f>
        <v>-654895.19999999984</v>
      </c>
      <c r="W30" s="345">
        <f>Calcs!AI318</f>
        <v>-654895.19999999984</v>
      </c>
      <c r="X30" s="345">
        <f>Calcs!AJ318</f>
        <v>-654895.19999999984</v>
      </c>
      <c r="Y30" s="345">
        <f>Calcs!AK318</f>
        <v>-654895.19999999984</v>
      </c>
      <c r="Z30" s="345">
        <f>Calcs!AL318</f>
        <v>-654895.19999999984</v>
      </c>
      <c r="AA30" s="345">
        <f>Calcs!AM318</f>
        <v>-654895.19999999984</v>
      </c>
      <c r="AB30" s="345">
        <f>Calcs!AN318</f>
        <v>-654895.19999999984</v>
      </c>
      <c r="AC30" s="345">
        <f>Calcs!AO318</f>
        <v>-654895.19999999984</v>
      </c>
      <c r="AD30" s="345">
        <f>Calcs!AP318</f>
        <v>-654895.19999999984</v>
      </c>
      <c r="AE30" s="345">
        <f>Calcs!AQ318</f>
        <v>-654895.19999999984</v>
      </c>
      <c r="AF30" s="345">
        <f>Calcs!AR318</f>
        <v>-654895.19999999984</v>
      </c>
      <c r="AG30" s="345">
        <f>Calcs!AS318</f>
        <v>-654895.19999999984</v>
      </c>
      <c r="AH30" s="345">
        <f>Calcs!AT318</f>
        <v>-654895.19999999984</v>
      </c>
      <c r="AI30" s="345">
        <f>Calcs!AU318</f>
        <v>-654895.19999999984</v>
      </c>
      <c r="AJ30" s="345">
        <f>Calcs!AV318</f>
        <v>-654895.19999999984</v>
      </c>
      <c r="AK30" s="345">
        <f>Calcs!AW318</f>
        <v>-654895.19999999984</v>
      </c>
      <c r="AL30" s="345">
        <f>Calcs!AX318</f>
        <v>-654895.19999999984</v>
      </c>
      <c r="AM30" s="345">
        <f>Calcs!AY318</f>
        <v>-654895.19999999984</v>
      </c>
      <c r="AN30" s="345">
        <f>Calcs!AZ318</f>
        <v>-654895.19999999984</v>
      </c>
      <c r="AO30" s="345">
        <f>Calcs!BA318</f>
        <v>-654895.19999999984</v>
      </c>
      <c r="AP30" s="345">
        <f>Calcs!BB318</f>
        <v>-654895.19999999984</v>
      </c>
      <c r="AQ30" s="345">
        <f>Calcs!BC318</f>
        <v>-654895.19999999984</v>
      </c>
      <c r="AR30" s="345">
        <f>Calcs!BD318</f>
        <v>-654895.19999999984</v>
      </c>
      <c r="AS30" s="345">
        <f>Calcs!BE318</f>
        <v>-654895.19999999984</v>
      </c>
      <c r="AT30" s="345">
        <f>Calcs!BF318</f>
        <v>-654895.19999999984</v>
      </c>
      <c r="AU30" s="345">
        <f>Calcs!BG318</f>
        <v>-654895.19999999984</v>
      </c>
      <c r="AV30" s="345">
        <f>Calcs!BH318</f>
        <v>-654895.19999999984</v>
      </c>
      <c r="AW30" s="345">
        <f>Calcs!BI318</f>
        <v>-654895.19999999984</v>
      </c>
      <c r="AX30" s="345">
        <f>Calcs!BJ318</f>
        <v>-654895.19999999984</v>
      </c>
      <c r="AY30" s="345">
        <f>Calcs!BK318</f>
        <v>-654895.19999999984</v>
      </c>
      <c r="AZ30" s="345">
        <f>Calcs!BL318</f>
        <v>-654895.19999999984</v>
      </c>
      <c r="BA30" s="345">
        <f>Calcs!BM318</f>
        <v>-654895.19999999984</v>
      </c>
      <c r="BB30" s="345">
        <f>Calcs!BN318</f>
        <v>-654895.19999999984</v>
      </c>
      <c r="BC30" s="345">
        <f>Calcs!BO318</f>
        <v>-654895.19999999984</v>
      </c>
      <c r="BD30" s="345">
        <f>Calcs!BP318</f>
        <v>-654895.19999999984</v>
      </c>
    </row>
    <row r="31" spans="4:56" ht="14.25" customHeight="1" thickBot="1" x14ac:dyDescent="0.25">
      <c r="D31" s="378" t="s">
        <v>251</v>
      </c>
      <c r="E31" s="382">
        <f t="shared" si="2"/>
        <v>0</v>
      </c>
      <c r="F31" s="343">
        <f>Calcs!R321</f>
        <v>0</v>
      </c>
      <c r="G31" s="343">
        <f>Calcs!S321</f>
        <v>0</v>
      </c>
      <c r="H31" s="343">
        <f>Calcs!T321</f>
        <v>0</v>
      </c>
      <c r="I31" s="343">
        <f>Calcs!U321</f>
        <v>0</v>
      </c>
      <c r="J31" s="343">
        <f>Calcs!V321</f>
        <v>0</v>
      </c>
      <c r="K31" s="346">
        <f>Calcs!W321</f>
        <v>0</v>
      </c>
      <c r="L31" s="346">
        <f>Calcs!X321</f>
        <v>0</v>
      </c>
      <c r="M31" s="346">
        <f>Calcs!Y321</f>
        <v>0</v>
      </c>
      <c r="N31" s="346">
        <f>Calcs!Z321</f>
        <v>0</v>
      </c>
      <c r="O31" s="346">
        <f>Calcs!AA321</f>
        <v>0</v>
      </c>
      <c r="P31" s="346">
        <f>Calcs!AB321</f>
        <v>0</v>
      </c>
      <c r="Q31" s="346">
        <f>Calcs!AC321</f>
        <v>0</v>
      </c>
      <c r="R31" s="346">
        <f>Calcs!AD321</f>
        <v>0</v>
      </c>
      <c r="S31" s="346">
        <f>Calcs!AE321</f>
        <v>0</v>
      </c>
      <c r="T31" s="346">
        <f>Calcs!AF321</f>
        <v>0</v>
      </c>
      <c r="U31" s="346">
        <f>Calcs!AG321</f>
        <v>0</v>
      </c>
      <c r="V31" s="346">
        <f>Calcs!AH321</f>
        <v>0</v>
      </c>
      <c r="W31" s="346">
        <f>Calcs!AI321</f>
        <v>0</v>
      </c>
      <c r="X31" s="346">
        <f>Calcs!AJ321</f>
        <v>0</v>
      </c>
      <c r="Y31" s="346">
        <f>Calcs!AK321</f>
        <v>0</v>
      </c>
      <c r="Z31" s="346">
        <f>Calcs!AL321</f>
        <v>0</v>
      </c>
      <c r="AA31" s="346">
        <f>Calcs!AM321</f>
        <v>0</v>
      </c>
      <c r="AB31" s="346">
        <f>Calcs!AN321</f>
        <v>0</v>
      </c>
      <c r="AC31" s="346">
        <f>Calcs!AO321</f>
        <v>0</v>
      </c>
      <c r="AD31" s="346">
        <f>Calcs!AP321</f>
        <v>0</v>
      </c>
      <c r="AE31" s="346">
        <f>Calcs!AQ321</f>
        <v>0</v>
      </c>
      <c r="AF31" s="346">
        <f>Calcs!AR321</f>
        <v>0</v>
      </c>
      <c r="AG31" s="346">
        <f>Calcs!AS321</f>
        <v>0</v>
      </c>
      <c r="AH31" s="346">
        <f>Calcs!AT321</f>
        <v>0</v>
      </c>
      <c r="AI31" s="346">
        <f>Calcs!AU321</f>
        <v>0</v>
      </c>
      <c r="AJ31" s="346">
        <f>Calcs!AV321</f>
        <v>0</v>
      </c>
      <c r="AK31" s="346">
        <f>Calcs!AW321</f>
        <v>0</v>
      </c>
      <c r="AL31" s="346">
        <f>Calcs!AX321</f>
        <v>0</v>
      </c>
      <c r="AM31" s="346">
        <f>Calcs!AY321</f>
        <v>0</v>
      </c>
      <c r="AN31" s="346">
        <f>Calcs!AZ321</f>
        <v>0</v>
      </c>
      <c r="AO31" s="346">
        <f>Calcs!BA321</f>
        <v>0</v>
      </c>
      <c r="AP31" s="346">
        <f>Calcs!BB321</f>
        <v>0</v>
      </c>
      <c r="AQ31" s="346">
        <f>Calcs!BC321</f>
        <v>0</v>
      </c>
      <c r="AR31" s="346">
        <f>Calcs!BD321</f>
        <v>0</v>
      </c>
      <c r="AS31" s="346">
        <f>Calcs!BE321</f>
        <v>0</v>
      </c>
      <c r="AT31" s="346">
        <f>Calcs!BF321</f>
        <v>0</v>
      </c>
      <c r="AU31" s="346">
        <f>Calcs!BG321</f>
        <v>0</v>
      </c>
      <c r="AV31" s="346">
        <f>Calcs!BH321</f>
        <v>0</v>
      </c>
      <c r="AW31" s="346">
        <f>Calcs!BI321</f>
        <v>0</v>
      </c>
      <c r="AX31" s="346">
        <f>Calcs!BJ321</f>
        <v>0</v>
      </c>
      <c r="AY31" s="346">
        <f>Calcs!BK321</f>
        <v>0</v>
      </c>
      <c r="AZ31" s="346">
        <f>Calcs!BL321</f>
        <v>0</v>
      </c>
      <c r="BA31" s="346">
        <f>Calcs!BM321</f>
        <v>0</v>
      </c>
      <c r="BB31" s="346">
        <f>Calcs!BN321</f>
        <v>0</v>
      </c>
      <c r="BC31" s="346">
        <f>Calcs!BO321</f>
        <v>0</v>
      </c>
      <c r="BD31" s="346">
        <f>Calcs!BP321</f>
        <v>30125179.199999977</v>
      </c>
    </row>
    <row r="32" spans="4:56" ht="14.25" customHeight="1" thickTop="1" x14ac:dyDescent="0.2">
      <c r="D32" s="379" t="s">
        <v>252</v>
      </c>
      <c r="E32" s="371">
        <f t="shared" si="2"/>
        <v>-4735897.3085476644</v>
      </c>
      <c r="F32" s="371">
        <f t="shared" ref="F32:AK32" si="3">SUM(F22:F31)</f>
        <v>0</v>
      </c>
      <c r="G32" s="371">
        <f t="shared" si="3"/>
        <v>0</v>
      </c>
      <c r="H32" s="371">
        <f t="shared" si="3"/>
        <v>0</v>
      </c>
      <c r="I32" s="371">
        <f t="shared" si="3"/>
        <v>-2414226.7100445246</v>
      </c>
      <c r="J32" s="371">
        <f t="shared" si="3"/>
        <v>-2321670.5985031403</v>
      </c>
      <c r="K32" s="347">
        <f t="shared" si="3"/>
        <v>-2242097.2328371927</v>
      </c>
      <c r="L32" s="347">
        <f t="shared" si="3"/>
        <v>-990500.20922064269</v>
      </c>
      <c r="M32" s="347">
        <f t="shared" si="3"/>
        <v>-1007542.2430041025</v>
      </c>
      <c r="N32" s="347">
        <f t="shared" si="3"/>
        <v>3100594.151230969</v>
      </c>
      <c r="O32" s="347">
        <f t="shared" si="3"/>
        <v>2110200.23232</v>
      </c>
      <c r="P32" s="347">
        <f t="shared" si="3"/>
        <v>1416122.3004800002</v>
      </c>
      <c r="Q32" s="347">
        <f t="shared" si="3"/>
        <v>741922.5635200002</v>
      </c>
      <c r="R32" s="347">
        <f t="shared" si="3"/>
        <v>195256.35904000021</v>
      </c>
      <c r="S32" s="347">
        <f t="shared" si="3"/>
        <v>-452139.6460799998</v>
      </c>
      <c r="T32" s="347">
        <f t="shared" si="3"/>
        <v>-429611.25119999982</v>
      </c>
      <c r="U32" s="347">
        <f t="shared" si="3"/>
        <v>-407082.85631999979</v>
      </c>
      <c r="V32" s="347">
        <f t="shared" si="3"/>
        <v>-384554.46143999981</v>
      </c>
      <c r="W32" s="347">
        <f t="shared" si="3"/>
        <v>-362026.06655999977</v>
      </c>
      <c r="X32" s="347">
        <f t="shared" si="3"/>
        <v>-339497.6716799998</v>
      </c>
      <c r="Y32" s="347">
        <f t="shared" si="3"/>
        <v>-316969.27679999982</v>
      </c>
      <c r="Z32" s="347">
        <f t="shared" si="3"/>
        <v>-294440.88191999984</v>
      </c>
      <c r="AA32" s="347">
        <f t="shared" si="3"/>
        <v>-271912.48703999986</v>
      </c>
      <c r="AB32" s="347">
        <f t="shared" si="3"/>
        <v>-249384.09215999994</v>
      </c>
      <c r="AC32" s="347">
        <f t="shared" si="3"/>
        <v>-226855.69727999996</v>
      </c>
      <c r="AD32" s="347">
        <f t="shared" si="3"/>
        <v>-204327.30239999999</v>
      </c>
      <c r="AE32" s="347">
        <f t="shared" si="3"/>
        <v>-181798.90752000001</v>
      </c>
      <c r="AF32" s="347">
        <f t="shared" si="3"/>
        <v>-159270.51264000003</v>
      </c>
      <c r="AG32" s="347">
        <f t="shared" si="3"/>
        <v>-136742.11776000005</v>
      </c>
      <c r="AH32" s="347">
        <f t="shared" si="3"/>
        <v>-114213.72288000002</v>
      </c>
      <c r="AI32" s="347">
        <f t="shared" si="3"/>
        <v>-91685.328000000096</v>
      </c>
      <c r="AJ32" s="347">
        <f t="shared" si="3"/>
        <v>-69156.933120000176</v>
      </c>
      <c r="AK32" s="347">
        <f t="shared" si="3"/>
        <v>-46628.53824000014</v>
      </c>
      <c r="AL32" s="347">
        <f t="shared" ref="AL32:BD32" si="4">SUM(AL22:AL31)</f>
        <v>-24100.14336000022</v>
      </c>
      <c r="AM32" s="347">
        <f t="shared" si="4"/>
        <v>-1571.7484800001839</v>
      </c>
      <c r="AN32" s="347">
        <f t="shared" si="4"/>
        <v>20956.646399999736</v>
      </c>
      <c r="AO32" s="347">
        <f t="shared" si="4"/>
        <v>43485.041279999772</v>
      </c>
      <c r="AP32" s="347">
        <f t="shared" si="4"/>
        <v>66013.436159999692</v>
      </c>
      <c r="AQ32" s="347">
        <f t="shared" si="4"/>
        <v>88541.831039999728</v>
      </c>
      <c r="AR32" s="347">
        <f t="shared" si="4"/>
        <v>111070.22591999965</v>
      </c>
      <c r="AS32" s="347">
        <f t="shared" si="4"/>
        <v>133598.62079999968</v>
      </c>
      <c r="AT32" s="347">
        <f t="shared" si="4"/>
        <v>156127.0156799996</v>
      </c>
      <c r="AU32" s="347">
        <f t="shared" si="4"/>
        <v>178655.41055999964</v>
      </c>
      <c r="AV32" s="347">
        <f t="shared" si="4"/>
        <v>201183.80543999956</v>
      </c>
      <c r="AW32" s="347">
        <f t="shared" si="4"/>
        <v>223712.2003199996</v>
      </c>
      <c r="AX32" s="347">
        <f t="shared" si="4"/>
        <v>246240.59519999952</v>
      </c>
      <c r="AY32" s="347">
        <f t="shared" si="4"/>
        <v>268768.99007999955</v>
      </c>
      <c r="AZ32" s="347">
        <f t="shared" si="4"/>
        <v>291297.38495999947</v>
      </c>
      <c r="BA32" s="347">
        <f t="shared" si="4"/>
        <v>313825.77983999939</v>
      </c>
      <c r="BB32" s="347">
        <f t="shared" si="4"/>
        <v>336354.17471999943</v>
      </c>
      <c r="BC32" s="347">
        <f t="shared" si="4"/>
        <v>358882.56959999935</v>
      </c>
      <c r="BD32" s="347">
        <f t="shared" si="4"/>
        <v>30506590.164479975</v>
      </c>
    </row>
    <row r="33" spans="3:56" x14ac:dyDescent="0.2">
      <c r="D33" s="10"/>
      <c r="E33" s="338"/>
      <c r="F33" s="338"/>
      <c r="G33" s="338"/>
      <c r="H33" s="338"/>
      <c r="I33" s="338"/>
      <c r="J33" s="338"/>
      <c r="K33" s="338"/>
      <c r="L33" s="338"/>
      <c r="M33" s="338"/>
      <c r="N33" s="338"/>
      <c r="O33" s="338"/>
      <c r="P33" s="338"/>
      <c r="Q33" s="338"/>
      <c r="R33" s="338"/>
      <c r="S33" s="338"/>
      <c r="T33" s="338"/>
      <c r="U33" s="338"/>
      <c r="V33" s="338"/>
      <c r="W33" s="338"/>
      <c r="X33" s="338"/>
      <c r="Y33" s="338"/>
      <c r="Z33" s="338"/>
      <c r="AA33" s="338"/>
      <c r="AB33" s="338"/>
      <c r="AC33" s="338"/>
      <c r="AD33" s="338"/>
      <c r="AE33" s="338"/>
      <c r="AF33" s="338"/>
      <c r="AG33" s="338"/>
      <c r="AH33" s="338"/>
      <c r="AI33" s="338"/>
      <c r="AJ33" s="338"/>
      <c r="AK33" s="338"/>
      <c r="AL33" s="338"/>
      <c r="AM33" s="338"/>
      <c r="AN33" s="338"/>
      <c r="AO33" s="338"/>
      <c r="AP33" s="338"/>
      <c r="AQ33" s="338"/>
      <c r="AR33" s="338"/>
      <c r="AS33" s="338"/>
      <c r="AT33" s="338"/>
      <c r="AU33" s="338"/>
      <c r="AV33" s="338"/>
      <c r="AW33" s="338"/>
      <c r="AX33" s="338"/>
      <c r="AY33" s="338"/>
      <c r="AZ33" s="338"/>
      <c r="BA33" s="338"/>
      <c r="BB33" s="338"/>
      <c r="BC33" s="338"/>
    </row>
    <row r="34" spans="3:56" x14ac:dyDescent="0.2">
      <c r="D34" s="10" t="s">
        <v>253</v>
      </c>
      <c r="E34" s="338">
        <f>SUMPRODUCT(F32:BC32,F8:BC8)</f>
        <v>-3948760.1989984927</v>
      </c>
      <c r="F34" s="337"/>
      <c r="G34" s="337"/>
      <c r="H34" s="337"/>
      <c r="I34" s="337"/>
      <c r="J34" s="337"/>
      <c r="K34" s="337"/>
      <c r="L34" s="337"/>
      <c r="M34" s="337"/>
      <c r="N34" s="337"/>
      <c r="O34" s="337"/>
      <c r="P34" s="337"/>
      <c r="Q34" s="337"/>
      <c r="R34" s="337"/>
      <c r="S34" s="337"/>
      <c r="T34" s="337"/>
      <c r="U34" s="337"/>
      <c r="V34" s="337"/>
      <c r="W34" s="337"/>
      <c r="X34" s="337"/>
      <c r="Y34" s="337"/>
      <c r="Z34" s="337"/>
      <c r="AA34" s="337"/>
      <c r="AB34" s="337"/>
      <c r="AC34" s="337"/>
      <c r="AD34" s="337"/>
      <c r="AE34" s="337"/>
      <c r="AF34" s="337"/>
      <c r="AG34" s="337"/>
      <c r="AH34" s="337"/>
      <c r="AI34" s="337"/>
      <c r="AJ34" s="337"/>
      <c r="AK34" s="337"/>
      <c r="AL34" s="337"/>
      <c r="AM34" s="337"/>
      <c r="AN34" s="337"/>
      <c r="AO34" s="337"/>
      <c r="AP34" s="337"/>
      <c r="AQ34" s="337"/>
      <c r="AR34" s="337"/>
      <c r="AS34" s="337"/>
      <c r="AT34" s="337"/>
      <c r="AU34" s="337"/>
      <c r="AV34" s="337"/>
      <c r="AW34" s="337"/>
      <c r="AX34" s="337"/>
      <c r="AY34" s="337"/>
      <c r="AZ34" s="337"/>
      <c r="BA34" s="337"/>
      <c r="BB34" s="337"/>
      <c r="BC34" s="337"/>
    </row>
    <row r="35" spans="3:56" x14ac:dyDescent="0.2">
      <c r="D35" s="27" t="s">
        <v>254</v>
      </c>
      <c r="E35" s="370" t="b">
        <f>E34=Output_charts!Q22</f>
        <v>0</v>
      </c>
      <c r="F35" s="337"/>
      <c r="G35" s="337"/>
      <c r="H35" s="337"/>
      <c r="I35" s="337"/>
      <c r="J35" s="337"/>
      <c r="K35" s="337"/>
      <c r="L35" s="337"/>
      <c r="M35" s="337"/>
      <c r="N35" s="337"/>
      <c r="O35" s="337"/>
      <c r="P35" s="337"/>
      <c r="Q35" s="337"/>
      <c r="R35" s="337"/>
      <c r="S35" s="337"/>
      <c r="T35" s="337"/>
      <c r="U35" s="337"/>
      <c r="V35" s="337"/>
      <c r="W35" s="337"/>
      <c r="X35" s="337"/>
      <c r="Y35" s="337"/>
      <c r="Z35" s="337"/>
      <c r="AA35" s="337"/>
      <c r="AB35" s="337"/>
      <c r="AC35" s="337"/>
      <c r="AD35" s="337"/>
      <c r="AE35" s="337"/>
      <c r="AF35" s="337"/>
      <c r="AG35" s="337"/>
      <c r="AH35" s="337"/>
      <c r="AI35" s="337"/>
      <c r="AJ35" s="337"/>
      <c r="AK35" s="337"/>
      <c r="AL35" s="337"/>
      <c r="AM35" s="337"/>
      <c r="AN35" s="337"/>
      <c r="AO35" s="337"/>
      <c r="AP35" s="337"/>
      <c r="AQ35" s="337"/>
      <c r="AR35" s="337"/>
      <c r="AS35" s="337"/>
      <c r="AT35" s="337"/>
      <c r="AU35" s="337"/>
      <c r="AV35" s="337"/>
      <c r="AW35" s="337"/>
      <c r="AX35" s="337"/>
      <c r="AY35" s="337"/>
      <c r="AZ35" s="337"/>
      <c r="BA35" s="337"/>
      <c r="BB35" s="337"/>
      <c r="BC35" s="337"/>
    </row>
    <row r="36" spans="3:56" x14ac:dyDescent="0.2">
      <c r="D36" s="327"/>
    </row>
    <row r="37" spans="3:56" s="307" customFormat="1" ht="10.199999999999999" customHeight="1" x14ac:dyDescent="0.35">
      <c r="C37" s="322" t="s">
        <v>255</v>
      </c>
    </row>
    <row r="38" spans="3:56" x14ac:dyDescent="0.2">
      <c r="D38" s="10"/>
    </row>
    <row r="39" spans="3:56" x14ac:dyDescent="0.2">
      <c r="D39" s="27" t="s">
        <v>256</v>
      </c>
    </row>
    <row r="40" spans="3:56" x14ac:dyDescent="0.2">
      <c r="D40" s="27" t="s">
        <v>244</v>
      </c>
    </row>
    <row r="41" spans="3:56" x14ac:dyDescent="0.2">
      <c r="D41" s="27" t="s">
        <v>245</v>
      </c>
    </row>
    <row r="42" spans="3:56" x14ac:dyDescent="0.2">
      <c r="D42" s="329"/>
      <c r="K42" s="328"/>
    </row>
    <row r="43" spans="3:56" s="340" customFormat="1" ht="15" customHeight="1" x14ac:dyDescent="0.2">
      <c r="D43" s="341" t="s">
        <v>246</v>
      </c>
      <c r="E43" s="380" t="s">
        <v>66</v>
      </c>
      <c r="F43" s="342" t="str">
        <f>"FY"&amp;RIGHT(Assumptions!$L$19+F7,2)</f>
        <v>FY22</v>
      </c>
      <c r="G43" s="342" t="str">
        <f>"FY"&amp;RIGHT(Assumptions!$L$19+G7,2)</f>
        <v>FY23</v>
      </c>
      <c r="H43" s="342" t="str">
        <f>"FY"&amp;RIGHT(Assumptions!$L$19+H7,2)</f>
        <v>FY24</v>
      </c>
      <c r="I43" s="342" t="str">
        <f>"FY"&amp;RIGHT(Assumptions!$L$19+I7,2)</f>
        <v>FY25</v>
      </c>
      <c r="J43" s="342" t="str">
        <f>"FY"&amp;RIGHT(Assumptions!$L$19+J7,2)</f>
        <v>FY26</v>
      </c>
      <c r="K43" s="344" t="str">
        <f>"FY"&amp;RIGHT(Assumptions!$L$19+K7,2)</f>
        <v>FY27</v>
      </c>
      <c r="L43" s="344" t="str">
        <f>"FY"&amp;RIGHT(Assumptions!$L$19+L7,2)</f>
        <v>FY28</v>
      </c>
      <c r="M43" s="344" t="str">
        <f>"FY"&amp;RIGHT(Assumptions!$L$19+M7,2)</f>
        <v>FY29</v>
      </c>
      <c r="N43" s="344" t="str">
        <f>"FY"&amp;RIGHT(Assumptions!$L$19+N7,2)</f>
        <v>FY30</v>
      </c>
      <c r="O43" s="344" t="str">
        <f>"FY"&amp;RIGHT(Assumptions!$L$19+O7,2)</f>
        <v>FY31</v>
      </c>
      <c r="P43" s="344" t="str">
        <f>"FY"&amp;RIGHT(Assumptions!$L$19+P7,2)</f>
        <v>FY32</v>
      </c>
      <c r="Q43" s="344" t="str">
        <f>"FY"&amp;RIGHT(Assumptions!$L$19+Q7,2)</f>
        <v>FY33</v>
      </c>
      <c r="R43" s="344" t="str">
        <f>"FY"&amp;RIGHT(Assumptions!$L$19+R7,2)</f>
        <v>FY34</v>
      </c>
      <c r="S43" s="344" t="str">
        <f>"FY"&amp;RIGHT(Assumptions!$L$19+S7,2)</f>
        <v>FY35</v>
      </c>
      <c r="T43" s="344" t="str">
        <f>"FY"&amp;RIGHT(Assumptions!$L$19+T7,2)</f>
        <v>FY36</v>
      </c>
      <c r="U43" s="344" t="str">
        <f>"FY"&amp;RIGHT(Assumptions!$L$19+U7,2)</f>
        <v>FY37</v>
      </c>
      <c r="V43" s="344" t="str">
        <f>"FY"&amp;RIGHT(Assumptions!$L$19+V7,2)</f>
        <v>FY38</v>
      </c>
      <c r="W43" s="344" t="str">
        <f>"FY"&amp;RIGHT(Assumptions!$L$19+W7,2)</f>
        <v>FY39</v>
      </c>
      <c r="X43" s="344" t="str">
        <f>"FY"&amp;RIGHT(Assumptions!$L$19+X7,2)</f>
        <v>FY40</v>
      </c>
      <c r="Y43" s="344" t="str">
        <f>"FY"&amp;RIGHT(Assumptions!$L$19+Y7,2)</f>
        <v>FY41</v>
      </c>
      <c r="Z43" s="344" t="str">
        <f>"FY"&amp;RIGHT(Assumptions!$L$19+Z7,2)</f>
        <v>FY42</v>
      </c>
      <c r="AA43" s="344" t="str">
        <f>"FY"&amp;RIGHT(Assumptions!$L$19+AA7,2)</f>
        <v>FY43</v>
      </c>
      <c r="AB43" s="344" t="str">
        <f>"FY"&amp;RIGHT(Assumptions!$L$19+AB7,2)</f>
        <v>FY44</v>
      </c>
      <c r="AC43" s="344" t="str">
        <f>"FY"&amp;RIGHT(Assumptions!$L$19+AC7,2)</f>
        <v>FY45</v>
      </c>
      <c r="AD43" s="344" t="str">
        <f>"FY"&amp;RIGHT(Assumptions!$L$19+AD7,2)</f>
        <v>FY46</v>
      </c>
      <c r="AE43" s="344" t="str">
        <f>"FY"&amp;RIGHT(Assumptions!$L$19+AE7,2)</f>
        <v>FY47</v>
      </c>
      <c r="AF43" s="344" t="str">
        <f>"FY"&amp;RIGHT(Assumptions!$L$19+AF7,2)</f>
        <v>FY48</v>
      </c>
      <c r="AG43" s="344" t="str">
        <f>"FY"&amp;RIGHT(Assumptions!$L$19+AG7,2)</f>
        <v>FY49</v>
      </c>
      <c r="AH43" s="344" t="str">
        <f>"FY"&amp;RIGHT(Assumptions!$L$19+AH7,2)</f>
        <v>FY50</v>
      </c>
      <c r="AI43" s="344" t="str">
        <f>"FY"&amp;RIGHT(Assumptions!$L$19+AI7,2)</f>
        <v>FY51</v>
      </c>
      <c r="AJ43" s="344" t="str">
        <f>"FY"&amp;RIGHT(Assumptions!$L$19+AJ7,2)</f>
        <v>FY52</v>
      </c>
      <c r="AK43" s="344" t="str">
        <f>"FY"&amp;RIGHT(Assumptions!$L$19+AK7,2)</f>
        <v>FY53</v>
      </c>
      <c r="AL43" s="344" t="str">
        <f>"FY"&amp;RIGHT(Assumptions!$L$19+AL7,2)</f>
        <v>FY54</v>
      </c>
      <c r="AM43" s="344" t="str">
        <f>"FY"&amp;RIGHT(Assumptions!$L$19+AM7,2)</f>
        <v>FY55</v>
      </c>
      <c r="AN43" s="344" t="str">
        <f>"FY"&amp;RIGHT(Assumptions!$L$19+AN7,2)</f>
        <v>FY56</v>
      </c>
      <c r="AO43" s="344" t="str">
        <f>"FY"&amp;RIGHT(Assumptions!$L$19+AO7,2)</f>
        <v>FY57</v>
      </c>
      <c r="AP43" s="344" t="str">
        <f>"FY"&amp;RIGHT(Assumptions!$L$19+AP7,2)</f>
        <v>FY58</v>
      </c>
      <c r="AQ43" s="344" t="str">
        <f>"FY"&amp;RIGHT(Assumptions!$L$19+AQ7,2)</f>
        <v>FY59</v>
      </c>
      <c r="AR43" s="344" t="str">
        <f>"FY"&amp;RIGHT(Assumptions!$L$19+AR7,2)</f>
        <v>FY60</v>
      </c>
      <c r="AS43" s="344" t="str">
        <f>"FY"&amp;RIGHT(Assumptions!$L$19+AS7,2)</f>
        <v>FY61</v>
      </c>
      <c r="AT43" s="344" t="str">
        <f>"FY"&amp;RIGHT(Assumptions!$L$19+AT7,2)</f>
        <v>FY62</v>
      </c>
      <c r="AU43" s="344" t="str">
        <f>"FY"&amp;RIGHT(Assumptions!$L$19+AU7,2)</f>
        <v>FY63</v>
      </c>
      <c r="AV43" s="344" t="str">
        <f>"FY"&amp;RIGHT(Assumptions!$L$19+AV7,2)</f>
        <v>FY64</v>
      </c>
      <c r="AW43" s="344" t="str">
        <f>"FY"&amp;RIGHT(Assumptions!$L$19+AW7,2)</f>
        <v>FY65</v>
      </c>
      <c r="AX43" s="344" t="str">
        <f>"FY"&amp;RIGHT(Assumptions!$L$19+AX7,2)</f>
        <v>FY66</v>
      </c>
      <c r="AY43" s="344" t="str">
        <f>"FY"&amp;RIGHT(Assumptions!$L$19+AY7,2)</f>
        <v>FY67</v>
      </c>
      <c r="AZ43" s="344" t="str">
        <f>"FY"&amp;RIGHT(Assumptions!$L$19+AZ7,2)</f>
        <v>FY68</v>
      </c>
      <c r="BA43" s="344" t="str">
        <f>"FY"&amp;RIGHT(Assumptions!$L$19+BA7,2)</f>
        <v>FY69</v>
      </c>
      <c r="BB43" s="344" t="str">
        <f>"FY"&amp;RIGHT(Assumptions!$L$19+BB7,2)</f>
        <v>FY70</v>
      </c>
      <c r="BC43" s="344" t="str">
        <f>"FY"&amp;RIGHT(Assumptions!$L$19+BC7,2)</f>
        <v>FY71</v>
      </c>
      <c r="BD43" s="344" t="str">
        <f>"FY"&amp;RIGHT(Assumptions!$L$19+BD7,2)</f>
        <v>FY72</v>
      </c>
    </row>
    <row r="44" spans="3:56" ht="14.25" customHeight="1" x14ac:dyDescent="0.2">
      <c r="D44" s="373" t="s">
        <v>99</v>
      </c>
      <c r="E44" s="381">
        <f ca="1">SUM(F44:J44)</f>
        <v>0</v>
      </c>
      <c r="F44" s="324">
        <f ca="1">SUMIF(Input!$D$70:$BP$107,Output_tables!$D44,Input!R$70:R$107)</f>
        <v>0</v>
      </c>
      <c r="G44" s="324">
        <f ca="1">SUMIF(Input!$D$70:$BP$107,Output_tables!$D44,Input!S$70:S$107)</f>
        <v>0</v>
      </c>
      <c r="H44" s="324">
        <f ca="1">SUMIF(Input!$D$70:$BP$107,Output_tables!$D44,Input!T$70:T$107)</f>
        <v>0</v>
      </c>
      <c r="I44" s="324">
        <f ca="1">SUMIF(Input!$D$70:$BP$107,Output_tables!$D44,Input!U$70:U$107)</f>
        <v>0</v>
      </c>
      <c r="J44" s="324">
        <f ca="1">SUMIF(Input!$D$70:$BP$107,Output_tables!$D44,Input!V$70:V$107)</f>
        <v>0</v>
      </c>
      <c r="K44" s="345">
        <f ca="1">SUMIF(Input!$D$70:$BP$107,Output_tables!$D44,Input!W$70:W$107)</f>
        <v>0</v>
      </c>
      <c r="L44" s="345">
        <f ca="1">SUMIF(Input!$D$70:$BP$107,Output_tables!$D44,Input!X$70:X$107)</f>
        <v>0</v>
      </c>
      <c r="M44" s="345">
        <f ca="1">SUMIF(Input!$D$70:$BP$107,Output_tables!$D44,Input!Y$70:Y$107)</f>
        <v>0</v>
      </c>
      <c r="N44" s="345">
        <f ca="1">SUMIF(Input!$D$70:$BP$107,Output_tables!$D44,Input!Z$70:Z$107)</f>
        <v>0</v>
      </c>
      <c r="O44" s="345">
        <f ca="1">SUMIF(Input!$D$70:$BP$107,Output_tables!$D44,Input!AA$70:AA$107)</f>
        <v>0</v>
      </c>
      <c r="P44" s="345">
        <f ca="1">SUMIF(Input!$D$70:$BP$107,Output_tables!$D44,Input!AB$70:AB$107)</f>
        <v>0</v>
      </c>
      <c r="Q44" s="345">
        <f ca="1">SUMIF(Input!$D$70:$BP$107,Output_tables!$D44,Input!AC$70:AC$107)</f>
        <v>0</v>
      </c>
      <c r="R44" s="345">
        <f ca="1">SUMIF(Input!$D$70:$BP$107,Output_tables!$D44,Input!AD$70:AD$107)</f>
        <v>0</v>
      </c>
      <c r="S44" s="345">
        <f ca="1">SUMIF(Input!$D$70:$BP$107,Output_tables!$D44,Input!AE$70:AE$107)</f>
        <v>0</v>
      </c>
      <c r="T44" s="345">
        <f ca="1">SUMIF(Input!$D$70:$BP$107,Output_tables!$D44,Input!AF$70:AF$107)</f>
        <v>0</v>
      </c>
      <c r="U44" s="345">
        <f ca="1">SUMIF(Input!$D$70:$BP$107,Output_tables!$D44,Input!AG$70:AG$107)</f>
        <v>0</v>
      </c>
      <c r="V44" s="345">
        <f ca="1">SUMIF(Input!$D$70:$BP$107,Output_tables!$D44,Input!AH$70:AH$107)</f>
        <v>0</v>
      </c>
      <c r="W44" s="345">
        <f ca="1">SUMIF(Input!$D$70:$BP$107,Output_tables!$D44,Input!AI$70:AI$107)</f>
        <v>0</v>
      </c>
      <c r="X44" s="345">
        <f ca="1">SUMIF(Input!$D$70:$BP$107,Output_tables!$D44,Input!AJ$70:AJ$107)</f>
        <v>0</v>
      </c>
      <c r="Y44" s="345">
        <f ca="1">SUMIF(Input!$D$70:$BP$107,Output_tables!$D44,Input!AK$70:AK$107)</f>
        <v>0</v>
      </c>
      <c r="Z44" s="345">
        <f ca="1">SUMIF(Input!$D$70:$BP$107,Output_tables!$D44,Input!AL$70:AL$107)</f>
        <v>0</v>
      </c>
      <c r="AA44" s="345">
        <f ca="1">SUMIF(Input!$D$70:$BP$107,Output_tables!$D44,Input!AM$70:AM$107)</f>
        <v>0</v>
      </c>
      <c r="AB44" s="345">
        <f ca="1">SUMIF(Input!$D$70:$BP$107,Output_tables!$D44,Input!AN$70:AN$107)</f>
        <v>0</v>
      </c>
      <c r="AC44" s="345">
        <f ca="1">SUMIF(Input!$D$70:$BP$107,Output_tables!$D44,Input!AO$70:AO$107)</f>
        <v>0</v>
      </c>
      <c r="AD44" s="345">
        <f ca="1">SUMIF(Input!$D$70:$BP$107,Output_tables!$D44,Input!AP$70:AP$107)</f>
        <v>0</v>
      </c>
      <c r="AE44" s="345">
        <f ca="1">SUMIF(Input!$D$70:$BP$107,Output_tables!$D44,Input!AQ$70:AQ$107)</f>
        <v>0</v>
      </c>
      <c r="AF44" s="345">
        <f ca="1">SUMIF(Input!$D$70:$BP$107,Output_tables!$D44,Input!AR$70:AR$107)</f>
        <v>0</v>
      </c>
      <c r="AG44" s="345">
        <f ca="1">SUMIF(Input!$D$70:$BP$107,Output_tables!$D44,Input!AS$70:AS$107)</f>
        <v>0</v>
      </c>
      <c r="AH44" s="345">
        <f ca="1">SUMIF(Input!$D$70:$BP$107,Output_tables!$D44,Input!AT$70:AT$107)</f>
        <v>0</v>
      </c>
      <c r="AI44" s="345">
        <f ca="1">SUMIF(Input!$D$70:$BP$107,Output_tables!$D44,Input!AU$70:AU$107)</f>
        <v>0</v>
      </c>
      <c r="AJ44" s="345">
        <f ca="1">SUMIF(Input!$D$70:$BP$107,Output_tables!$D44,Input!AV$70:AV$107)</f>
        <v>0</v>
      </c>
      <c r="AK44" s="345">
        <f ca="1">SUMIF(Input!$D$70:$BP$107,Output_tables!$D44,Input!AW$70:AW$107)</f>
        <v>0</v>
      </c>
      <c r="AL44" s="345">
        <f ca="1">SUMIF(Input!$D$70:$BP$107,Output_tables!$D44,Input!AX$70:AX$107)</f>
        <v>0</v>
      </c>
      <c r="AM44" s="345">
        <f ca="1">SUMIF(Input!$D$70:$BP$107,Output_tables!$D44,Input!AY$70:AY$107)</f>
        <v>0</v>
      </c>
      <c r="AN44" s="345">
        <f ca="1">SUMIF(Input!$D$70:$BP$107,Output_tables!$D44,Input!AZ$70:AZ$107)</f>
        <v>0</v>
      </c>
      <c r="AO44" s="345">
        <f ca="1">SUMIF(Input!$D$70:$BP$107,Output_tables!$D44,Input!BA$70:BA$107)</f>
        <v>0</v>
      </c>
      <c r="AP44" s="345">
        <f ca="1">SUMIF(Input!$D$70:$BP$107,Output_tables!$D44,Input!BB$70:BB$107)</f>
        <v>0</v>
      </c>
      <c r="AQ44" s="345">
        <f ca="1">SUMIF(Input!$D$70:$BP$107,Output_tables!$D44,Input!BC$70:BC$107)</f>
        <v>0</v>
      </c>
      <c r="AR44" s="345">
        <f ca="1">SUMIF(Input!$D$70:$BP$107,Output_tables!$D44,Input!BD$70:BD$107)</f>
        <v>0</v>
      </c>
      <c r="AS44" s="345">
        <f ca="1">SUMIF(Input!$D$70:$BP$107,Output_tables!$D44,Input!BE$70:BE$107)</f>
        <v>0</v>
      </c>
      <c r="AT44" s="345">
        <f ca="1">SUMIF(Input!$D$70:$BP$107,Output_tables!$D44,Input!BF$70:BF$107)</f>
        <v>0</v>
      </c>
      <c r="AU44" s="345">
        <f ca="1">SUMIF(Input!$D$70:$BP$107,Output_tables!$D44,Input!BG$70:BG$107)</f>
        <v>0</v>
      </c>
      <c r="AV44" s="345">
        <f ca="1">SUMIF(Input!$D$70:$BP$107,Output_tables!$D44,Input!BH$70:BH$107)</f>
        <v>0</v>
      </c>
      <c r="AW44" s="345">
        <f ca="1">SUMIF(Input!$D$70:$BP$107,Output_tables!$D44,Input!BI$70:BI$107)</f>
        <v>0</v>
      </c>
      <c r="AX44" s="345">
        <f ca="1">SUMIF(Input!$D$70:$BP$107,Output_tables!$D44,Input!BJ$70:BJ$107)</f>
        <v>0</v>
      </c>
      <c r="AY44" s="345">
        <f ca="1">SUMIF(Input!$D$70:$BP$107,Output_tables!$D44,Input!BK$70:BK$107)</f>
        <v>0</v>
      </c>
      <c r="AZ44" s="345">
        <f ca="1">SUMIF(Input!$D$70:$BP$107,Output_tables!$D44,Input!BL$70:BL$107)</f>
        <v>0</v>
      </c>
      <c r="BA44" s="345">
        <f ca="1">SUMIF(Input!$D$70:$BP$107,Output_tables!$D44,Input!BM$70:BM$107)</f>
        <v>0</v>
      </c>
      <c r="BB44" s="345">
        <f ca="1">SUMIF(Input!$D$70:$BP$107,Output_tables!$D44,Input!BN$70:BN$107)</f>
        <v>0</v>
      </c>
      <c r="BC44" s="345">
        <f ca="1">SUMIF(Input!$D$70:$BP$107,Output_tables!$D44,Input!BO$70:BO$107)</f>
        <v>0</v>
      </c>
      <c r="BD44" s="345">
        <f ca="1">SUMIF(Input!$D$70:$BP$107,Output_tables!$D44,Input!BP$70:BP$107)</f>
        <v>0</v>
      </c>
    </row>
    <row r="45" spans="3:56" ht="14.25" customHeight="1" x14ac:dyDescent="0.2">
      <c r="D45" s="373" t="s">
        <v>100</v>
      </c>
      <c r="E45" s="381">
        <f t="shared" ref="E45:E52" ca="1" si="5">SUM(F45:J45)</f>
        <v>0</v>
      </c>
      <c r="F45" s="324">
        <f ca="1">SUMIF(Input!$D$70:$BP$107,Output_tables!$D45,Input!R$70:R$107)</f>
        <v>0</v>
      </c>
      <c r="G45" s="324">
        <f ca="1">SUMIF(Input!$D$70:$BP$107,Output_tables!$D45,Input!S$70:S$107)</f>
        <v>0</v>
      </c>
      <c r="H45" s="324">
        <f ca="1">SUMIF(Input!$D$70:$BP$107,Output_tables!$D45,Input!T$70:T$107)</f>
        <v>0</v>
      </c>
      <c r="I45" s="324">
        <f ca="1">SUMIF(Input!$D$70:$BP$107,Output_tables!$D45,Input!U$70:U$107)</f>
        <v>0</v>
      </c>
      <c r="J45" s="324">
        <f ca="1">SUMIF(Input!$D$70:$BP$107,Output_tables!$D45,Input!V$70:V$107)</f>
        <v>0</v>
      </c>
      <c r="K45" s="345">
        <f ca="1">SUMIF(Input!$D$70:$BP$107,Output_tables!$D45,Input!W$70:W$107)</f>
        <v>0</v>
      </c>
      <c r="L45" s="345">
        <f ca="1">SUMIF(Input!$D$70:$BP$107,Output_tables!$D45,Input!X$70:X$107)</f>
        <v>0</v>
      </c>
      <c r="M45" s="345">
        <f ca="1">SUMIF(Input!$D$70:$BP$107,Output_tables!$D45,Input!Y$70:Y$107)</f>
        <v>0</v>
      </c>
      <c r="N45" s="345">
        <f ca="1">SUMIF(Input!$D$70:$BP$107,Output_tables!$D45,Input!Z$70:Z$107)</f>
        <v>0</v>
      </c>
      <c r="O45" s="345">
        <f ca="1">SUMIF(Input!$D$70:$BP$107,Output_tables!$D45,Input!AA$70:AA$107)</f>
        <v>0</v>
      </c>
      <c r="P45" s="345">
        <f ca="1">SUMIF(Input!$D$70:$BP$107,Output_tables!$D45,Input!AB$70:AB$107)</f>
        <v>0</v>
      </c>
      <c r="Q45" s="345">
        <f ca="1">SUMIF(Input!$D$70:$BP$107,Output_tables!$D45,Input!AC$70:AC$107)</f>
        <v>0</v>
      </c>
      <c r="R45" s="345">
        <f ca="1">SUMIF(Input!$D$70:$BP$107,Output_tables!$D45,Input!AD$70:AD$107)</f>
        <v>0</v>
      </c>
      <c r="S45" s="345">
        <f ca="1">SUMIF(Input!$D$70:$BP$107,Output_tables!$D45,Input!AE$70:AE$107)</f>
        <v>0</v>
      </c>
      <c r="T45" s="345">
        <f ca="1">SUMIF(Input!$D$70:$BP$107,Output_tables!$D45,Input!AF$70:AF$107)</f>
        <v>0</v>
      </c>
      <c r="U45" s="345">
        <f ca="1">SUMIF(Input!$D$70:$BP$107,Output_tables!$D45,Input!AG$70:AG$107)</f>
        <v>0</v>
      </c>
      <c r="V45" s="345">
        <f ca="1">SUMIF(Input!$D$70:$BP$107,Output_tables!$D45,Input!AH$70:AH$107)</f>
        <v>0</v>
      </c>
      <c r="W45" s="345">
        <f ca="1">SUMIF(Input!$D$70:$BP$107,Output_tables!$D45,Input!AI$70:AI$107)</f>
        <v>0</v>
      </c>
      <c r="X45" s="345">
        <f ca="1">SUMIF(Input!$D$70:$BP$107,Output_tables!$D45,Input!AJ$70:AJ$107)</f>
        <v>0</v>
      </c>
      <c r="Y45" s="345">
        <f ca="1">SUMIF(Input!$D$70:$BP$107,Output_tables!$D45,Input!AK$70:AK$107)</f>
        <v>0</v>
      </c>
      <c r="Z45" s="345">
        <f ca="1">SUMIF(Input!$D$70:$BP$107,Output_tables!$D45,Input!AL$70:AL$107)</f>
        <v>0</v>
      </c>
      <c r="AA45" s="345">
        <f ca="1">SUMIF(Input!$D$70:$BP$107,Output_tables!$D45,Input!AM$70:AM$107)</f>
        <v>0</v>
      </c>
      <c r="AB45" s="345">
        <f ca="1">SUMIF(Input!$D$70:$BP$107,Output_tables!$D45,Input!AN$70:AN$107)</f>
        <v>0</v>
      </c>
      <c r="AC45" s="345">
        <f ca="1">SUMIF(Input!$D$70:$BP$107,Output_tables!$D45,Input!AO$70:AO$107)</f>
        <v>0</v>
      </c>
      <c r="AD45" s="345">
        <f ca="1">SUMIF(Input!$D$70:$BP$107,Output_tables!$D45,Input!AP$70:AP$107)</f>
        <v>0</v>
      </c>
      <c r="AE45" s="345">
        <f ca="1">SUMIF(Input!$D$70:$BP$107,Output_tables!$D45,Input!AQ$70:AQ$107)</f>
        <v>0</v>
      </c>
      <c r="AF45" s="345">
        <f ca="1">SUMIF(Input!$D$70:$BP$107,Output_tables!$D45,Input!AR$70:AR$107)</f>
        <v>0</v>
      </c>
      <c r="AG45" s="345">
        <f ca="1">SUMIF(Input!$D$70:$BP$107,Output_tables!$D45,Input!AS$70:AS$107)</f>
        <v>0</v>
      </c>
      <c r="AH45" s="345">
        <f ca="1">SUMIF(Input!$D$70:$BP$107,Output_tables!$D45,Input!AT$70:AT$107)</f>
        <v>0</v>
      </c>
      <c r="AI45" s="345">
        <f ca="1">SUMIF(Input!$D$70:$BP$107,Output_tables!$D45,Input!AU$70:AU$107)</f>
        <v>0</v>
      </c>
      <c r="AJ45" s="345">
        <f ca="1">SUMIF(Input!$D$70:$BP$107,Output_tables!$D45,Input!AV$70:AV$107)</f>
        <v>0</v>
      </c>
      <c r="AK45" s="345">
        <f ca="1">SUMIF(Input!$D$70:$BP$107,Output_tables!$D45,Input!AW$70:AW$107)</f>
        <v>0</v>
      </c>
      <c r="AL45" s="345">
        <f ca="1">SUMIF(Input!$D$70:$BP$107,Output_tables!$D45,Input!AX$70:AX$107)</f>
        <v>0</v>
      </c>
      <c r="AM45" s="345">
        <f ca="1">SUMIF(Input!$D$70:$BP$107,Output_tables!$D45,Input!AY$70:AY$107)</f>
        <v>0</v>
      </c>
      <c r="AN45" s="345">
        <f ca="1">SUMIF(Input!$D$70:$BP$107,Output_tables!$D45,Input!AZ$70:AZ$107)</f>
        <v>0</v>
      </c>
      <c r="AO45" s="345">
        <f ca="1">SUMIF(Input!$D$70:$BP$107,Output_tables!$D45,Input!BA$70:BA$107)</f>
        <v>0</v>
      </c>
      <c r="AP45" s="345">
        <f ca="1">SUMIF(Input!$D$70:$BP$107,Output_tables!$D45,Input!BB$70:BB$107)</f>
        <v>0</v>
      </c>
      <c r="AQ45" s="345">
        <f ca="1">SUMIF(Input!$D$70:$BP$107,Output_tables!$D45,Input!BC$70:BC$107)</f>
        <v>0</v>
      </c>
      <c r="AR45" s="345">
        <f ca="1">SUMIF(Input!$D$70:$BP$107,Output_tables!$D45,Input!BD$70:BD$107)</f>
        <v>0</v>
      </c>
      <c r="AS45" s="345">
        <f ca="1">SUMIF(Input!$D$70:$BP$107,Output_tables!$D45,Input!BE$70:BE$107)</f>
        <v>0</v>
      </c>
      <c r="AT45" s="345">
        <f ca="1">SUMIF(Input!$D$70:$BP$107,Output_tables!$D45,Input!BF$70:BF$107)</f>
        <v>0</v>
      </c>
      <c r="AU45" s="345">
        <f ca="1">SUMIF(Input!$D$70:$BP$107,Output_tables!$D45,Input!BG$70:BG$107)</f>
        <v>0</v>
      </c>
      <c r="AV45" s="345">
        <f ca="1">SUMIF(Input!$D$70:$BP$107,Output_tables!$D45,Input!BH$70:BH$107)</f>
        <v>0</v>
      </c>
      <c r="AW45" s="345">
        <f ca="1">SUMIF(Input!$D$70:$BP$107,Output_tables!$D45,Input!BI$70:BI$107)</f>
        <v>0</v>
      </c>
      <c r="AX45" s="345">
        <f ca="1">SUMIF(Input!$D$70:$BP$107,Output_tables!$D45,Input!BJ$70:BJ$107)</f>
        <v>0</v>
      </c>
      <c r="AY45" s="345">
        <f ca="1">SUMIF(Input!$D$70:$BP$107,Output_tables!$D45,Input!BK$70:BK$107)</f>
        <v>0</v>
      </c>
      <c r="AZ45" s="345">
        <f ca="1">SUMIF(Input!$D$70:$BP$107,Output_tables!$D45,Input!BL$70:BL$107)</f>
        <v>0</v>
      </c>
      <c r="BA45" s="345">
        <f ca="1">SUMIF(Input!$D$70:$BP$107,Output_tables!$D45,Input!BM$70:BM$107)</f>
        <v>0</v>
      </c>
      <c r="BB45" s="345">
        <f ca="1">SUMIF(Input!$D$70:$BP$107,Output_tables!$D45,Input!BN$70:BN$107)</f>
        <v>0</v>
      </c>
      <c r="BC45" s="345">
        <f ca="1">SUMIF(Input!$D$70:$BP$107,Output_tables!$D45,Input!BO$70:BO$107)</f>
        <v>0</v>
      </c>
      <c r="BD45" s="345">
        <f ca="1">SUMIF(Input!$D$70:$BP$107,Output_tables!$D45,Input!BP$70:BP$107)</f>
        <v>0</v>
      </c>
    </row>
    <row r="46" spans="3:56" ht="14.25" customHeight="1" x14ac:dyDescent="0.2">
      <c r="D46" s="373" t="s">
        <v>101</v>
      </c>
      <c r="E46" s="381">
        <f t="shared" ca="1" si="5"/>
        <v>0</v>
      </c>
      <c r="F46" s="324">
        <f ca="1">SUMIF(Input!$D$70:$BP$107,Output_tables!$D46,Input!R$70:R$107)</f>
        <v>0</v>
      </c>
      <c r="G46" s="324">
        <f ca="1">SUMIF(Input!$D$70:$BP$107,Output_tables!$D46,Input!S$70:S$107)</f>
        <v>0</v>
      </c>
      <c r="H46" s="324">
        <f ca="1">SUMIF(Input!$D$70:$BP$107,Output_tables!$D46,Input!T$70:T$107)</f>
        <v>0</v>
      </c>
      <c r="I46" s="324">
        <f ca="1">SUMIF(Input!$D$70:$BP$107,Output_tables!$D46,Input!U$70:U$107)</f>
        <v>0</v>
      </c>
      <c r="J46" s="324">
        <f ca="1">SUMIF(Input!$D$70:$BP$107,Output_tables!$D46,Input!V$70:V$107)</f>
        <v>0</v>
      </c>
      <c r="K46" s="345">
        <f ca="1">SUMIF(Input!$D$70:$BP$107,Output_tables!$D46,Input!W$70:W$107)</f>
        <v>0</v>
      </c>
      <c r="L46" s="345">
        <f ca="1">SUMIF(Input!$D$70:$BP$107,Output_tables!$D46,Input!X$70:X$107)</f>
        <v>0</v>
      </c>
      <c r="M46" s="345">
        <f ca="1">SUMIF(Input!$D$70:$BP$107,Output_tables!$D46,Input!Y$70:Y$107)</f>
        <v>0</v>
      </c>
      <c r="N46" s="345">
        <f ca="1">SUMIF(Input!$D$70:$BP$107,Output_tables!$D46,Input!Z$70:Z$107)</f>
        <v>0</v>
      </c>
      <c r="O46" s="345">
        <f ca="1">SUMIF(Input!$D$70:$BP$107,Output_tables!$D46,Input!AA$70:AA$107)</f>
        <v>0</v>
      </c>
      <c r="P46" s="345">
        <f ca="1">SUMIF(Input!$D$70:$BP$107,Output_tables!$D46,Input!AB$70:AB$107)</f>
        <v>0</v>
      </c>
      <c r="Q46" s="345">
        <f ca="1">SUMIF(Input!$D$70:$BP$107,Output_tables!$D46,Input!AC$70:AC$107)</f>
        <v>0</v>
      </c>
      <c r="R46" s="345">
        <f ca="1">SUMIF(Input!$D$70:$BP$107,Output_tables!$D46,Input!AD$70:AD$107)</f>
        <v>0</v>
      </c>
      <c r="S46" s="345">
        <f ca="1">SUMIF(Input!$D$70:$BP$107,Output_tables!$D46,Input!AE$70:AE$107)</f>
        <v>0</v>
      </c>
      <c r="T46" s="345">
        <f ca="1">SUMIF(Input!$D$70:$BP$107,Output_tables!$D46,Input!AF$70:AF$107)</f>
        <v>0</v>
      </c>
      <c r="U46" s="345">
        <f ca="1">SUMIF(Input!$D$70:$BP$107,Output_tables!$D46,Input!AG$70:AG$107)</f>
        <v>0</v>
      </c>
      <c r="V46" s="345">
        <f ca="1">SUMIF(Input!$D$70:$BP$107,Output_tables!$D46,Input!AH$70:AH$107)</f>
        <v>0</v>
      </c>
      <c r="W46" s="345">
        <f ca="1">SUMIF(Input!$D$70:$BP$107,Output_tables!$D46,Input!AI$70:AI$107)</f>
        <v>0</v>
      </c>
      <c r="X46" s="345">
        <f ca="1">SUMIF(Input!$D$70:$BP$107,Output_tables!$D46,Input!AJ$70:AJ$107)</f>
        <v>0</v>
      </c>
      <c r="Y46" s="345">
        <f ca="1">SUMIF(Input!$D$70:$BP$107,Output_tables!$D46,Input!AK$70:AK$107)</f>
        <v>0</v>
      </c>
      <c r="Z46" s="345">
        <f ca="1">SUMIF(Input!$D$70:$BP$107,Output_tables!$D46,Input!AL$70:AL$107)</f>
        <v>0</v>
      </c>
      <c r="AA46" s="345">
        <f ca="1">SUMIF(Input!$D$70:$BP$107,Output_tables!$D46,Input!AM$70:AM$107)</f>
        <v>0</v>
      </c>
      <c r="AB46" s="345">
        <f ca="1">SUMIF(Input!$D$70:$BP$107,Output_tables!$D46,Input!AN$70:AN$107)</f>
        <v>0</v>
      </c>
      <c r="AC46" s="345">
        <f ca="1">SUMIF(Input!$D$70:$BP$107,Output_tables!$D46,Input!AO$70:AO$107)</f>
        <v>0</v>
      </c>
      <c r="AD46" s="345">
        <f ca="1">SUMIF(Input!$D$70:$BP$107,Output_tables!$D46,Input!AP$70:AP$107)</f>
        <v>0</v>
      </c>
      <c r="AE46" s="345">
        <f ca="1">SUMIF(Input!$D$70:$BP$107,Output_tables!$D46,Input!AQ$70:AQ$107)</f>
        <v>0</v>
      </c>
      <c r="AF46" s="345">
        <f ca="1">SUMIF(Input!$D$70:$BP$107,Output_tables!$D46,Input!AR$70:AR$107)</f>
        <v>0</v>
      </c>
      <c r="AG46" s="345">
        <f ca="1">SUMIF(Input!$D$70:$BP$107,Output_tables!$D46,Input!AS$70:AS$107)</f>
        <v>0</v>
      </c>
      <c r="AH46" s="345">
        <f ca="1">SUMIF(Input!$D$70:$BP$107,Output_tables!$D46,Input!AT$70:AT$107)</f>
        <v>0</v>
      </c>
      <c r="AI46" s="345">
        <f ca="1">SUMIF(Input!$D$70:$BP$107,Output_tables!$D46,Input!AU$70:AU$107)</f>
        <v>0</v>
      </c>
      <c r="AJ46" s="345">
        <f ca="1">SUMIF(Input!$D$70:$BP$107,Output_tables!$D46,Input!AV$70:AV$107)</f>
        <v>0</v>
      </c>
      <c r="AK46" s="345">
        <f ca="1">SUMIF(Input!$D$70:$BP$107,Output_tables!$D46,Input!AW$70:AW$107)</f>
        <v>0</v>
      </c>
      <c r="AL46" s="345">
        <f ca="1">SUMIF(Input!$D$70:$BP$107,Output_tables!$D46,Input!AX$70:AX$107)</f>
        <v>0</v>
      </c>
      <c r="AM46" s="345">
        <f ca="1">SUMIF(Input!$D$70:$BP$107,Output_tables!$D46,Input!AY$70:AY$107)</f>
        <v>0</v>
      </c>
      <c r="AN46" s="345">
        <f ca="1">SUMIF(Input!$D$70:$BP$107,Output_tables!$D46,Input!AZ$70:AZ$107)</f>
        <v>0</v>
      </c>
      <c r="AO46" s="345">
        <f ca="1">SUMIF(Input!$D$70:$BP$107,Output_tables!$D46,Input!BA$70:BA$107)</f>
        <v>0</v>
      </c>
      <c r="AP46" s="345">
        <f ca="1">SUMIF(Input!$D$70:$BP$107,Output_tables!$D46,Input!BB$70:BB$107)</f>
        <v>0</v>
      </c>
      <c r="AQ46" s="345">
        <f ca="1">SUMIF(Input!$D$70:$BP$107,Output_tables!$D46,Input!BC$70:BC$107)</f>
        <v>0</v>
      </c>
      <c r="AR46" s="345">
        <f ca="1">SUMIF(Input!$D$70:$BP$107,Output_tables!$D46,Input!BD$70:BD$107)</f>
        <v>0</v>
      </c>
      <c r="AS46" s="345">
        <f ca="1">SUMIF(Input!$D$70:$BP$107,Output_tables!$D46,Input!BE$70:BE$107)</f>
        <v>0</v>
      </c>
      <c r="AT46" s="345">
        <f ca="1">SUMIF(Input!$D$70:$BP$107,Output_tables!$D46,Input!BF$70:BF$107)</f>
        <v>0</v>
      </c>
      <c r="AU46" s="345">
        <f ca="1">SUMIF(Input!$D$70:$BP$107,Output_tables!$D46,Input!BG$70:BG$107)</f>
        <v>0</v>
      </c>
      <c r="AV46" s="345">
        <f ca="1">SUMIF(Input!$D$70:$BP$107,Output_tables!$D46,Input!BH$70:BH$107)</f>
        <v>0</v>
      </c>
      <c r="AW46" s="345">
        <f ca="1">SUMIF(Input!$D$70:$BP$107,Output_tables!$D46,Input!BI$70:BI$107)</f>
        <v>0</v>
      </c>
      <c r="AX46" s="345">
        <f ca="1">SUMIF(Input!$D$70:$BP$107,Output_tables!$D46,Input!BJ$70:BJ$107)</f>
        <v>0</v>
      </c>
      <c r="AY46" s="345">
        <f ca="1">SUMIF(Input!$D$70:$BP$107,Output_tables!$D46,Input!BK$70:BK$107)</f>
        <v>0</v>
      </c>
      <c r="AZ46" s="345">
        <f ca="1">SUMIF(Input!$D$70:$BP$107,Output_tables!$D46,Input!BL$70:BL$107)</f>
        <v>0</v>
      </c>
      <c r="BA46" s="345">
        <f ca="1">SUMIF(Input!$D$70:$BP$107,Output_tables!$D46,Input!BM$70:BM$107)</f>
        <v>0</v>
      </c>
      <c r="BB46" s="345">
        <f ca="1">SUMIF(Input!$D$70:$BP$107,Output_tables!$D46,Input!BN$70:BN$107)</f>
        <v>0</v>
      </c>
      <c r="BC46" s="345">
        <f ca="1">SUMIF(Input!$D$70:$BP$107,Output_tables!$D46,Input!BO$70:BO$107)</f>
        <v>0</v>
      </c>
      <c r="BD46" s="345">
        <f ca="1">SUMIF(Input!$D$70:$BP$107,Output_tables!$D46,Input!BP$70:BP$107)</f>
        <v>0</v>
      </c>
    </row>
    <row r="47" spans="3:56" ht="14.25" customHeight="1" x14ac:dyDescent="0.2">
      <c r="D47" s="373" t="s">
        <v>102</v>
      </c>
      <c r="E47" s="381">
        <f t="shared" ca="1" si="5"/>
        <v>0</v>
      </c>
      <c r="F47" s="324">
        <f ca="1">SUMIF(Input!$D$70:$BP$107,Output_tables!$D47,Input!R$70:R$107)</f>
        <v>0</v>
      </c>
      <c r="G47" s="324">
        <f ca="1">SUMIF(Input!$D$70:$BP$107,Output_tables!$D47,Input!S$70:S$107)</f>
        <v>0</v>
      </c>
      <c r="H47" s="324">
        <f ca="1">SUMIF(Input!$D$70:$BP$107,Output_tables!$D47,Input!T$70:T$107)</f>
        <v>0</v>
      </c>
      <c r="I47" s="324">
        <f ca="1">SUMIF(Input!$D$70:$BP$107,Output_tables!$D47,Input!U$70:U$107)</f>
        <v>0</v>
      </c>
      <c r="J47" s="324">
        <f ca="1">SUMIF(Input!$D$70:$BP$107,Output_tables!$D47,Input!V$70:V$107)</f>
        <v>0</v>
      </c>
      <c r="K47" s="345">
        <f ca="1">SUMIF(Input!$D$70:$BP$107,Output_tables!$D47,Input!W$70:W$107)</f>
        <v>0</v>
      </c>
      <c r="L47" s="345">
        <f ca="1">SUMIF(Input!$D$70:$BP$107,Output_tables!$D47,Input!X$70:X$107)</f>
        <v>0</v>
      </c>
      <c r="M47" s="345">
        <f ca="1">SUMIF(Input!$D$70:$BP$107,Output_tables!$D47,Input!Y$70:Y$107)</f>
        <v>0</v>
      </c>
      <c r="N47" s="345">
        <f ca="1">SUMIF(Input!$D$70:$BP$107,Output_tables!$D47,Input!Z$70:Z$107)</f>
        <v>0</v>
      </c>
      <c r="O47" s="345">
        <f ca="1">SUMIF(Input!$D$70:$BP$107,Output_tables!$D47,Input!AA$70:AA$107)</f>
        <v>0</v>
      </c>
      <c r="P47" s="345">
        <f ca="1">SUMIF(Input!$D$70:$BP$107,Output_tables!$D47,Input!AB$70:AB$107)</f>
        <v>0</v>
      </c>
      <c r="Q47" s="345">
        <f ca="1">SUMIF(Input!$D$70:$BP$107,Output_tables!$D47,Input!AC$70:AC$107)</f>
        <v>0</v>
      </c>
      <c r="R47" s="345">
        <f ca="1">SUMIF(Input!$D$70:$BP$107,Output_tables!$D47,Input!AD$70:AD$107)</f>
        <v>0</v>
      </c>
      <c r="S47" s="345">
        <f ca="1">SUMIF(Input!$D$70:$BP$107,Output_tables!$D47,Input!AE$70:AE$107)</f>
        <v>0</v>
      </c>
      <c r="T47" s="345">
        <f ca="1">SUMIF(Input!$D$70:$BP$107,Output_tables!$D47,Input!AF$70:AF$107)</f>
        <v>0</v>
      </c>
      <c r="U47" s="345">
        <f ca="1">SUMIF(Input!$D$70:$BP$107,Output_tables!$D47,Input!AG$70:AG$107)</f>
        <v>0</v>
      </c>
      <c r="V47" s="345">
        <f ca="1">SUMIF(Input!$D$70:$BP$107,Output_tables!$D47,Input!AH$70:AH$107)</f>
        <v>0</v>
      </c>
      <c r="W47" s="345">
        <f ca="1">SUMIF(Input!$D$70:$BP$107,Output_tables!$D47,Input!AI$70:AI$107)</f>
        <v>0</v>
      </c>
      <c r="X47" s="345">
        <f ca="1">SUMIF(Input!$D$70:$BP$107,Output_tables!$D47,Input!AJ$70:AJ$107)</f>
        <v>0</v>
      </c>
      <c r="Y47" s="345">
        <f ca="1">SUMIF(Input!$D$70:$BP$107,Output_tables!$D47,Input!AK$70:AK$107)</f>
        <v>0</v>
      </c>
      <c r="Z47" s="345">
        <f ca="1">SUMIF(Input!$D$70:$BP$107,Output_tables!$D47,Input!AL$70:AL$107)</f>
        <v>0</v>
      </c>
      <c r="AA47" s="345">
        <f ca="1">SUMIF(Input!$D$70:$BP$107,Output_tables!$D47,Input!AM$70:AM$107)</f>
        <v>0</v>
      </c>
      <c r="AB47" s="345">
        <f ca="1">SUMIF(Input!$D$70:$BP$107,Output_tables!$D47,Input!AN$70:AN$107)</f>
        <v>0</v>
      </c>
      <c r="AC47" s="345">
        <f ca="1">SUMIF(Input!$D$70:$BP$107,Output_tables!$D47,Input!AO$70:AO$107)</f>
        <v>0</v>
      </c>
      <c r="AD47" s="345">
        <f ca="1">SUMIF(Input!$D$70:$BP$107,Output_tables!$D47,Input!AP$70:AP$107)</f>
        <v>0</v>
      </c>
      <c r="AE47" s="345">
        <f ca="1">SUMIF(Input!$D$70:$BP$107,Output_tables!$D47,Input!AQ$70:AQ$107)</f>
        <v>0</v>
      </c>
      <c r="AF47" s="345">
        <f ca="1">SUMIF(Input!$D$70:$BP$107,Output_tables!$D47,Input!AR$70:AR$107)</f>
        <v>0</v>
      </c>
      <c r="AG47" s="345">
        <f ca="1">SUMIF(Input!$D$70:$BP$107,Output_tables!$D47,Input!AS$70:AS$107)</f>
        <v>0</v>
      </c>
      <c r="AH47" s="345">
        <f ca="1">SUMIF(Input!$D$70:$BP$107,Output_tables!$D47,Input!AT$70:AT$107)</f>
        <v>0</v>
      </c>
      <c r="AI47" s="345">
        <f ca="1">SUMIF(Input!$D$70:$BP$107,Output_tables!$D47,Input!AU$70:AU$107)</f>
        <v>0</v>
      </c>
      <c r="AJ47" s="345">
        <f ca="1">SUMIF(Input!$D$70:$BP$107,Output_tables!$D47,Input!AV$70:AV$107)</f>
        <v>0</v>
      </c>
      <c r="AK47" s="345">
        <f ca="1">SUMIF(Input!$D$70:$BP$107,Output_tables!$D47,Input!AW$70:AW$107)</f>
        <v>0</v>
      </c>
      <c r="AL47" s="345">
        <f ca="1">SUMIF(Input!$D$70:$BP$107,Output_tables!$D47,Input!AX$70:AX$107)</f>
        <v>0</v>
      </c>
      <c r="AM47" s="345">
        <f ca="1">SUMIF(Input!$D$70:$BP$107,Output_tables!$D47,Input!AY$70:AY$107)</f>
        <v>0</v>
      </c>
      <c r="AN47" s="345">
        <f ca="1">SUMIF(Input!$D$70:$BP$107,Output_tables!$D47,Input!AZ$70:AZ$107)</f>
        <v>0</v>
      </c>
      <c r="AO47" s="345">
        <f ca="1">SUMIF(Input!$D$70:$BP$107,Output_tables!$D47,Input!BA$70:BA$107)</f>
        <v>0</v>
      </c>
      <c r="AP47" s="345">
        <f ca="1">SUMIF(Input!$D$70:$BP$107,Output_tables!$D47,Input!BB$70:BB$107)</f>
        <v>0</v>
      </c>
      <c r="AQ47" s="345">
        <f ca="1">SUMIF(Input!$D$70:$BP$107,Output_tables!$D47,Input!BC$70:BC$107)</f>
        <v>0</v>
      </c>
      <c r="AR47" s="345">
        <f ca="1">SUMIF(Input!$D$70:$BP$107,Output_tables!$D47,Input!BD$70:BD$107)</f>
        <v>0</v>
      </c>
      <c r="AS47" s="345">
        <f ca="1">SUMIF(Input!$D$70:$BP$107,Output_tables!$D47,Input!BE$70:BE$107)</f>
        <v>0</v>
      </c>
      <c r="AT47" s="345">
        <f ca="1">SUMIF(Input!$D$70:$BP$107,Output_tables!$D47,Input!BF$70:BF$107)</f>
        <v>0</v>
      </c>
      <c r="AU47" s="345">
        <f ca="1">SUMIF(Input!$D$70:$BP$107,Output_tables!$D47,Input!BG$70:BG$107)</f>
        <v>0</v>
      </c>
      <c r="AV47" s="345">
        <f ca="1">SUMIF(Input!$D$70:$BP$107,Output_tables!$D47,Input!BH$70:BH$107)</f>
        <v>0</v>
      </c>
      <c r="AW47" s="345">
        <f ca="1">SUMIF(Input!$D$70:$BP$107,Output_tables!$D47,Input!BI$70:BI$107)</f>
        <v>0</v>
      </c>
      <c r="AX47" s="345">
        <f ca="1">SUMIF(Input!$D$70:$BP$107,Output_tables!$D47,Input!BJ$70:BJ$107)</f>
        <v>0</v>
      </c>
      <c r="AY47" s="345">
        <f ca="1">SUMIF(Input!$D$70:$BP$107,Output_tables!$D47,Input!BK$70:BK$107)</f>
        <v>0</v>
      </c>
      <c r="AZ47" s="345">
        <f ca="1">SUMIF(Input!$D$70:$BP$107,Output_tables!$D47,Input!BL$70:BL$107)</f>
        <v>0</v>
      </c>
      <c r="BA47" s="345">
        <f ca="1">SUMIF(Input!$D$70:$BP$107,Output_tables!$D47,Input!BM$70:BM$107)</f>
        <v>0</v>
      </c>
      <c r="BB47" s="345">
        <f ca="1">SUMIF(Input!$D$70:$BP$107,Output_tables!$D47,Input!BN$70:BN$107)</f>
        <v>0</v>
      </c>
      <c r="BC47" s="345">
        <f ca="1">SUMIF(Input!$D$70:$BP$107,Output_tables!$D47,Input!BO$70:BO$107)</f>
        <v>0</v>
      </c>
      <c r="BD47" s="345">
        <f ca="1">SUMIF(Input!$D$70:$BP$107,Output_tables!$D47,Input!BP$70:BP$107)</f>
        <v>0</v>
      </c>
    </row>
    <row r="48" spans="3:56" ht="14.25" customHeight="1" x14ac:dyDescent="0.2">
      <c r="D48" s="373" t="s">
        <v>103</v>
      </c>
      <c r="E48" s="381">
        <f t="shared" ca="1" si="5"/>
        <v>-5975595</v>
      </c>
      <c r="F48" s="324">
        <f ca="1">SUMIF(Input!$D$70:$BP$107,Output_tables!$D48,Input!R$70:R$107)</f>
        <v>0</v>
      </c>
      <c r="G48" s="324">
        <f ca="1">SUMIF(Input!$D$70:$BP$107,Output_tables!$D48,Input!S$70:S$107)</f>
        <v>0</v>
      </c>
      <c r="H48" s="324">
        <f ca="1">SUMIF(Input!$D$70:$BP$107,Output_tables!$D48,Input!T$70:T$107)</f>
        <v>0</v>
      </c>
      <c r="I48" s="324">
        <f ca="1">SUMIF(Input!$D$70:$BP$107,Output_tables!$D48,Input!U$70:U$107)</f>
        <v>-2714370</v>
      </c>
      <c r="J48" s="324">
        <f ca="1">SUMIF(Input!$D$70:$BP$107,Output_tables!$D48,Input!V$70:V$107)</f>
        <v>-3261225</v>
      </c>
      <c r="K48" s="345">
        <f ca="1">SUMIF(Input!$D$70:$BP$107,Output_tables!$D48,Input!W$70:W$107)</f>
        <v>-3274476</v>
      </c>
      <c r="L48" s="345">
        <f ca="1">SUMIF(Input!$D$70:$BP$107,Output_tables!$D48,Input!X$70:X$107)</f>
        <v>-2730746</v>
      </c>
      <c r="M48" s="345">
        <f ca="1">SUMIF(Input!$D$70:$BP$107,Output_tables!$D48,Input!Y$70:Y$107)</f>
        <v>-3349622</v>
      </c>
      <c r="N48" s="345">
        <f ca="1">SUMIF(Input!$D$70:$BP$107,Output_tables!$D48,Input!Z$70:Z$107)</f>
        <v>0</v>
      </c>
      <c r="O48" s="345">
        <f ca="1">SUMIF(Input!$D$70:$BP$107,Output_tables!$D48,Input!AA$70:AA$107)</f>
        <v>0</v>
      </c>
      <c r="P48" s="345">
        <f ca="1">SUMIF(Input!$D$70:$BP$107,Output_tables!$D48,Input!AB$70:AB$107)</f>
        <v>0</v>
      </c>
      <c r="Q48" s="345">
        <f ca="1">SUMIF(Input!$D$70:$BP$107,Output_tables!$D48,Input!AC$70:AC$107)</f>
        <v>0</v>
      </c>
      <c r="R48" s="345">
        <f ca="1">SUMIF(Input!$D$70:$BP$107,Output_tables!$D48,Input!AD$70:AD$107)</f>
        <v>0</v>
      </c>
      <c r="S48" s="345">
        <f ca="1">SUMIF(Input!$D$70:$BP$107,Output_tables!$D48,Input!AE$70:AE$107)</f>
        <v>0</v>
      </c>
      <c r="T48" s="345">
        <f ca="1">SUMIF(Input!$D$70:$BP$107,Output_tables!$D48,Input!AF$70:AF$107)</f>
        <v>0</v>
      </c>
      <c r="U48" s="345">
        <f ca="1">SUMIF(Input!$D$70:$BP$107,Output_tables!$D48,Input!AG$70:AG$107)</f>
        <v>0</v>
      </c>
      <c r="V48" s="345">
        <f ca="1">SUMIF(Input!$D$70:$BP$107,Output_tables!$D48,Input!AH$70:AH$107)</f>
        <v>0</v>
      </c>
      <c r="W48" s="345">
        <f ca="1">SUMIF(Input!$D$70:$BP$107,Output_tables!$D48,Input!AI$70:AI$107)</f>
        <v>0</v>
      </c>
      <c r="X48" s="345">
        <f ca="1">SUMIF(Input!$D$70:$BP$107,Output_tables!$D48,Input!AJ$70:AJ$107)</f>
        <v>0</v>
      </c>
      <c r="Y48" s="345">
        <f ca="1">SUMIF(Input!$D$70:$BP$107,Output_tables!$D48,Input!AK$70:AK$107)</f>
        <v>0</v>
      </c>
      <c r="Z48" s="345">
        <f ca="1">SUMIF(Input!$D$70:$BP$107,Output_tables!$D48,Input!AL$70:AL$107)</f>
        <v>0</v>
      </c>
      <c r="AA48" s="345">
        <f ca="1">SUMIF(Input!$D$70:$BP$107,Output_tables!$D48,Input!AM$70:AM$107)</f>
        <v>0</v>
      </c>
      <c r="AB48" s="345">
        <f ca="1">SUMIF(Input!$D$70:$BP$107,Output_tables!$D48,Input!AN$70:AN$107)</f>
        <v>0</v>
      </c>
      <c r="AC48" s="345">
        <f ca="1">SUMIF(Input!$D$70:$BP$107,Output_tables!$D48,Input!AO$70:AO$107)</f>
        <v>0</v>
      </c>
      <c r="AD48" s="345">
        <f ca="1">SUMIF(Input!$D$70:$BP$107,Output_tables!$D48,Input!AP$70:AP$107)</f>
        <v>0</v>
      </c>
      <c r="AE48" s="345">
        <f ca="1">SUMIF(Input!$D$70:$BP$107,Output_tables!$D48,Input!AQ$70:AQ$107)</f>
        <v>0</v>
      </c>
      <c r="AF48" s="345">
        <f ca="1">SUMIF(Input!$D$70:$BP$107,Output_tables!$D48,Input!AR$70:AR$107)</f>
        <v>0</v>
      </c>
      <c r="AG48" s="345">
        <f ca="1">SUMIF(Input!$D$70:$BP$107,Output_tables!$D48,Input!AS$70:AS$107)</f>
        <v>0</v>
      </c>
      <c r="AH48" s="345">
        <f ca="1">SUMIF(Input!$D$70:$BP$107,Output_tables!$D48,Input!AT$70:AT$107)</f>
        <v>0</v>
      </c>
      <c r="AI48" s="345">
        <f ca="1">SUMIF(Input!$D$70:$BP$107,Output_tables!$D48,Input!AU$70:AU$107)</f>
        <v>0</v>
      </c>
      <c r="AJ48" s="345">
        <f ca="1">SUMIF(Input!$D$70:$BP$107,Output_tables!$D48,Input!AV$70:AV$107)</f>
        <v>0</v>
      </c>
      <c r="AK48" s="345">
        <f ca="1">SUMIF(Input!$D$70:$BP$107,Output_tables!$D48,Input!AW$70:AW$107)</f>
        <v>0</v>
      </c>
      <c r="AL48" s="345">
        <f ca="1">SUMIF(Input!$D$70:$BP$107,Output_tables!$D48,Input!AX$70:AX$107)</f>
        <v>0</v>
      </c>
      <c r="AM48" s="345">
        <f ca="1">SUMIF(Input!$D$70:$BP$107,Output_tables!$D48,Input!AY$70:AY$107)</f>
        <v>0</v>
      </c>
      <c r="AN48" s="345">
        <f ca="1">SUMIF(Input!$D$70:$BP$107,Output_tables!$D48,Input!AZ$70:AZ$107)</f>
        <v>0</v>
      </c>
      <c r="AO48" s="345">
        <f ca="1">SUMIF(Input!$D$70:$BP$107,Output_tables!$D48,Input!BA$70:BA$107)</f>
        <v>0</v>
      </c>
      <c r="AP48" s="345">
        <f ca="1">SUMIF(Input!$D$70:$BP$107,Output_tables!$D48,Input!BB$70:BB$107)</f>
        <v>0</v>
      </c>
      <c r="AQ48" s="345">
        <f ca="1">SUMIF(Input!$D$70:$BP$107,Output_tables!$D48,Input!BC$70:BC$107)</f>
        <v>0</v>
      </c>
      <c r="AR48" s="345">
        <f ca="1">SUMIF(Input!$D$70:$BP$107,Output_tables!$D48,Input!BD$70:BD$107)</f>
        <v>0</v>
      </c>
      <c r="AS48" s="345">
        <f ca="1">SUMIF(Input!$D$70:$BP$107,Output_tables!$D48,Input!BE$70:BE$107)</f>
        <v>0</v>
      </c>
      <c r="AT48" s="345">
        <f ca="1">SUMIF(Input!$D$70:$BP$107,Output_tables!$D48,Input!BF$70:BF$107)</f>
        <v>0</v>
      </c>
      <c r="AU48" s="345">
        <f ca="1">SUMIF(Input!$D$70:$BP$107,Output_tables!$D48,Input!BG$70:BG$107)</f>
        <v>0</v>
      </c>
      <c r="AV48" s="345">
        <f ca="1">SUMIF(Input!$D$70:$BP$107,Output_tables!$D48,Input!BH$70:BH$107)</f>
        <v>0</v>
      </c>
      <c r="AW48" s="345">
        <f ca="1">SUMIF(Input!$D$70:$BP$107,Output_tables!$D48,Input!BI$70:BI$107)</f>
        <v>0</v>
      </c>
      <c r="AX48" s="345">
        <f ca="1">SUMIF(Input!$D$70:$BP$107,Output_tables!$D48,Input!BJ$70:BJ$107)</f>
        <v>0</v>
      </c>
      <c r="AY48" s="345">
        <f ca="1">SUMIF(Input!$D$70:$BP$107,Output_tables!$D48,Input!BK$70:BK$107)</f>
        <v>0</v>
      </c>
      <c r="AZ48" s="345">
        <f ca="1">SUMIF(Input!$D$70:$BP$107,Output_tables!$D48,Input!BL$70:BL$107)</f>
        <v>0</v>
      </c>
      <c r="BA48" s="345">
        <f ca="1">SUMIF(Input!$D$70:$BP$107,Output_tables!$D48,Input!BM$70:BM$107)</f>
        <v>0</v>
      </c>
      <c r="BB48" s="345">
        <f ca="1">SUMIF(Input!$D$70:$BP$107,Output_tables!$D48,Input!BN$70:BN$107)</f>
        <v>0</v>
      </c>
      <c r="BC48" s="345">
        <f ca="1">SUMIF(Input!$D$70:$BP$107,Output_tables!$D48,Input!BO$70:BO$107)</f>
        <v>0</v>
      </c>
      <c r="BD48" s="345">
        <f ca="1">SUMIF(Input!$D$70:$BP$107,Output_tables!$D48,Input!BP$70:BP$107)</f>
        <v>0</v>
      </c>
    </row>
    <row r="49" spans="3:56" ht="14.25" customHeight="1" thickBot="1" x14ac:dyDescent="0.25">
      <c r="D49" s="374" t="s">
        <v>109</v>
      </c>
      <c r="E49" s="382">
        <f t="shared" ca="1" si="5"/>
        <v>0</v>
      </c>
      <c r="F49" s="343">
        <f ca="1">SUMIF(Input!$D$70:$BP$107,Output_tables!$D49,Input!R$70:R$107)</f>
        <v>0</v>
      </c>
      <c r="G49" s="343">
        <f ca="1">SUMIF(Input!$D$70:$BP$107,Output_tables!$D49,Input!S$70:S$107)</f>
        <v>0</v>
      </c>
      <c r="H49" s="343">
        <f ca="1">SUMIF(Input!$D$70:$BP$107,Output_tables!$D49,Input!T$70:T$107)</f>
        <v>0</v>
      </c>
      <c r="I49" s="343">
        <f ca="1">SUMIF(Input!$D$70:$BP$107,Output_tables!$D49,Input!U$70:U$107)</f>
        <v>0</v>
      </c>
      <c r="J49" s="343">
        <f ca="1">SUMIF(Input!$D$70:$BP$107,Output_tables!$D49,Input!V$70:V$107)</f>
        <v>0</v>
      </c>
      <c r="K49" s="346">
        <f ca="1">SUMIF(Input!$D$70:$BP$107,Output_tables!$D49,Input!W$70:W$107)</f>
        <v>0</v>
      </c>
      <c r="L49" s="346">
        <f ca="1">SUMIF(Input!$D$70:$BP$107,Output_tables!$D49,Input!X$70:X$107)</f>
        <v>0</v>
      </c>
      <c r="M49" s="346">
        <f ca="1">SUMIF(Input!$D$70:$BP$107,Output_tables!$D49,Input!Y$70:Y$107)</f>
        <v>0</v>
      </c>
      <c r="N49" s="346">
        <f ca="1">SUMIF(Input!$D$70:$BP$107,Output_tables!$D49,Input!Z$70:Z$107)</f>
        <v>0</v>
      </c>
      <c r="O49" s="346">
        <f ca="1">SUMIF(Input!$D$70:$BP$107,Output_tables!$D49,Input!AA$70:AA$107)</f>
        <v>0</v>
      </c>
      <c r="P49" s="346">
        <f ca="1">SUMIF(Input!$D$70:$BP$107,Output_tables!$D49,Input!AB$70:AB$107)</f>
        <v>0</v>
      </c>
      <c r="Q49" s="346">
        <f ca="1">SUMIF(Input!$D$70:$BP$107,Output_tables!$D49,Input!AC$70:AC$107)</f>
        <v>0</v>
      </c>
      <c r="R49" s="346">
        <f ca="1">SUMIF(Input!$D$70:$BP$107,Output_tables!$D49,Input!AD$70:AD$107)</f>
        <v>0</v>
      </c>
      <c r="S49" s="346">
        <f ca="1">SUMIF(Input!$D$70:$BP$107,Output_tables!$D49,Input!AE$70:AE$107)</f>
        <v>0</v>
      </c>
      <c r="T49" s="346">
        <f ca="1">SUMIF(Input!$D$70:$BP$107,Output_tables!$D49,Input!AF$70:AF$107)</f>
        <v>0</v>
      </c>
      <c r="U49" s="346">
        <f ca="1">SUMIF(Input!$D$70:$BP$107,Output_tables!$D49,Input!AG$70:AG$107)</f>
        <v>0</v>
      </c>
      <c r="V49" s="346">
        <f ca="1">SUMIF(Input!$D$70:$BP$107,Output_tables!$D49,Input!AH$70:AH$107)</f>
        <v>0</v>
      </c>
      <c r="W49" s="346">
        <f ca="1">SUMIF(Input!$D$70:$BP$107,Output_tables!$D49,Input!AI$70:AI$107)</f>
        <v>0</v>
      </c>
      <c r="X49" s="346">
        <f ca="1">SUMIF(Input!$D$70:$BP$107,Output_tables!$D49,Input!AJ$70:AJ$107)</f>
        <v>0</v>
      </c>
      <c r="Y49" s="346">
        <f ca="1">SUMIF(Input!$D$70:$BP$107,Output_tables!$D49,Input!AK$70:AK$107)</f>
        <v>0</v>
      </c>
      <c r="Z49" s="346">
        <f ca="1">SUMIF(Input!$D$70:$BP$107,Output_tables!$D49,Input!AL$70:AL$107)</f>
        <v>0</v>
      </c>
      <c r="AA49" s="346">
        <f ca="1">SUMIF(Input!$D$70:$BP$107,Output_tables!$D49,Input!AM$70:AM$107)</f>
        <v>0</v>
      </c>
      <c r="AB49" s="346">
        <f ca="1">SUMIF(Input!$D$70:$BP$107,Output_tables!$D49,Input!AN$70:AN$107)</f>
        <v>0</v>
      </c>
      <c r="AC49" s="346">
        <f ca="1">SUMIF(Input!$D$70:$BP$107,Output_tables!$D49,Input!AO$70:AO$107)</f>
        <v>0</v>
      </c>
      <c r="AD49" s="346">
        <f ca="1">SUMIF(Input!$D$70:$BP$107,Output_tables!$D49,Input!AP$70:AP$107)</f>
        <v>0</v>
      </c>
      <c r="AE49" s="346">
        <f ca="1">SUMIF(Input!$D$70:$BP$107,Output_tables!$D49,Input!AQ$70:AQ$107)</f>
        <v>0</v>
      </c>
      <c r="AF49" s="346">
        <f ca="1">SUMIF(Input!$D$70:$BP$107,Output_tables!$D49,Input!AR$70:AR$107)</f>
        <v>0</v>
      </c>
      <c r="AG49" s="346">
        <f ca="1">SUMIF(Input!$D$70:$BP$107,Output_tables!$D49,Input!AS$70:AS$107)</f>
        <v>0</v>
      </c>
      <c r="AH49" s="346">
        <f ca="1">SUMIF(Input!$D$70:$BP$107,Output_tables!$D49,Input!AT$70:AT$107)</f>
        <v>0</v>
      </c>
      <c r="AI49" s="346">
        <f ca="1">SUMIF(Input!$D$70:$BP$107,Output_tables!$D49,Input!AU$70:AU$107)</f>
        <v>0</v>
      </c>
      <c r="AJ49" s="346">
        <f ca="1">SUMIF(Input!$D$70:$BP$107,Output_tables!$D49,Input!AV$70:AV$107)</f>
        <v>0</v>
      </c>
      <c r="AK49" s="346">
        <f ca="1">SUMIF(Input!$D$70:$BP$107,Output_tables!$D49,Input!AW$70:AW$107)</f>
        <v>0</v>
      </c>
      <c r="AL49" s="346">
        <f ca="1">SUMIF(Input!$D$70:$BP$107,Output_tables!$D49,Input!AX$70:AX$107)</f>
        <v>0</v>
      </c>
      <c r="AM49" s="346">
        <f ca="1">SUMIF(Input!$D$70:$BP$107,Output_tables!$D49,Input!AY$70:AY$107)</f>
        <v>0</v>
      </c>
      <c r="AN49" s="346">
        <f ca="1">SUMIF(Input!$D$70:$BP$107,Output_tables!$D49,Input!AZ$70:AZ$107)</f>
        <v>0</v>
      </c>
      <c r="AO49" s="346">
        <f ca="1">SUMIF(Input!$D$70:$BP$107,Output_tables!$D49,Input!BA$70:BA$107)</f>
        <v>0</v>
      </c>
      <c r="AP49" s="346">
        <f ca="1">SUMIF(Input!$D$70:$BP$107,Output_tables!$D49,Input!BB$70:BB$107)</f>
        <v>0</v>
      </c>
      <c r="AQ49" s="346">
        <f ca="1">SUMIF(Input!$D$70:$BP$107,Output_tables!$D49,Input!BC$70:BC$107)</f>
        <v>0</v>
      </c>
      <c r="AR49" s="346">
        <f ca="1">SUMIF(Input!$D$70:$BP$107,Output_tables!$D49,Input!BD$70:BD$107)</f>
        <v>0</v>
      </c>
      <c r="AS49" s="346">
        <f ca="1">SUMIF(Input!$D$70:$BP$107,Output_tables!$D49,Input!BE$70:BE$107)</f>
        <v>0</v>
      </c>
      <c r="AT49" s="346">
        <f ca="1">SUMIF(Input!$D$70:$BP$107,Output_tables!$D49,Input!BF$70:BF$107)</f>
        <v>0</v>
      </c>
      <c r="AU49" s="346">
        <f ca="1">SUMIF(Input!$D$70:$BP$107,Output_tables!$D49,Input!BG$70:BG$107)</f>
        <v>0</v>
      </c>
      <c r="AV49" s="346">
        <f ca="1">SUMIF(Input!$D$70:$BP$107,Output_tables!$D49,Input!BH$70:BH$107)</f>
        <v>0</v>
      </c>
      <c r="AW49" s="346">
        <f ca="1">SUMIF(Input!$D$70:$BP$107,Output_tables!$D49,Input!BI$70:BI$107)</f>
        <v>0</v>
      </c>
      <c r="AX49" s="346">
        <f ca="1">SUMIF(Input!$D$70:$BP$107,Output_tables!$D49,Input!BJ$70:BJ$107)</f>
        <v>0</v>
      </c>
      <c r="AY49" s="346">
        <f ca="1">SUMIF(Input!$D$70:$BP$107,Output_tables!$D49,Input!BK$70:BK$107)</f>
        <v>0</v>
      </c>
      <c r="AZ49" s="346">
        <f ca="1">SUMIF(Input!$D$70:$BP$107,Output_tables!$D49,Input!BL$70:BL$107)</f>
        <v>0</v>
      </c>
      <c r="BA49" s="346">
        <f ca="1">SUMIF(Input!$D$70:$BP$107,Output_tables!$D49,Input!BM$70:BM$107)</f>
        <v>0</v>
      </c>
      <c r="BB49" s="346">
        <f ca="1">SUMIF(Input!$D$70:$BP$107,Output_tables!$D49,Input!BN$70:BN$107)</f>
        <v>0</v>
      </c>
      <c r="BC49" s="346">
        <f ca="1">SUMIF(Input!$D$70:$BP$107,Output_tables!$D49,Input!BO$70:BO$107)</f>
        <v>0</v>
      </c>
      <c r="BD49" s="346">
        <f ca="1">SUMIF(Input!$D$70:$BP$107,Output_tables!$D49,Input!BP$70:BP$107)</f>
        <v>0</v>
      </c>
    </row>
    <row r="50" spans="3:56" ht="14.25" customHeight="1" x14ac:dyDescent="0.2">
      <c r="D50" s="375" t="s">
        <v>257</v>
      </c>
      <c r="E50" s="383">
        <f t="shared" ca="1" si="5"/>
        <v>-5975595</v>
      </c>
      <c r="F50" s="365">
        <f t="shared" ref="F50:AK50" ca="1" si="6">SUM(F44:F49)</f>
        <v>0</v>
      </c>
      <c r="G50" s="365">
        <f t="shared" ca="1" si="6"/>
        <v>0</v>
      </c>
      <c r="H50" s="365">
        <f t="shared" ca="1" si="6"/>
        <v>0</v>
      </c>
      <c r="I50" s="365">
        <f t="shared" ca="1" si="6"/>
        <v>-2714370</v>
      </c>
      <c r="J50" s="365">
        <f t="shared" ca="1" si="6"/>
        <v>-3261225</v>
      </c>
      <c r="K50" s="366">
        <f t="shared" ca="1" si="6"/>
        <v>-3274476</v>
      </c>
      <c r="L50" s="366">
        <f t="shared" ca="1" si="6"/>
        <v>-2730746</v>
      </c>
      <c r="M50" s="366">
        <f t="shared" ca="1" si="6"/>
        <v>-3349622</v>
      </c>
      <c r="N50" s="366">
        <f t="shared" ca="1" si="6"/>
        <v>0</v>
      </c>
      <c r="O50" s="366">
        <f t="shared" ca="1" si="6"/>
        <v>0</v>
      </c>
      <c r="P50" s="366">
        <f t="shared" ca="1" si="6"/>
        <v>0</v>
      </c>
      <c r="Q50" s="366">
        <f t="shared" ca="1" si="6"/>
        <v>0</v>
      </c>
      <c r="R50" s="366">
        <f t="shared" ca="1" si="6"/>
        <v>0</v>
      </c>
      <c r="S50" s="366">
        <f t="shared" ca="1" si="6"/>
        <v>0</v>
      </c>
      <c r="T50" s="366">
        <f t="shared" ca="1" si="6"/>
        <v>0</v>
      </c>
      <c r="U50" s="366">
        <f t="shared" ca="1" si="6"/>
        <v>0</v>
      </c>
      <c r="V50" s="366">
        <f t="shared" ca="1" si="6"/>
        <v>0</v>
      </c>
      <c r="W50" s="366">
        <f t="shared" ca="1" si="6"/>
        <v>0</v>
      </c>
      <c r="X50" s="366">
        <f t="shared" ca="1" si="6"/>
        <v>0</v>
      </c>
      <c r="Y50" s="366">
        <f t="shared" ca="1" si="6"/>
        <v>0</v>
      </c>
      <c r="Z50" s="366">
        <f t="shared" ca="1" si="6"/>
        <v>0</v>
      </c>
      <c r="AA50" s="366">
        <f t="shared" ca="1" si="6"/>
        <v>0</v>
      </c>
      <c r="AB50" s="366">
        <f t="shared" ca="1" si="6"/>
        <v>0</v>
      </c>
      <c r="AC50" s="366">
        <f t="shared" ca="1" si="6"/>
        <v>0</v>
      </c>
      <c r="AD50" s="366">
        <f t="shared" ca="1" si="6"/>
        <v>0</v>
      </c>
      <c r="AE50" s="366">
        <f t="shared" ca="1" si="6"/>
        <v>0</v>
      </c>
      <c r="AF50" s="366">
        <f t="shared" ca="1" si="6"/>
        <v>0</v>
      </c>
      <c r="AG50" s="366">
        <f t="shared" ca="1" si="6"/>
        <v>0</v>
      </c>
      <c r="AH50" s="366">
        <f t="shared" ca="1" si="6"/>
        <v>0</v>
      </c>
      <c r="AI50" s="366">
        <f t="shared" ca="1" si="6"/>
        <v>0</v>
      </c>
      <c r="AJ50" s="366">
        <f t="shared" ca="1" si="6"/>
        <v>0</v>
      </c>
      <c r="AK50" s="366">
        <f t="shared" ca="1" si="6"/>
        <v>0</v>
      </c>
      <c r="AL50" s="366">
        <f t="shared" ref="AL50:BD50" ca="1" si="7">SUM(AL44:AL49)</f>
        <v>0</v>
      </c>
      <c r="AM50" s="366">
        <f t="shared" ca="1" si="7"/>
        <v>0</v>
      </c>
      <c r="AN50" s="366">
        <f t="shared" ca="1" si="7"/>
        <v>0</v>
      </c>
      <c r="AO50" s="366">
        <f t="shared" ca="1" si="7"/>
        <v>0</v>
      </c>
      <c r="AP50" s="366">
        <f t="shared" ca="1" si="7"/>
        <v>0</v>
      </c>
      <c r="AQ50" s="366">
        <f t="shared" ca="1" si="7"/>
        <v>0</v>
      </c>
      <c r="AR50" s="366">
        <f t="shared" ca="1" si="7"/>
        <v>0</v>
      </c>
      <c r="AS50" s="366">
        <f t="shared" ca="1" si="7"/>
        <v>0</v>
      </c>
      <c r="AT50" s="366">
        <f t="shared" ca="1" si="7"/>
        <v>0</v>
      </c>
      <c r="AU50" s="366">
        <f t="shared" ca="1" si="7"/>
        <v>0</v>
      </c>
      <c r="AV50" s="366">
        <f t="shared" ca="1" si="7"/>
        <v>0</v>
      </c>
      <c r="AW50" s="366">
        <f t="shared" ca="1" si="7"/>
        <v>0</v>
      </c>
      <c r="AX50" s="366">
        <f t="shared" ca="1" si="7"/>
        <v>0</v>
      </c>
      <c r="AY50" s="366">
        <f t="shared" ca="1" si="7"/>
        <v>0</v>
      </c>
      <c r="AZ50" s="366">
        <f t="shared" ca="1" si="7"/>
        <v>0</v>
      </c>
      <c r="BA50" s="366">
        <f t="shared" ca="1" si="7"/>
        <v>0</v>
      </c>
      <c r="BB50" s="366">
        <f t="shared" ca="1" si="7"/>
        <v>0</v>
      </c>
      <c r="BC50" s="366">
        <f t="shared" ca="1" si="7"/>
        <v>0</v>
      </c>
      <c r="BD50" s="366">
        <f t="shared" ca="1" si="7"/>
        <v>0</v>
      </c>
    </row>
    <row r="51" spans="3:56" ht="14.25" customHeight="1" thickBot="1" x14ac:dyDescent="0.25">
      <c r="D51" s="374" t="s">
        <v>28</v>
      </c>
      <c r="E51" s="382">
        <f t="shared" si="5"/>
        <v>115943.89306797893</v>
      </c>
      <c r="F51" s="343">
        <f>Calcs!R390</f>
        <v>0</v>
      </c>
      <c r="G51" s="343">
        <f>Calcs!S390</f>
        <v>0</v>
      </c>
      <c r="H51" s="343">
        <f>Calcs!T390</f>
        <v>0</v>
      </c>
      <c r="I51" s="343">
        <f>Calcs!U390</f>
        <v>57550.849728694186</v>
      </c>
      <c r="J51" s="364">
        <f>Calcs!V390</f>
        <v>58393.043339284741</v>
      </c>
      <c r="K51" s="346">
        <f>Calcs!W390</f>
        <v>58787.245115908787</v>
      </c>
      <c r="L51" s="346">
        <f>Calcs!X390</f>
        <v>58827.952816376768</v>
      </c>
      <c r="M51" s="346">
        <f>Calcs!Y390</f>
        <v>59715.190470868809</v>
      </c>
      <c r="N51" s="346">
        <f>Calcs!Z390</f>
        <v>59715.190470868809</v>
      </c>
      <c r="O51" s="346">
        <f>Calcs!AA390</f>
        <v>59715.190470868809</v>
      </c>
      <c r="P51" s="346">
        <f>Calcs!AB390</f>
        <v>59715.190470868809</v>
      </c>
      <c r="Q51" s="346">
        <f>Calcs!AC390</f>
        <v>0</v>
      </c>
      <c r="R51" s="346">
        <f>Calcs!AD390</f>
        <v>0</v>
      </c>
      <c r="S51" s="346">
        <f>Calcs!AE390</f>
        <v>0</v>
      </c>
      <c r="T51" s="346">
        <f>Calcs!AF390</f>
        <v>0</v>
      </c>
      <c r="U51" s="346">
        <f>Calcs!AG390</f>
        <v>0</v>
      </c>
      <c r="V51" s="346">
        <f>Calcs!AH390</f>
        <v>0</v>
      </c>
      <c r="W51" s="346">
        <f>Calcs!AI390</f>
        <v>0</v>
      </c>
      <c r="X51" s="346">
        <f>Calcs!AJ390</f>
        <v>0</v>
      </c>
      <c r="Y51" s="346">
        <f>Calcs!AK390</f>
        <v>0</v>
      </c>
      <c r="Z51" s="346">
        <f>Calcs!AL390</f>
        <v>0</v>
      </c>
      <c r="AA51" s="346">
        <f>Calcs!AM390</f>
        <v>0</v>
      </c>
      <c r="AB51" s="346">
        <f>Calcs!AN390</f>
        <v>0</v>
      </c>
      <c r="AC51" s="346">
        <f>Calcs!AO390</f>
        <v>0</v>
      </c>
      <c r="AD51" s="346">
        <f>Calcs!AP390</f>
        <v>0</v>
      </c>
      <c r="AE51" s="346">
        <f>Calcs!AQ390</f>
        <v>0</v>
      </c>
      <c r="AF51" s="346">
        <f>Calcs!AR390</f>
        <v>0</v>
      </c>
      <c r="AG51" s="346">
        <f>Calcs!AS390</f>
        <v>0</v>
      </c>
      <c r="AH51" s="346">
        <f>Calcs!AT390</f>
        <v>0</v>
      </c>
      <c r="AI51" s="346">
        <f>Calcs!AU390</f>
        <v>0</v>
      </c>
      <c r="AJ51" s="346">
        <f>Calcs!AV390</f>
        <v>0</v>
      </c>
      <c r="AK51" s="346">
        <f>Calcs!AW390</f>
        <v>0</v>
      </c>
      <c r="AL51" s="346">
        <f>Calcs!AX390</f>
        <v>0</v>
      </c>
      <c r="AM51" s="346">
        <f>Calcs!AY390</f>
        <v>0</v>
      </c>
      <c r="AN51" s="346">
        <f>Calcs!AZ390</f>
        <v>0</v>
      </c>
      <c r="AO51" s="346">
        <f>Calcs!BA390</f>
        <v>0</v>
      </c>
      <c r="AP51" s="346">
        <f>Calcs!BB390</f>
        <v>0</v>
      </c>
      <c r="AQ51" s="346">
        <f>Calcs!BC390</f>
        <v>0</v>
      </c>
      <c r="AR51" s="346">
        <f>Calcs!BD390</f>
        <v>0</v>
      </c>
      <c r="AS51" s="346">
        <f>Calcs!BE390</f>
        <v>0</v>
      </c>
      <c r="AT51" s="346">
        <f>Calcs!BF390</f>
        <v>0</v>
      </c>
      <c r="AU51" s="346">
        <f>Calcs!BG390</f>
        <v>0</v>
      </c>
      <c r="AV51" s="346">
        <f>Calcs!BH390</f>
        <v>0</v>
      </c>
      <c r="AW51" s="346">
        <f>Calcs!BI390</f>
        <v>0</v>
      </c>
      <c r="AX51" s="346">
        <f>Calcs!BJ390</f>
        <v>0</v>
      </c>
      <c r="AY51" s="346">
        <f>Calcs!BK390</f>
        <v>0</v>
      </c>
      <c r="AZ51" s="346">
        <f>Calcs!BL390</f>
        <v>0</v>
      </c>
      <c r="BA51" s="346">
        <f>Calcs!BM390</f>
        <v>0</v>
      </c>
      <c r="BB51" s="346">
        <f>Calcs!BN390</f>
        <v>0</v>
      </c>
      <c r="BC51" s="346">
        <f>Calcs!BO390</f>
        <v>0</v>
      </c>
      <c r="BD51" s="346">
        <f>Calcs!BP390</f>
        <v>0</v>
      </c>
    </row>
    <row r="52" spans="3:56" ht="14.25" customHeight="1" thickTop="1" x14ac:dyDescent="0.2">
      <c r="D52" s="376" t="s">
        <v>258</v>
      </c>
      <c r="E52" s="371">
        <f t="shared" ca="1" si="5"/>
        <v>-5859651.1069320217</v>
      </c>
      <c r="F52" s="371">
        <f ca="1">SUM(F50:F51)</f>
        <v>0</v>
      </c>
      <c r="G52" s="371">
        <f t="shared" ref="G52:BD52" ca="1" si="8">SUM(G50:G51)</f>
        <v>0</v>
      </c>
      <c r="H52" s="371">
        <f t="shared" ca="1" si="8"/>
        <v>0</v>
      </c>
      <c r="I52" s="371">
        <f t="shared" ca="1" si="8"/>
        <v>-2656819.1502713058</v>
      </c>
      <c r="J52" s="372">
        <f t="shared" ca="1" si="8"/>
        <v>-3202831.9566607154</v>
      </c>
      <c r="K52" s="363">
        <f t="shared" ca="1" si="8"/>
        <v>-3215688.7548840912</v>
      </c>
      <c r="L52" s="363">
        <f t="shared" ca="1" si="8"/>
        <v>-2671918.0471836231</v>
      </c>
      <c r="M52" s="363">
        <f t="shared" ca="1" si="8"/>
        <v>-3289906.8095291313</v>
      </c>
      <c r="N52" s="363">
        <f t="shared" ca="1" si="8"/>
        <v>59715.190470868809</v>
      </c>
      <c r="O52" s="363">
        <f t="shared" ca="1" si="8"/>
        <v>59715.190470868809</v>
      </c>
      <c r="P52" s="363">
        <f t="shared" ca="1" si="8"/>
        <v>59715.190470868809</v>
      </c>
      <c r="Q52" s="363">
        <f t="shared" ca="1" si="8"/>
        <v>0</v>
      </c>
      <c r="R52" s="363">
        <f t="shared" ca="1" si="8"/>
        <v>0</v>
      </c>
      <c r="S52" s="363">
        <f t="shared" ca="1" si="8"/>
        <v>0</v>
      </c>
      <c r="T52" s="363">
        <f t="shared" ca="1" si="8"/>
        <v>0</v>
      </c>
      <c r="U52" s="363">
        <f t="shared" ca="1" si="8"/>
        <v>0</v>
      </c>
      <c r="V52" s="363">
        <f t="shared" ca="1" si="8"/>
        <v>0</v>
      </c>
      <c r="W52" s="363">
        <f t="shared" ca="1" si="8"/>
        <v>0</v>
      </c>
      <c r="X52" s="363">
        <f t="shared" ca="1" si="8"/>
        <v>0</v>
      </c>
      <c r="Y52" s="363">
        <f t="shared" ca="1" si="8"/>
        <v>0</v>
      </c>
      <c r="Z52" s="363">
        <f t="shared" ca="1" si="8"/>
        <v>0</v>
      </c>
      <c r="AA52" s="363">
        <f t="shared" ca="1" si="8"/>
        <v>0</v>
      </c>
      <c r="AB52" s="363">
        <f t="shared" ca="1" si="8"/>
        <v>0</v>
      </c>
      <c r="AC52" s="363">
        <f t="shared" ca="1" si="8"/>
        <v>0</v>
      </c>
      <c r="AD52" s="363">
        <f t="shared" ca="1" si="8"/>
        <v>0</v>
      </c>
      <c r="AE52" s="363">
        <f t="shared" ca="1" si="8"/>
        <v>0</v>
      </c>
      <c r="AF52" s="363">
        <f t="shared" ca="1" si="8"/>
        <v>0</v>
      </c>
      <c r="AG52" s="363">
        <f t="shared" ca="1" si="8"/>
        <v>0</v>
      </c>
      <c r="AH52" s="363">
        <f t="shared" ca="1" si="8"/>
        <v>0</v>
      </c>
      <c r="AI52" s="363">
        <f t="shared" ca="1" si="8"/>
        <v>0</v>
      </c>
      <c r="AJ52" s="363">
        <f t="shared" ca="1" si="8"/>
        <v>0</v>
      </c>
      <c r="AK52" s="363">
        <f t="shared" ca="1" si="8"/>
        <v>0</v>
      </c>
      <c r="AL52" s="363">
        <f t="shared" ca="1" si="8"/>
        <v>0</v>
      </c>
      <c r="AM52" s="363">
        <f t="shared" ca="1" si="8"/>
        <v>0</v>
      </c>
      <c r="AN52" s="363">
        <f t="shared" ca="1" si="8"/>
        <v>0</v>
      </c>
      <c r="AO52" s="363">
        <f t="shared" ca="1" si="8"/>
        <v>0</v>
      </c>
      <c r="AP52" s="363">
        <f t="shared" ca="1" si="8"/>
        <v>0</v>
      </c>
      <c r="AQ52" s="363">
        <f t="shared" ca="1" si="8"/>
        <v>0</v>
      </c>
      <c r="AR52" s="363">
        <f t="shared" ca="1" si="8"/>
        <v>0</v>
      </c>
      <c r="AS52" s="363">
        <f t="shared" ca="1" si="8"/>
        <v>0</v>
      </c>
      <c r="AT52" s="363">
        <f t="shared" ca="1" si="8"/>
        <v>0</v>
      </c>
      <c r="AU52" s="363">
        <f t="shared" ca="1" si="8"/>
        <v>0</v>
      </c>
      <c r="AV52" s="363">
        <f t="shared" ca="1" si="8"/>
        <v>0</v>
      </c>
      <c r="AW52" s="363">
        <f t="shared" ca="1" si="8"/>
        <v>0</v>
      </c>
      <c r="AX52" s="363">
        <f t="shared" ca="1" si="8"/>
        <v>0</v>
      </c>
      <c r="AY52" s="363">
        <f t="shared" ca="1" si="8"/>
        <v>0</v>
      </c>
      <c r="AZ52" s="363">
        <f t="shared" ca="1" si="8"/>
        <v>0</v>
      </c>
      <c r="BA52" s="363">
        <f t="shared" ca="1" si="8"/>
        <v>0</v>
      </c>
      <c r="BB52" s="363">
        <f t="shared" ca="1" si="8"/>
        <v>0</v>
      </c>
      <c r="BC52" s="363">
        <f t="shared" ca="1" si="8"/>
        <v>0</v>
      </c>
      <c r="BD52" s="363">
        <f t="shared" ca="1" si="8"/>
        <v>0</v>
      </c>
    </row>
    <row r="53" spans="3:56" x14ac:dyDescent="0.2">
      <c r="D53" s="330"/>
    </row>
    <row r="54" spans="3:56" s="307" customFormat="1" ht="10.199999999999999" customHeight="1" x14ac:dyDescent="0.35">
      <c r="C54" s="322" t="s">
        <v>259</v>
      </c>
    </row>
    <row r="56" spans="3:56" x14ac:dyDescent="0.2">
      <c r="D56" s="27" t="s">
        <v>244</v>
      </c>
    </row>
    <row r="58" spans="3:56" s="340" customFormat="1" ht="15" customHeight="1" x14ac:dyDescent="0.2">
      <c r="D58" s="341" t="s">
        <v>246</v>
      </c>
      <c r="E58" s="380" t="s">
        <v>66</v>
      </c>
      <c r="F58" s="342" t="str">
        <f>"FY"&amp;RIGHT(Assumptions!$L$19+F7,2)</f>
        <v>FY22</v>
      </c>
      <c r="G58" s="342" t="str">
        <f>"FY"&amp;RIGHT(Assumptions!$L$19+G7,2)</f>
        <v>FY23</v>
      </c>
      <c r="H58" s="342" t="str">
        <f>"FY"&amp;RIGHT(Assumptions!$L$19+H7,2)</f>
        <v>FY24</v>
      </c>
      <c r="I58" s="342" t="str">
        <f>"FY"&amp;RIGHT(Assumptions!$L$19+I7,2)</f>
        <v>FY25</v>
      </c>
      <c r="J58" s="342" t="str">
        <f>"FY"&amp;RIGHT(Assumptions!$L$19+J7,2)</f>
        <v>FY26</v>
      </c>
      <c r="K58" s="344" t="str">
        <f>"FY"&amp;RIGHT(Assumptions!$L$19+K7,2)</f>
        <v>FY27</v>
      </c>
      <c r="L58" s="344" t="str">
        <f>"FY"&amp;RIGHT(Assumptions!$L$19+L7,2)</f>
        <v>FY28</v>
      </c>
      <c r="M58" s="344" t="str">
        <f>"FY"&amp;RIGHT(Assumptions!$L$19+M7,2)</f>
        <v>FY29</v>
      </c>
      <c r="N58" s="344" t="str">
        <f>"FY"&amp;RIGHT(Assumptions!$L$19+N7,2)</f>
        <v>FY30</v>
      </c>
      <c r="O58" s="344" t="str">
        <f>"FY"&amp;RIGHT(Assumptions!$L$19+O7,2)</f>
        <v>FY31</v>
      </c>
      <c r="P58" s="344" t="str">
        <f>"FY"&amp;RIGHT(Assumptions!$L$19+P7,2)</f>
        <v>FY32</v>
      </c>
      <c r="Q58" s="344" t="str">
        <f>"FY"&amp;RIGHT(Assumptions!$L$19+Q7,2)</f>
        <v>FY33</v>
      </c>
      <c r="R58" s="344" t="str">
        <f>"FY"&amp;RIGHT(Assumptions!$L$19+R7,2)</f>
        <v>FY34</v>
      </c>
      <c r="S58" s="344" t="str">
        <f>"FY"&amp;RIGHT(Assumptions!$L$19+S7,2)</f>
        <v>FY35</v>
      </c>
      <c r="T58" s="344" t="str">
        <f>"FY"&amp;RIGHT(Assumptions!$L$19+T7,2)</f>
        <v>FY36</v>
      </c>
      <c r="U58" s="344" t="str">
        <f>"FY"&amp;RIGHT(Assumptions!$L$19+U7,2)</f>
        <v>FY37</v>
      </c>
      <c r="V58" s="344" t="str">
        <f>"FY"&amp;RIGHT(Assumptions!$L$19+V7,2)</f>
        <v>FY38</v>
      </c>
      <c r="W58" s="344" t="str">
        <f>"FY"&amp;RIGHT(Assumptions!$L$19+W7,2)</f>
        <v>FY39</v>
      </c>
      <c r="X58" s="344" t="str">
        <f>"FY"&amp;RIGHT(Assumptions!$L$19+X7,2)</f>
        <v>FY40</v>
      </c>
      <c r="Y58" s="344" t="str">
        <f>"FY"&amp;RIGHT(Assumptions!$L$19+Y7,2)</f>
        <v>FY41</v>
      </c>
      <c r="Z58" s="344" t="str">
        <f>"FY"&amp;RIGHT(Assumptions!$L$19+Z7,2)</f>
        <v>FY42</v>
      </c>
      <c r="AA58" s="344" t="str">
        <f>"FY"&amp;RIGHT(Assumptions!$L$19+AA7,2)</f>
        <v>FY43</v>
      </c>
      <c r="AB58" s="344" t="str">
        <f>"FY"&amp;RIGHT(Assumptions!$L$19+AB7,2)</f>
        <v>FY44</v>
      </c>
      <c r="AC58" s="344" t="str">
        <f>"FY"&amp;RIGHT(Assumptions!$L$19+AC7,2)</f>
        <v>FY45</v>
      </c>
      <c r="AD58" s="344" t="str">
        <f>"FY"&amp;RIGHT(Assumptions!$L$19+AD7,2)</f>
        <v>FY46</v>
      </c>
      <c r="AE58" s="344" t="str">
        <f>"FY"&amp;RIGHT(Assumptions!$L$19+AE7,2)</f>
        <v>FY47</v>
      </c>
      <c r="AF58" s="344" t="str">
        <f>"FY"&amp;RIGHT(Assumptions!$L$19+AF7,2)</f>
        <v>FY48</v>
      </c>
      <c r="AG58" s="344" t="str">
        <f>"FY"&amp;RIGHT(Assumptions!$L$19+AG7,2)</f>
        <v>FY49</v>
      </c>
      <c r="AH58" s="344" t="str">
        <f>"FY"&amp;RIGHT(Assumptions!$L$19+AH7,2)</f>
        <v>FY50</v>
      </c>
      <c r="AI58" s="344" t="str">
        <f>"FY"&amp;RIGHT(Assumptions!$L$19+AI7,2)</f>
        <v>FY51</v>
      </c>
      <c r="AJ58" s="344" t="str">
        <f>"FY"&amp;RIGHT(Assumptions!$L$19+AJ7,2)</f>
        <v>FY52</v>
      </c>
      <c r="AK58" s="344" t="str">
        <f>"FY"&amp;RIGHT(Assumptions!$L$19+AK7,2)</f>
        <v>FY53</v>
      </c>
      <c r="AL58" s="344" t="str">
        <f>"FY"&amp;RIGHT(Assumptions!$L$19+AL7,2)</f>
        <v>FY54</v>
      </c>
      <c r="AM58" s="344" t="str">
        <f>"FY"&amp;RIGHT(Assumptions!$L$19+AM7,2)</f>
        <v>FY55</v>
      </c>
      <c r="AN58" s="344" t="str">
        <f>"FY"&amp;RIGHT(Assumptions!$L$19+AN7,2)</f>
        <v>FY56</v>
      </c>
      <c r="AO58" s="344" t="str">
        <f>"FY"&amp;RIGHT(Assumptions!$L$19+AO7,2)</f>
        <v>FY57</v>
      </c>
      <c r="AP58" s="344" t="str">
        <f>"FY"&amp;RIGHT(Assumptions!$L$19+AP7,2)</f>
        <v>FY58</v>
      </c>
      <c r="AQ58" s="344" t="str">
        <f>"FY"&amp;RIGHT(Assumptions!$L$19+AQ7,2)</f>
        <v>FY59</v>
      </c>
      <c r="AR58" s="344" t="str">
        <f>"FY"&amp;RIGHT(Assumptions!$L$19+AR7,2)</f>
        <v>FY60</v>
      </c>
      <c r="AS58" s="344" t="str">
        <f>"FY"&amp;RIGHT(Assumptions!$L$19+AS7,2)</f>
        <v>FY61</v>
      </c>
      <c r="AT58" s="344" t="str">
        <f>"FY"&amp;RIGHT(Assumptions!$L$19+AT7,2)</f>
        <v>FY62</v>
      </c>
      <c r="AU58" s="344" t="str">
        <f>"FY"&amp;RIGHT(Assumptions!$L$19+AU7,2)</f>
        <v>FY63</v>
      </c>
      <c r="AV58" s="344" t="str">
        <f>"FY"&amp;RIGHT(Assumptions!$L$19+AV7,2)</f>
        <v>FY64</v>
      </c>
      <c r="AW58" s="344" t="str">
        <f>"FY"&amp;RIGHT(Assumptions!$L$19+AW7,2)</f>
        <v>FY65</v>
      </c>
      <c r="AX58" s="344" t="str">
        <f>"FY"&amp;RIGHT(Assumptions!$L$19+AX7,2)</f>
        <v>FY66</v>
      </c>
      <c r="AY58" s="344" t="str">
        <f>"FY"&amp;RIGHT(Assumptions!$L$19+AY7,2)</f>
        <v>FY67</v>
      </c>
      <c r="AZ58" s="344" t="str">
        <f>"FY"&amp;RIGHT(Assumptions!$L$19+AZ7,2)</f>
        <v>FY68</v>
      </c>
      <c r="BA58" s="344" t="str">
        <f>"FY"&amp;RIGHT(Assumptions!$L$19+BA7,2)</f>
        <v>FY69</v>
      </c>
      <c r="BB58" s="344" t="str">
        <f>"FY"&amp;RIGHT(Assumptions!$L$19+BB7,2)</f>
        <v>FY70</v>
      </c>
      <c r="BC58" s="344" t="str">
        <f>"FY"&amp;RIGHT(Assumptions!$L$19+BC7,2)</f>
        <v>FY71</v>
      </c>
      <c r="BD58" s="344" t="str">
        <f>"FY"&amp;RIGHT(Assumptions!$L$19+BD7,2)</f>
        <v>FY72</v>
      </c>
    </row>
    <row r="59" spans="3:56" ht="14.25" customHeight="1" x14ac:dyDescent="0.2">
      <c r="D59" s="373" t="s">
        <v>99</v>
      </c>
      <c r="E59" s="381">
        <f ca="1">SUM(F59:J59)</f>
        <v>0</v>
      </c>
      <c r="F59" s="324">
        <f ca="1">SUMIF(Input!$D$220:$BP$260,Output_tables!$D59,Input!R$220:R$260)</f>
        <v>0</v>
      </c>
      <c r="G59" s="324">
        <f ca="1">SUMIF(Input!$D$220:$BP$260,Output_tables!$D59,Input!S$220:S$260)</f>
        <v>0</v>
      </c>
      <c r="H59" s="324">
        <f ca="1">SUMIF(Input!$D$220:$BP$260,Output_tables!$D59,Input!T$220:T$260)</f>
        <v>0</v>
      </c>
      <c r="I59" s="324">
        <f ca="1">SUMIF(Input!$D$220:$BP$260,Output_tables!$D59,Input!U$220:U$260)</f>
        <v>0</v>
      </c>
      <c r="J59" s="324">
        <f ca="1">SUMIF(Input!$D$220:$BP$260,Output_tables!$D59,Input!V$220:V$260)</f>
        <v>0</v>
      </c>
      <c r="K59" s="345">
        <f ca="1">SUMIF(Input!$D$220:$BP$260,Output_tables!$D59,Input!W$220:W$260)</f>
        <v>0</v>
      </c>
      <c r="L59" s="345">
        <f ca="1">SUMIF(Input!$D$220:$BP$260,Output_tables!$D59,Input!X$220:X$260)</f>
        <v>0</v>
      </c>
      <c r="M59" s="345">
        <f ca="1">SUMIF(Input!$D$220:$BP$260,Output_tables!$D59,Input!Y$220:Y$260)</f>
        <v>0</v>
      </c>
      <c r="N59" s="345">
        <f ca="1">SUMIF(Input!$D$220:$BP$260,Output_tables!$D59,Input!Z$220:Z$260)</f>
        <v>0</v>
      </c>
      <c r="O59" s="345">
        <f ca="1">SUMIF(Input!$D$220:$BP$260,Output_tables!$D59,Input!AA$220:AA$260)</f>
        <v>0</v>
      </c>
      <c r="P59" s="345">
        <f ca="1">SUMIF(Input!$D$220:$BP$260,Output_tables!$D59,Input!AB$220:AB$260)</f>
        <v>0</v>
      </c>
      <c r="Q59" s="345">
        <f ca="1">SUMIF(Input!$D$220:$BP$260,Output_tables!$D59,Input!AC$220:AC$260)</f>
        <v>0</v>
      </c>
      <c r="R59" s="345">
        <f ca="1">SUMIF(Input!$D$220:$BP$260,Output_tables!$D59,Input!AD$220:AD$260)</f>
        <v>0</v>
      </c>
      <c r="S59" s="345">
        <f ca="1">SUMIF(Input!$D$220:$BP$260,Output_tables!$D59,Input!AE$220:AE$260)</f>
        <v>0</v>
      </c>
      <c r="T59" s="345">
        <f ca="1">SUMIF(Input!$D$220:$BP$260,Output_tables!$D59,Input!AF$220:AF$260)</f>
        <v>0</v>
      </c>
      <c r="U59" s="345">
        <f ca="1">SUMIF(Input!$D$220:$BP$260,Output_tables!$D59,Input!AG$220:AG$260)</f>
        <v>0</v>
      </c>
      <c r="V59" s="345">
        <f ca="1">SUMIF(Input!$D$220:$BP$260,Output_tables!$D59,Input!AH$220:AH$260)</f>
        <v>0</v>
      </c>
      <c r="W59" s="345">
        <f ca="1">SUMIF(Input!$D$220:$BP$260,Output_tables!$D59,Input!AI$220:AI$260)</f>
        <v>0</v>
      </c>
      <c r="X59" s="345">
        <f ca="1">SUMIF(Input!$D$220:$BP$260,Output_tables!$D59,Input!AJ$220:AJ$260)</f>
        <v>0</v>
      </c>
      <c r="Y59" s="345">
        <f ca="1">SUMIF(Input!$D$220:$BP$260,Output_tables!$D59,Input!AK$220:AK$260)</f>
        <v>0</v>
      </c>
      <c r="Z59" s="345">
        <f ca="1">SUMIF(Input!$D$220:$BP$260,Output_tables!$D59,Input!AL$220:AL$260)</f>
        <v>0</v>
      </c>
      <c r="AA59" s="345">
        <f ca="1">SUMIF(Input!$D$220:$BP$260,Output_tables!$D59,Input!AM$220:AM$260)</f>
        <v>0</v>
      </c>
      <c r="AB59" s="345">
        <f ca="1">SUMIF(Input!$D$220:$BP$260,Output_tables!$D59,Input!AN$220:AN$260)</f>
        <v>0</v>
      </c>
      <c r="AC59" s="345">
        <f ca="1">SUMIF(Input!$D$220:$BP$260,Output_tables!$D59,Input!AO$220:AO$260)</f>
        <v>0</v>
      </c>
      <c r="AD59" s="345">
        <f ca="1">SUMIF(Input!$D$220:$BP$260,Output_tables!$D59,Input!AP$220:AP$260)</f>
        <v>0</v>
      </c>
      <c r="AE59" s="345">
        <f ca="1">SUMIF(Input!$D$220:$BP$260,Output_tables!$D59,Input!AQ$220:AQ$260)</f>
        <v>0</v>
      </c>
      <c r="AF59" s="345">
        <f ca="1">SUMIF(Input!$D$220:$BP$260,Output_tables!$D59,Input!AR$220:AR$260)</f>
        <v>0</v>
      </c>
      <c r="AG59" s="345">
        <f ca="1">SUMIF(Input!$D$220:$BP$260,Output_tables!$D59,Input!AS$220:AS$260)</f>
        <v>0</v>
      </c>
      <c r="AH59" s="345">
        <f ca="1">SUMIF(Input!$D$220:$BP$260,Output_tables!$D59,Input!AT$220:AT$260)</f>
        <v>0</v>
      </c>
      <c r="AI59" s="345">
        <f ca="1">SUMIF(Input!$D$220:$BP$260,Output_tables!$D59,Input!AU$220:AU$260)</f>
        <v>0</v>
      </c>
      <c r="AJ59" s="345">
        <f ca="1">SUMIF(Input!$D$220:$BP$260,Output_tables!$D59,Input!AV$220:AV$260)</f>
        <v>0</v>
      </c>
      <c r="AK59" s="345">
        <f ca="1">SUMIF(Input!$D$220:$BP$260,Output_tables!$D59,Input!AW$220:AW$260)</f>
        <v>0</v>
      </c>
      <c r="AL59" s="345">
        <f ca="1">SUMIF(Input!$D$220:$BP$260,Output_tables!$D59,Input!AX$220:AX$260)</f>
        <v>0</v>
      </c>
      <c r="AM59" s="345">
        <f ca="1">SUMIF(Input!$D$220:$BP$260,Output_tables!$D59,Input!AY$220:AY$260)</f>
        <v>0</v>
      </c>
      <c r="AN59" s="345">
        <f ca="1">SUMIF(Input!$D$220:$BP$260,Output_tables!$D59,Input!AZ$220:AZ$260)</f>
        <v>0</v>
      </c>
      <c r="AO59" s="345">
        <f ca="1">SUMIF(Input!$D$220:$BP$260,Output_tables!$D59,Input!BA$220:BA$260)</f>
        <v>0</v>
      </c>
      <c r="AP59" s="345">
        <f ca="1">SUMIF(Input!$D$220:$BP$260,Output_tables!$D59,Input!BB$220:BB$260)</f>
        <v>0</v>
      </c>
      <c r="AQ59" s="345">
        <f ca="1">SUMIF(Input!$D$220:$BP$260,Output_tables!$D59,Input!BC$220:BC$260)</f>
        <v>0</v>
      </c>
      <c r="AR59" s="345">
        <f ca="1">SUMIF(Input!$D$220:$BP$260,Output_tables!$D59,Input!BD$220:BD$260)</f>
        <v>0</v>
      </c>
      <c r="AS59" s="345">
        <f ca="1">SUMIF(Input!$D$220:$BP$260,Output_tables!$D59,Input!BE$220:BE$260)</f>
        <v>0</v>
      </c>
      <c r="AT59" s="345">
        <f ca="1">SUMIF(Input!$D$220:$BP$260,Output_tables!$D59,Input!BF$220:BF$260)</f>
        <v>0</v>
      </c>
      <c r="AU59" s="345">
        <f ca="1">SUMIF(Input!$D$220:$BP$260,Output_tables!$D59,Input!BG$220:BG$260)</f>
        <v>0</v>
      </c>
      <c r="AV59" s="345">
        <f ca="1">SUMIF(Input!$D$220:$BP$260,Output_tables!$D59,Input!BH$220:BH$260)</f>
        <v>0</v>
      </c>
      <c r="AW59" s="345">
        <f ca="1">SUMIF(Input!$D$220:$BP$260,Output_tables!$D59,Input!BI$220:BI$260)</f>
        <v>0</v>
      </c>
      <c r="AX59" s="345">
        <f ca="1">SUMIF(Input!$D$220:$BP$260,Output_tables!$D59,Input!BJ$220:BJ$260)</f>
        <v>0</v>
      </c>
      <c r="AY59" s="345">
        <f ca="1">SUMIF(Input!$D$220:$BP$260,Output_tables!$D59,Input!BK$220:BK$260)</f>
        <v>0</v>
      </c>
      <c r="AZ59" s="345">
        <f ca="1">SUMIF(Input!$D$220:$BP$260,Output_tables!$D59,Input!BL$220:BL$260)</f>
        <v>0</v>
      </c>
      <c r="BA59" s="345">
        <f ca="1">SUMIF(Input!$D$220:$BP$260,Output_tables!$D59,Input!BM$220:BM$260)</f>
        <v>0</v>
      </c>
      <c r="BB59" s="345">
        <f ca="1">SUMIF(Input!$D$220:$BP$260,Output_tables!$D59,Input!BN$220:BN$260)</f>
        <v>0</v>
      </c>
      <c r="BC59" s="345">
        <f ca="1">SUMIF(Input!$D$220:$BP$260,Output_tables!$D59,Input!BO$220:BO$260)</f>
        <v>0</v>
      </c>
      <c r="BD59" s="345">
        <f ca="1">SUMIF(Input!$D$220:$BP$260,Output_tables!$D59,Input!BP$220:BP$260)</f>
        <v>0</v>
      </c>
    </row>
    <row r="60" spans="3:56" ht="14.25" customHeight="1" x14ac:dyDescent="0.2">
      <c r="D60" s="373" t="s">
        <v>100</v>
      </c>
      <c r="E60" s="381">
        <f t="shared" ref="E60:E67" ca="1" si="9">SUM(F60:J60)</f>
        <v>0</v>
      </c>
      <c r="F60" s="324">
        <f ca="1">SUMIF(Input!$D$220:$BP$260,Output_tables!$D60,Input!R$220:R$260)</f>
        <v>0</v>
      </c>
      <c r="G60" s="324">
        <f ca="1">SUMIF(Input!$D$220:$BP$260,Output_tables!$D60,Input!S$220:S$260)</f>
        <v>0</v>
      </c>
      <c r="H60" s="324">
        <f ca="1">SUMIF(Input!$D$220:$BP$260,Output_tables!$D60,Input!T$220:T$260)</f>
        <v>0</v>
      </c>
      <c r="I60" s="324">
        <f ca="1">SUMIF(Input!$D$220:$BP$260,Output_tables!$D60,Input!U$220:U$260)</f>
        <v>0</v>
      </c>
      <c r="J60" s="324">
        <f ca="1">SUMIF(Input!$D$220:$BP$260,Output_tables!$D60,Input!V$220:V$260)</f>
        <v>0</v>
      </c>
      <c r="K60" s="345">
        <f ca="1">SUMIF(Input!$D$220:$BP$260,Output_tables!$D60,Input!W$220:W$260)</f>
        <v>0</v>
      </c>
      <c r="L60" s="345">
        <f ca="1">SUMIF(Input!$D$220:$BP$260,Output_tables!$D60,Input!X$220:X$260)</f>
        <v>0</v>
      </c>
      <c r="M60" s="345">
        <f ca="1">SUMIF(Input!$D$220:$BP$260,Output_tables!$D60,Input!Y$220:Y$260)</f>
        <v>0</v>
      </c>
      <c r="N60" s="345">
        <f ca="1">SUMIF(Input!$D$220:$BP$260,Output_tables!$D60,Input!Z$220:Z$260)</f>
        <v>0</v>
      </c>
      <c r="O60" s="345">
        <f ca="1">SUMIF(Input!$D$220:$BP$260,Output_tables!$D60,Input!AA$220:AA$260)</f>
        <v>0</v>
      </c>
      <c r="P60" s="345">
        <f ca="1">SUMIF(Input!$D$220:$BP$260,Output_tables!$D60,Input!AB$220:AB$260)</f>
        <v>0</v>
      </c>
      <c r="Q60" s="345">
        <f ca="1">SUMIF(Input!$D$220:$BP$260,Output_tables!$D60,Input!AC$220:AC$260)</f>
        <v>0</v>
      </c>
      <c r="R60" s="345">
        <f ca="1">SUMIF(Input!$D$220:$BP$260,Output_tables!$D60,Input!AD$220:AD$260)</f>
        <v>0</v>
      </c>
      <c r="S60" s="345">
        <f ca="1">SUMIF(Input!$D$220:$BP$260,Output_tables!$D60,Input!AE$220:AE$260)</f>
        <v>0</v>
      </c>
      <c r="T60" s="345">
        <f ca="1">SUMIF(Input!$D$220:$BP$260,Output_tables!$D60,Input!AF$220:AF$260)</f>
        <v>0</v>
      </c>
      <c r="U60" s="345">
        <f ca="1">SUMIF(Input!$D$220:$BP$260,Output_tables!$D60,Input!AG$220:AG$260)</f>
        <v>0</v>
      </c>
      <c r="V60" s="345">
        <f ca="1">SUMIF(Input!$D$220:$BP$260,Output_tables!$D60,Input!AH$220:AH$260)</f>
        <v>0</v>
      </c>
      <c r="W60" s="345">
        <f ca="1">SUMIF(Input!$D$220:$BP$260,Output_tables!$D60,Input!AI$220:AI$260)</f>
        <v>0</v>
      </c>
      <c r="X60" s="345">
        <f ca="1">SUMIF(Input!$D$220:$BP$260,Output_tables!$D60,Input!AJ$220:AJ$260)</f>
        <v>0</v>
      </c>
      <c r="Y60" s="345">
        <f ca="1">SUMIF(Input!$D$220:$BP$260,Output_tables!$D60,Input!AK$220:AK$260)</f>
        <v>0</v>
      </c>
      <c r="Z60" s="345">
        <f ca="1">SUMIF(Input!$D$220:$BP$260,Output_tables!$D60,Input!AL$220:AL$260)</f>
        <v>0</v>
      </c>
      <c r="AA60" s="345">
        <f ca="1">SUMIF(Input!$D$220:$BP$260,Output_tables!$D60,Input!AM$220:AM$260)</f>
        <v>0</v>
      </c>
      <c r="AB60" s="345">
        <f ca="1">SUMIF(Input!$D$220:$BP$260,Output_tables!$D60,Input!AN$220:AN$260)</f>
        <v>0</v>
      </c>
      <c r="AC60" s="345">
        <f ca="1">SUMIF(Input!$D$220:$BP$260,Output_tables!$D60,Input!AO$220:AO$260)</f>
        <v>0</v>
      </c>
      <c r="AD60" s="345">
        <f ca="1">SUMIF(Input!$D$220:$BP$260,Output_tables!$D60,Input!AP$220:AP$260)</f>
        <v>0</v>
      </c>
      <c r="AE60" s="345">
        <f ca="1">SUMIF(Input!$D$220:$BP$260,Output_tables!$D60,Input!AQ$220:AQ$260)</f>
        <v>0</v>
      </c>
      <c r="AF60" s="345">
        <f ca="1">SUMIF(Input!$D$220:$BP$260,Output_tables!$D60,Input!AR$220:AR$260)</f>
        <v>0</v>
      </c>
      <c r="AG60" s="345">
        <f ca="1">SUMIF(Input!$D$220:$BP$260,Output_tables!$D60,Input!AS$220:AS$260)</f>
        <v>0</v>
      </c>
      <c r="AH60" s="345">
        <f ca="1">SUMIF(Input!$D$220:$BP$260,Output_tables!$D60,Input!AT$220:AT$260)</f>
        <v>0</v>
      </c>
      <c r="AI60" s="345">
        <f ca="1">SUMIF(Input!$D$220:$BP$260,Output_tables!$D60,Input!AU$220:AU$260)</f>
        <v>0</v>
      </c>
      <c r="AJ60" s="345">
        <f ca="1">SUMIF(Input!$D$220:$BP$260,Output_tables!$D60,Input!AV$220:AV$260)</f>
        <v>0</v>
      </c>
      <c r="AK60" s="345">
        <f ca="1">SUMIF(Input!$D$220:$BP$260,Output_tables!$D60,Input!AW$220:AW$260)</f>
        <v>0</v>
      </c>
      <c r="AL60" s="345">
        <f ca="1">SUMIF(Input!$D$220:$BP$260,Output_tables!$D60,Input!AX$220:AX$260)</f>
        <v>0</v>
      </c>
      <c r="AM60" s="345">
        <f ca="1">SUMIF(Input!$D$220:$BP$260,Output_tables!$D60,Input!AY$220:AY$260)</f>
        <v>0</v>
      </c>
      <c r="AN60" s="345">
        <f ca="1">SUMIF(Input!$D$220:$BP$260,Output_tables!$D60,Input!AZ$220:AZ$260)</f>
        <v>0</v>
      </c>
      <c r="AO60" s="345">
        <f ca="1">SUMIF(Input!$D$220:$BP$260,Output_tables!$D60,Input!BA$220:BA$260)</f>
        <v>0</v>
      </c>
      <c r="AP60" s="345">
        <f ca="1">SUMIF(Input!$D$220:$BP$260,Output_tables!$D60,Input!BB$220:BB$260)</f>
        <v>0</v>
      </c>
      <c r="AQ60" s="345">
        <f ca="1">SUMIF(Input!$D$220:$BP$260,Output_tables!$D60,Input!BC$220:BC$260)</f>
        <v>0</v>
      </c>
      <c r="AR60" s="345">
        <f ca="1">SUMIF(Input!$D$220:$BP$260,Output_tables!$D60,Input!BD$220:BD$260)</f>
        <v>0</v>
      </c>
      <c r="AS60" s="345">
        <f ca="1">SUMIF(Input!$D$220:$BP$260,Output_tables!$D60,Input!BE$220:BE$260)</f>
        <v>0</v>
      </c>
      <c r="AT60" s="345">
        <f ca="1">SUMIF(Input!$D$220:$BP$260,Output_tables!$D60,Input!BF$220:BF$260)</f>
        <v>0</v>
      </c>
      <c r="AU60" s="345">
        <f ca="1">SUMIF(Input!$D$220:$BP$260,Output_tables!$D60,Input!BG$220:BG$260)</f>
        <v>0</v>
      </c>
      <c r="AV60" s="345">
        <f ca="1">SUMIF(Input!$D$220:$BP$260,Output_tables!$D60,Input!BH$220:BH$260)</f>
        <v>0</v>
      </c>
      <c r="AW60" s="345">
        <f ca="1">SUMIF(Input!$D$220:$BP$260,Output_tables!$D60,Input!BI$220:BI$260)</f>
        <v>0</v>
      </c>
      <c r="AX60" s="345">
        <f ca="1">SUMIF(Input!$D$220:$BP$260,Output_tables!$D60,Input!BJ$220:BJ$260)</f>
        <v>0</v>
      </c>
      <c r="AY60" s="345">
        <f ca="1">SUMIF(Input!$D$220:$BP$260,Output_tables!$D60,Input!BK$220:BK$260)</f>
        <v>0</v>
      </c>
      <c r="AZ60" s="345">
        <f ca="1">SUMIF(Input!$D$220:$BP$260,Output_tables!$D60,Input!BL$220:BL$260)</f>
        <v>0</v>
      </c>
      <c r="BA60" s="345">
        <f ca="1">SUMIF(Input!$D$220:$BP$260,Output_tables!$D60,Input!BM$220:BM$260)</f>
        <v>0</v>
      </c>
      <c r="BB60" s="345">
        <f ca="1">SUMIF(Input!$D$220:$BP$260,Output_tables!$D60,Input!BN$220:BN$260)</f>
        <v>0</v>
      </c>
      <c r="BC60" s="345">
        <f ca="1">SUMIF(Input!$D$220:$BP$260,Output_tables!$D60,Input!BO$220:BO$260)</f>
        <v>0</v>
      </c>
      <c r="BD60" s="345">
        <f ca="1">SUMIF(Input!$D$220:$BP$260,Output_tables!$D60,Input!BP$220:BP$260)</f>
        <v>0</v>
      </c>
    </row>
    <row r="61" spans="3:56" ht="14.25" customHeight="1" x14ac:dyDescent="0.2">
      <c r="D61" s="373" t="s">
        <v>101</v>
      </c>
      <c r="E61" s="381">
        <f t="shared" ca="1" si="9"/>
        <v>0</v>
      </c>
      <c r="F61" s="324">
        <f ca="1">SUMIF(Input!$D$220:$BP$260,Output_tables!$D61,Input!R$220:R$260)</f>
        <v>0</v>
      </c>
      <c r="G61" s="324">
        <f ca="1">SUMIF(Input!$D$220:$BP$260,Output_tables!$D61,Input!S$220:S$260)</f>
        <v>0</v>
      </c>
      <c r="H61" s="324">
        <f ca="1">SUMIF(Input!$D$220:$BP$260,Output_tables!$D61,Input!T$220:T$260)</f>
        <v>0</v>
      </c>
      <c r="I61" s="324">
        <f ca="1">SUMIF(Input!$D$220:$BP$260,Output_tables!$D61,Input!U$220:U$260)</f>
        <v>0</v>
      </c>
      <c r="J61" s="324">
        <f ca="1">SUMIF(Input!$D$220:$BP$260,Output_tables!$D61,Input!V$220:V$260)</f>
        <v>0</v>
      </c>
      <c r="K61" s="345">
        <f ca="1">SUMIF(Input!$D$220:$BP$260,Output_tables!$D61,Input!W$220:W$260)</f>
        <v>0</v>
      </c>
      <c r="L61" s="345">
        <f ca="1">SUMIF(Input!$D$220:$BP$260,Output_tables!$D61,Input!X$220:X$260)</f>
        <v>0</v>
      </c>
      <c r="M61" s="345">
        <f ca="1">SUMIF(Input!$D$220:$BP$260,Output_tables!$D61,Input!Y$220:Y$260)</f>
        <v>0</v>
      </c>
      <c r="N61" s="345">
        <f ca="1">SUMIF(Input!$D$220:$BP$260,Output_tables!$D61,Input!Z$220:Z$260)</f>
        <v>0</v>
      </c>
      <c r="O61" s="345">
        <f ca="1">SUMIF(Input!$D$220:$BP$260,Output_tables!$D61,Input!AA$220:AA$260)</f>
        <v>0</v>
      </c>
      <c r="P61" s="345">
        <f ca="1">SUMIF(Input!$D$220:$BP$260,Output_tables!$D61,Input!AB$220:AB$260)</f>
        <v>0</v>
      </c>
      <c r="Q61" s="345">
        <f ca="1">SUMIF(Input!$D$220:$BP$260,Output_tables!$D61,Input!AC$220:AC$260)</f>
        <v>0</v>
      </c>
      <c r="R61" s="345">
        <f ca="1">SUMIF(Input!$D$220:$BP$260,Output_tables!$D61,Input!AD$220:AD$260)</f>
        <v>0</v>
      </c>
      <c r="S61" s="345">
        <f ca="1">SUMIF(Input!$D$220:$BP$260,Output_tables!$D61,Input!AE$220:AE$260)</f>
        <v>0</v>
      </c>
      <c r="T61" s="345">
        <f ca="1">SUMIF(Input!$D$220:$BP$260,Output_tables!$D61,Input!AF$220:AF$260)</f>
        <v>0</v>
      </c>
      <c r="U61" s="345">
        <f ca="1">SUMIF(Input!$D$220:$BP$260,Output_tables!$D61,Input!AG$220:AG$260)</f>
        <v>0</v>
      </c>
      <c r="V61" s="345">
        <f ca="1">SUMIF(Input!$D$220:$BP$260,Output_tables!$D61,Input!AH$220:AH$260)</f>
        <v>0</v>
      </c>
      <c r="W61" s="345">
        <f ca="1">SUMIF(Input!$D$220:$BP$260,Output_tables!$D61,Input!AI$220:AI$260)</f>
        <v>0</v>
      </c>
      <c r="X61" s="345">
        <f ca="1">SUMIF(Input!$D$220:$BP$260,Output_tables!$D61,Input!AJ$220:AJ$260)</f>
        <v>0</v>
      </c>
      <c r="Y61" s="345">
        <f ca="1">SUMIF(Input!$D$220:$BP$260,Output_tables!$D61,Input!AK$220:AK$260)</f>
        <v>0</v>
      </c>
      <c r="Z61" s="345">
        <f ca="1">SUMIF(Input!$D$220:$BP$260,Output_tables!$D61,Input!AL$220:AL$260)</f>
        <v>0</v>
      </c>
      <c r="AA61" s="345">
        <f ca="1">SUMIF(Input!$D$220:$BP$260,Output_tables!$D61,Input!AM$220:AM$260)</f>
        <v>0</v>
      </c>
      <c r="AB61" s="345">
        <f ca="1">SUMIF(Input!$D$220:$BP$260,Output_tables!$D61,Input!AN$220:AN$260)</f>
        <v>0</v>
      </c>
      <c r="AC61" s="345">
        <f ca="1">SUMIF(Input!$D$220:$BP$260,Output_tables!$D61,Input!AO$220:AO$260)</f>
        <v>0</v>
      </c>
      <c r="AD61" s="345">
        <f ca="1">SUMIF(Input!$D$220:$BP$260,Output_tables!$D61,Input!AP$220:AP$260)</f>
        <v>0</v>
      </c>
      <c r="AE61" s="345">
        <f ca="1">SUMIF(Input!$D$220:$BP$260,Output_tables!$D61,Input!AQ$220:AQ$260)</f>
        <v>0</v>
      </c>
      <c r="AF61" s="345">
        <f ca="1">SUMIF(Input!$D$220:$BP$260,Output_tables!$D61,Input!AR$220:AR$260)</f>
        <v>0</v>
      </c>
      <c r="AG61" s="345">
        <f ca="1">SUMIF(Input!$D$220:$BP$260,Output_tables!$D61,Input!AS$220:AS$260)</f>
        <v>0</v>
      </c>
      <c r="AH61" s="345">
        <f ca="1">SUMIF(Input!$D$220:$BP$260,Output_tables!$D61,Input!AT$220:AT$260)</f>
        <v>0</v>
      </c>
      <c r="AI61" s="345">
        <f ca="1">SUMIF(Input!$D$220:$BP$260,Output_tables!$D61,Input!AU$220:AU$260)</f>
        <v>0</v>
      </c>
      <c r="AJ61" s="345">
        <f ca="1">SUMIF(Input!$D$220:$BP$260,Output_tables!$D61,Input!AV$220:AV$260)</f>
        <v>0</v>
      </c>
      <c r="AK61" s="345">
        <f ca="1">SUMIF(Input!$D$220:$BP$260,Output_tables!$D61,Input!AW$220:AW$260)</f>
        <v>0</v>
      </c>
      <c r="AL61" s="345">
        <f ca="1">SUMIF(Input!$D$220:$BP$260,Output_tables!$D61,Input!AX$220:AX$260)</f>
        <v>0</v>
      </c>
      <c r="AM61" s="345">
        <f ca="1">SUMIF(Input!$D$220:$BP$260,Output_tables!$D61,Input!AY$220:AY$260)</f>
        <v>0</v>
      </c>
      <c r="AN61" s="345">
        <f ca="1">SUMIF(Input!$D$220:$BP$260,Output_tables!$D61,Input!AZ$220:AZ$260)</f>
        <v>0</v>
      </c>
      <c r="AO61" s="345">
        <f ca="1">SUMIF(Input!$D$220:$BP$260,Output_tables!$D61,Input!BA$220:BA$260)</f>
        <v>0</v>
      </c>
      <c r="AP61" s="345">
        <f ca="1">SUMIF(Input!$D$220:$BP$260,Output_tables!$D61,Input!BB$220:BB$260)</f>
        <v>0</v>
      </c>
      <c r="AQ61" s="345">
        <f ca="1">SUMIF(Input!$D$220:$BP$260,Output_tables!$D61,Input!BC$220:BC$260)</f>
        <v>0</v>
      </c>
      <c r="AR61" s="345">
        <f ca="1">SUMIF(Input!$D$220:$BP$260,Output_tables!$D61,Input!BD$220:BD$260)</f>
        <v>0</v>
      </c>
      <c r="AS61" s="345">
        <f ca="1">SUMIF(Input!$D$220:$BP$260,Output_tables!$D61,Input!BE$220:BE$260)</f>
        <v>0</v>
      </c>
      <c r="AT61" s="345">
        <f ca="1">SUMIF(Input!$D$220:$BP$260,Output_tables!$D61,Input!BF$220:BF$260)</f>
        <v>0</v>
      </c>
      <c r="AU61" s="345">
        <f ca="1">SUMIF(Input!$D$220:$BP$260,Output_tables!$D61,Input!BG$220:BG$260)</f>
        <v>0</v>
      </c>
      <c r="AV61" s="345">
        <f ca="1">SUMIF(Input!$D$220:$BP$260,Output_tables!$D61,Input!BH$220:BH$260)</f>
        <v>0</v>
      </c>
      <c r="AW61" s="345">
        <f ca="1">SUMIF(Input!$D$220:$BP$260,Output_tables!$D61,Input!BI$220:BI$260)</f>
        <v>0</v>
      </c>
      <c r="AX61" s="345">
        <f ca="1">SUMIF(Input!$D$220:$BP$260,Output_tables!$D61,Input!BJ$220:BJ$260)</f>
        <v>0</v>
      </c>
      <c r="AY61" s="345">
        <f ca="1">SUMIF(Input!$D$220:$BP$260,Output_tables!$D61,Input!BK$220:BK$260)</f>
        <v>0</v>
      </c>
      <c r="AZ61" s="345">
        <f ca="1">SUMIF(Input!$D$220:$BP$260,Output_tables!$D61,Input!BL$220:BL$260)</f>
        <v>0</v>
      </c>
      <c r="BA61" s="345">
        <f ca="1">SUMIF(Input!$D$220:$BP$260,Output_tables!$D61,Input!BM$220:BM$260)</f>
        <v>0</v>
      </c>
      <c r="BB61" s="345">
        <f ca="1">SUMIF(Input!$D$220:$BP$260,Output_tables!$D61,Input!BN$220:BN$260)</f>
        <v>0</v>
      </c>
      <c r="BC61" s="345">
        <f ca="1">SUMIF(Input!$D$220:$BP$260,Output_tables!$D61,Input!BO$220:BO$260)</f>
        <v>0</v>
      </c>
      <c r="BD61" s="345">
        <f ca="1">SUMIF(Input!$D$220:$BP$260,Output_tables!$D61,Input!BP$220:BP$260)</f>
        <v>0</v>
      </c>
    </row>
    <row r="62" spans="3:56" ht="14.25" customHeight="1" x14ac:dyDescent="0.2">
      <c r="D62" s="373" t="s">
        <v>102</v>
      </c>
      <c r="E62" s="381">
        <f t="shared" ca="1" si="9"/>
        <v>0</v>
      </c>
      <c r="F62" s="324">
        <f ca="1">SUMIF(Input!$D$220:$BP$260,Output_tables!$D62,Input!R$220:R$260)</f>
        <v>0</v>
      </c>
      <c r="G62" s="324">
        <f ca="1">SUMIF(Input!$D$220:$BP$260,Output_tables!$D62,Input!S$220:S$260)</f>
        <v>0</v>
      </c>
      <c r="H62" s="324">
        <f ca="1">SUMIF(Input!$D$220:$BP$260,Output_tables!$D62,Input!T$220:T$260)</f>
        <v>0</v>
      </c>
      <c r="I62" s="324">
        <f ca="1">SUMIF(Input!$D$220:$BP$260,Output_tables!$D62,Input!U$220:U$260)</f>
        <v>0</v>
      </c>
      <c r="J62" s="324">
        <f ca="1">SUMIF(Input!$D$220:$BP$260,Output_tables!$D62,Input!V$220:V$260)</f>
        <v>0</v>
      </c>
      <c r="K62" s="345">
        <f ca="1">SUMIF(Input!$D$220:$BP$260,Output_tables!$D62,Input!W$220:W$260)</f>
        <v>0</v>
      </c>
      <c r="L62" s="345">
        <f ca="1">SUMIF(Input!$D$220:$BP$260,Output_tables!$D62,Input!X$220:X$260)</f>
        <v>0</v>
      </c>
      <c r="M62" s="345">
        <f ca="1">SUMIF(Input!$D$220:$BP$260,Output_tables!$D62,Input!Y$220:Y$260)</f>
        <v>0</v>
      </c>
      <c r="N62" s="345">
        <f ca="1">SUMIF(Input!$D$220:$BP$260,Output_tables!$D62,Input!Z$220:Z$260)</f>
        <v>0</v>
      </c>
      <c r="O62" s="345">
        <f ca="1">SUMIF(Input!$D$220:$BP$260,Output_tables!$D62,Input!AA$220:AA$260)</f>
        <v>0</v>
      </c>
      <c r="P62" s="345">
        <f ca="1">SUMIF(Input!$D$220:$BP$260,Output_tables!$D62,Input!AB$220:AB$260)</f>
        <v>0</v>
      </c>
      <c r="Q62" s="345">
        <f ca="1">SUMIF(Input!$D$220:$BP$260,Output_tables!$D62,Input!AC$220:AC$260)</f>
        <v>0</v>
      </c>
      <c r="R62" s="345">
        <f ca="1">SUMIF(Input!$D$220:$BP$260,Output_tables!$D62,Input!AD$220:AD$260)</f>
        <v>0</v>
      </c>
      <c r="S62" s="345">
        <f ca="1">SUMIF(Input!$D$220:$BP$260,Output_tables!$D62,Input!AE$220:AE$260)</f>
        <v>0</v>
      </c>
      <c r="T62" s="345">
        <f ca="1">SUMIF(Input!$D$220:$BP$260,Output_tables!$D62,Input!AF$220:AF$260)</f>
        <v>0</v>
      </c>
      <c r="U62" s="345">
        <f ca="1">SUMIF(Input!$D$220:$BP$260,Output_tables!$D62,Input!AG$220:AG$260)</f>
        <v>0</v>
      </c>
      <c r="V62" s="345">
        <f ca="1">SUMIF(Input!$D$220:$BP$260,Output_tables!$D62,Input!AH$220:AH$260)</f>
        <v>0</v>
      </c>
      <c r="W62" s="345">
        <f ca="1">SUMIF(Input!$D$220:$BP$260,Output_tables!$D62,Input!AI$220:AI$260)</f>
        <v>0</v>
      </c>
      <c r="X62" s="345">
        <f ca="1">SUMIF(Input!$D$220:$BP$260,Output_tables!$D62,Input!AJ$220:AJ$260)</f>
        <v>0</v>
      </c>
      <c r="Y62" s="345">
        <f ca="1">SUMIF(Input!$D$220:$BP$260,Output_tables!$D62,Input!AK$220:AK$260)</f>
        <v>0</v>
      </c>
      <c r="Z62" s="345">
        <f ca="1">SUMIF(Input!$D$220:$BP$260,Output_tables!$D62,Input!AL$220:AL$260)</f>
        <v>0</v>
      </c>
      <c r="AA62" s="345">
        <f ca="1">SUMIF(Input!$D$220:$BP$260,Output_tables!$D62,Input!AM$220:AM$260)</f>
        <v>0</v>
      </c>
      <c r="AB62" s="345">
        <f ca="1">SUMIF(Input!$D$220:$BP$260,Output_tables!$D62,Input!AN$220:AN$260)</f>
        <v>0</v>
      </c>
      <c r="AC62" s="345">
        <f ca="1">SUMIF(Input!$D$220:$BP$260,Output_tables!$D62,Input!AO$220:AO$260)</f>
        <v>0</v>
      </c>
      <c r="AD62" s="345">
        <f ca="1">SUMIF(Input!$D$220:$BP$260,Output_tables!$D62,Input!AP$220:AP$260)</f>
        <v>0</v>
      </c>
      <c r="AE62" s="345">
        <f ca="1">SUMIF(Input!$D$220:$BP$260,Output_tables!$D62,Input!AQ$220:AQ$260)</f>
        <v>0</v>
      </c>
      <c r="AF62" s="345">
        <f ca="1">SUMIF(Input!$D$220:$BP$260,Output_tables!$D62,Input!AR$220:AR$260)</f>
        <v>0</v>
      </c>
      <c r="AG62" s="345">
        <f ca="1">SUMIF(Input!$D$220:$BP$260,Output_tables!$D62,Input!AS$220:AS$260)</f>
        <v>0</v>
      </c>
      <c r="AH62" s="345">
        <f ca="1">SUMIF(Input!$D$220:$BP$260,Output_tables!$D62,Input!AT$220:AT$260)</f>
        <v>0</v>
      </c>
      <c r="AI62" s="345">
        <f ca="1">SUMIF(Input!$D$220:$BP$260,Output_tables!$D62,Input!AU$220:AU$260)</f>
        <v>0</v>
      </c>
      <c r="AJ62" s="345">
        <f ca="1">SUMIF(Input!$D$220:$BP$260,Output_tables!$D62,Input!AV$220:AV$260)</f>
        <v>0</v>
      </c>
      <c r="AK62" s="345">
        <f ca="1">SUMIF(Input!$D$220:$BP$260,Output_tables!$D62,Input!AW$220:AW$260)</f>
        <v>0</v>
      </c>
      <c r="AL62" s="345">
        <f ca="1">SUMIF(Input!$D$220:$BP$260,Output_tables!$D62,Input!AX$220:AX$260)</f>
        <v>0</v>
      </c>
      <c r="AM62" s="345">
        <f ca="1">SUMIF(Input!$D$220:$BP$260,Output_tables!$D62,Input!AY$220:AY$260)</f>
        <v>0</v>
      </c>
      <c r="AN62" s="345">
        <f ca="1">SUMIF(Input!$D$220:$BP$260,Output_tables!$D62,Input!AZ$220:AZ$260)</f>
        <v>0</v>
      </c>
      <c r="AO62" s="345">
        <f ca="1">SUMIF(Input!$D$220:$BP$260,Output_tables!$D62,Input!BA$220:BA$260)</f>
        <v>0</v>
      </c>
      <c r="AP62" s="345">
        <f ca="1">SUMIF(Input!$D$220:$BP$260,Output_tables!$D62,Input!BB$220:BB$260)</f>
        <v>0</v>
      </c>
      <c r="AQ62" s="345">
        <f ca="1">SUMIF(Input!$D$220:$BP$260,Output_tables!$D62,Input!BC$220:BC$260)</f>
        <v>0</v>
      </c>
      <c r="AR62" s="345">
        <f ca="1">SUMIF(Input!$D$220:$BP$260,Output_tables!$D62,Input!BD$220:BD$260)</f>
        <v>0</v>
      </c>
      <c r="AS62" s="345">
        <f ca="1">SUMIF(Input!$D$220:$BP$260,Output_tables!$D62,Input!BE$220:BE$260)</f>
        <v>0</v>
      </c>
      <c r="AT62" s="345">
        <f ca="1">SUMIF(Input!$D$220:$BP$260,Output_tables!$D62,Input!BF$220:BF$260)</f>
        <v>0</v>
      </c>
      <c r="AU62" s="345">
        <f ca="1">SUMIF(Input!$D$220:$BP$260,Output_tables!$D62,Input!BG$220:BG$260)</f>
        <v>0</v>
      </c>
      <c r="AV62" s="345">
        <f ca="1">SUMIF(Input!$D$220:$BP$260,Output_tables!$D62,Input!BH$220:BH$260)</f>
        <v>0</v>
      </c>
      <c r="AW62" s="345">
        <f ca="1">SUMIF(Input!$D$220:$BP$260,Output_tables!$D62,Input!BI$220:BI$260)</f>
        <v>0</v>
      </c>
      <c r="AX62" s="345">
        <f ca="1">SUMIF(Input!$D$220:$BP$260,Output_tables!$D62,Input!BJ$220:BJ$260)</f>
        <v>0</v>
      </c>
      <c r="AY62" s="345">
        <f ca="1">SUMIF(Input!$D$220:$BP$260,Output_tables!$D62,Input!BK$220:BK$260)</f>
        <v>0</v>
      </c>
      <c r="AZ62" s="345">
        <f ca="1">SUMIF(Input!$D$220:$BP$260,Output_tables!$D62,Input!BL$220:BL$260)</f>
        <v>0</v>
      </c>
      <c r="BA62" s="345">
        <f ca="1">SUMIF(Input!$D$220:$BP$260,Output_tables!$D62,Input!BM$220:BM$260)</f>
        <v>0</v>
      </c>
      <c r="BB62" s="345">
        <f ca="1">SUMIF(Input!$D$220:$BP$260,Output_tables!$D62,Input!BN$220:BN$260)</f>
        <v>0</v>
      </c>
      <c r="BC62" s="345">
        <f ca="1">SUMIF(Input!$D$220:$BP$260,Output_tables!$D62,Input!BO$220:BO$260)</f>
        <v>0</v>
      </c>
      <c r="BD62" s="345">
        <f ca="1">SUMIF(Input!$D$220:$BP$260,Output_tables!$D62,Input!BP$220:BP$260)</f>
        <v>0</v>
      </c>
    </row>
    <row r="63" spans="3:56" ht="14.25" customHeight="1" x14ac:dyDescent="0.2">
      <c r="D63" s="374" t="s">
        <v>103</v>
      </c>
      <c r="E63" s="382">
        <f t="shared" ca="1" si="9"/>
        <v>0</v>
      </c>
      <c r="F63" s="343">
        <f ca="1">SUMIF(Input!$D$220:$BP$260,Output_tables!$D63,Input!R$220:R$260)</f>
        <v>0</v>
      </c>
      <c r="G63" s="343">
        <f ca="1">SUMIF(Input!$D$220:$BP$260,Output_tables!$D63,Input!S$220:S$260)</f>
        <v>0</v>
      </c>
      <c r="H63" s="343">
        <f ca="1">SUMIF(Input!$D$220:$BP$260,Output_tables!$D63,Input!T$220:T$260)</f>
        <v>0</v>
      </c>
      <c r="I63" s="343">
        <f ca="1">SUMIF(Input!$D$220:$BP$260,Output_tables!$D63,Input!U$220:U$260)</f>
        <v>0</v>
      </c>
      <c r="J63" s="343">
        <f ca="1">SUMIF(Input!$D$220:$BP$260,Output_tables!$D63,Input!V$220:V$260)</f>
        <v>0</v>
      </c>
      <c r="K63" s="346">
        <f ca="1">SUMIF(Input!$D$220:$BP$260,Output_tables!$D63,Input!W$220:W$260)</f>
        <v>0</v>
      </c>
      <c r="L63" s="346">
        <f ca="1">SUMIF(Input!$D$220:$BP$260,Output_tables!$D63,Input!X$220:X$260)</f>
        <v>0</v>
      </c>
      <c r="M63" s="346">
        <f ca="1">SUMIF(Input!$D$220:$BP$260,Output_tables!$D63,Input!Y$220:Y$260)</f>
        <v>0</v>
      </c>
      <c r="N63" s="346">
        <f ca="1">SUMIF(Input!$D$220:$BP$260,Output_tables!$D63,Input!Z$220:Z$260)</f>
        <v>0</v>
      </c>
      <c r="O63" s="346">
        <f ca="1">SUMIF(Input!$D$220:$BP$260,Output_tables!$D63,Input!AA$220:AA$260)</f>
        <v>0</v>
      </c>
      <c r="P63" s="346">
        <f ca="1">SUMIF(Input!$D$220:$BP$260,Output_tables!$D63,Input!AB$220:AB$260)</f>
        <v>0</v>
      </c>
      <c r="Q63" s="346">
        <f ca="1">SUMIF(Input!$D$220:$BP$260,Output_tables!$D63,Input!AC$220:AC$260)</f>
        <v>0</v>
      </c>
      <c r="R63" s="346">
        <f ca="1">SUMIF(Input!$D$220:$BP$260,Output_tables!$D63,Input!AD$220:AD$260)</f>
        <v>0</v>
      </c>
      <c r="S63" s="346">
        <f ca="1">SUMIF(Input!$D$220:$BP$260,Output_tables!$D63,Input!AE$220:AE$260)</f>
        <v>0</v>
      </c>
      <c r="T63" s="346">
        <f ca="1">SUMIF(Input!$D$220:$BP$260,Output_tables!$D63,Input!AF$220:AF$260)</f>
        <v>0</v>
      </c>
      <c r="U63" s="346">
        <f ca="1">SUMIF(Input!$D$220:$BP$260,Output_tables!$D63,Input!AG$220:AG$260)</f>
        <v>0</v>
      </c>
      <c r="V63" s="346">
        <f ca="1">SUMIF(Input!$D$220:$BP$260,Output_tables!$D63,Input!AH$220:AH$260)</f>
        <v>0</v>
      </c>
      <c r="W63" s="346">
        <f ca="1">SUMIF(Input!$D$220:$BP$260,Output_tables!$D63,Input!AI$220:AI$260)</f>
        <v>0</v>
      </c>
      <c r="X63" s="346">
        <f ca="1">SUMIF(Input!$D$220:$BP$260,Output_tables!$D63,Input!AJ$220:AJ$260)</f>
        <v>0</v>
      </c>
      <c r="Y63" s="346">
        <f ca="1">SUMIF(Input!$D$220:$BP$260,Output_tables!$D63,Input!AK$220:AK$260)</f>
        <v>0</v>
      </c>
      <c r="Z63" s="346">
        <f ca="1">SUMIF(Input!$D$220:$BP$260,Output_tables!$D63,Input!AL$220:AL$260)</f>
        <v>0</v>
      </c>
      <c r="AA63" s="346">
        <f ca="1">SUMIF(Input!$D$220:$BP$260,Output_tables!$D63,Input!AM$220:AM$260)</f>
        <v>0</v>
      </c>
      <c r="AB63" s="346">
        <f ca="1">SUMIF(Input!$D$220:$BP$260,Output_tables!$D63,Input!AN$220:AN$260)</f>
        <v>0</v>
      </c>
      <c r="AC63" s="346">
        <f ca="1">SUMIF(Input!$D$220:$BP$260,Output_tables!$D63,Input!AO$220:AO$260)</f>
        <v>0</v>
      </c>
      <c r="AD63" s="346">
        <f ca="1">SUMIF(Input!$D$220:$BP$260,Output_tables!$D63,Input!AP$220:AP$260)</f>
        <v>0</v>
      </c>
      <c r="AE63" s="346">
        <f ca="1">SUMIF(Input!$D$220:$BP$260,Output_tables!$D63,Input!AQ$220:AQ$260)</f>
        <v>0</v>
      </c>
      <c r="AF63" s="346">
        <f ca="1">SUMIF(Input!$D$220:$BP$260,Output_tables!$D63,Input!AR$220:AR$260)</f>
        <v>0</v>
      </c>
      <c r="AG63" s="346">
        <f ca="1">SUMIF(Input!$D$220:$BP$260,Output_tables!$D63,Input!AS$220:AS$260)</f>
        <v>0</v>
      </c>
      <c r="AH63" s="346">
        <f ca="1">SUMIF(Input!$D$220:$BP$260,Output_tables!$D63,Input!AT$220:AT$260)</f>
        <v>0</v>
      </c>
      <c r="AI63" s="346">
        <f ca="1">SUMIF(Input!$D$220:$BP$260,Output_tables!$D63,Input!AU$220:AU$260)</f>
        <v>0</v>
      </c>
      <c r="AJ63" s="346">
        <f ca="1">SUMIF(Input!$D$220:$BP$260,Output_tables!$D63,Input!AV$220:AV$260)</f>
        <v>0</v>
      </c>
      <c r="AK63" s="346">
        <f ca="1">SUMIF(Input!$D$220:$BP$260,Output_tables!$D63,Input!AW$220:AW$260)</f>
        <v>0</v>
      </c>
      <c r="AL63" s="346">
        <f ca="1">SUMIF(Input!$D$220:$BP$260,Output_tables!$D63,Input!AX$220:AX$260)</f>
        <v>0</v>
      </c>
      <c r="AM63" s="346">
        <f ca="1">SUMIF(Input!$D$220:$BP$260,Output_tables!$D63,Input!AY$220:AY$260)</f>
        <v>0</v>
      </c>
      <c r="AN63" s="346">
        <f ca="1">SUMIF(Input!$D$220:$BP$260,Output_tables!$D63,Input!AZ$220:AZ$260)</f>
        <v>0</v>
      </c>
      <c r="AO63" s="346">
        <f ca="1">SUMIF(Input!$D$220:$BP$260,Output_tables!$D63,Input!BA$220:BA$260)</f>
        <v>0</v>
      </c>
      <c r="AP63" s="346">
        <f ca="1">SUMIF(Input!$D$220:$BP$260,Output_tables!$D63,Input!BB$220:BB$260)</f>
        <v>0</v>
      </c>
      <c r="AQ63" s="346">
        <f ca="1">SUMIF(Input!$D$220:$BP$260,Output_tables!$D63,Input!BC$220:BC$260)</f>
        <v>0</v>
      </c>
      <c r="AR63" s="346">
        <f ca="1">SUMIF(Input!$D$220:$BP$260,Output_tables!$D63,Input!BD$220:BD$260)</f>
        <v>0</v>
      </c>
      <c r="AS63" s="346">
        <f ca="1">SUMIF(Input!$D$220:$BP$260,Output_tables!$D63,Input!BE$220:BE$260)</f>
        <v>0</v>
      </c>
      <c r="AT63" s="346">
        <f ca="1">SUMIF(Input!$D$220:$BP$260,Output_tables!$D63,Input!BF$220:BF$260)</f>
        <v>0</v>
      </c>
      <c r="AU63" s="346">
        <f ca="1">SUMIF(Input!$D$220:$BP$260,Output_tables!$D63,Input!BG$220:BG$260)</f>
        <v>0</v>
      </c>
      <c r="AV63" s="346">
        <f ca="1">SUMIF(Input!$D$220:$BP$260,Output_tables!$D63,Input!BH$220:BH$260)</f>
        <v>0</v>
      </c>
      <c r="AW63" s="346">
        <f ca="1">SUMIF(Input!$D$220:$BP$260,Output_tables!$D63,Input!BI$220:BI$260)</f>
        <v>0</v>
      </c>
      <c r="AX63" s="346">
        <f ca="1">SUMIF(Input!$D$220:$BP$260,Output_tables!$D63,Input!BJ$220:BJ$260)</f>
        <v>0</v>
      </c>
      <c r="AY63" s="346">
        <f ca="1">SUMIF(Input!$D$220:$BP$260,Output_tables!$D63,Input!BK$220:BK$260)</f>
        <v>0</v>
      </c>
      <c r="AZ63" s="346">
        <f ca="1">SUMIF(Input!$D$220:$BP$260,Output_tables!$D63,Input!BL$220:BL$260)</f>
        <v>0</v>
      </c>
      <c r="BA63" s="346">
        <f ca="1">SUMIF(Input!$D$220:$BP$260,Output_tables!$D63,Input!BM$220:BM$260)</f>
        <v>0</v>
      </c>
      <c r="BB63" s="346">
        <f ca="1">SUMIF(Input!$D$220:$BP$260,Output_tables!$D63,Input!BN$220:BN$260)</f>
        <v>0</v>
      </c>
      <c r="BC63" s="346">
        <f ca="1">SUMIF(Input!$D$220:$BP$260,Output_tables!$D63,Input!BO$220:BO$260)</f>
        <v>0</v>
      </c>
      <c r="BD63" s="346">
        <f ca="1">SUMIF(Input!$D$220:$BP$260,Output_tables!$D63,Input!BP$220:BP$260)</f>
        <v>0</v>
      </c>
    </row>
    <row r="64" spans="3:56" ht="14.25" customHeight="1" x14ac:dyDescent="0.2">
      <c r="D64" s="373" t="s">
        <v>260</v>
      </c>
      <c r="E64" s="381">
        <f t="shared" si="9"/>
        <v>0</v>
      </c>
      <c r="F64" s="324">
        <f>Calcs!R168</f>
        <v>0</v>
      </c>
      <c r="G64" s="324">
        <f>Calcs!S168</f>
        <v>0</v>
      </c>
      <c r="H64" s="324">
        <f>Calcs!T168</f>
        <v>0</v>
      </c>
      <c r="I64" s="324">
        <f>Calcs!U168</f>
        <v>0</v>
      </c>
      <c r="J64" s="324">
        <f>Calcs!V168</f>
        <v>0</v>
      </c>
      <c r="K64" s="345">
        <f>Calcs!W168</f>
        <v>0</v>
      </c>
      <c r="L64" s="345">
        <f>Calcs!X168</f>
        <v>0</v>
      </c>
      <c r="M64" s="345">
        <f>Calcs!Y168</f>
        <v>0</v>
      </c>
      <c r="N64" s="345">
        <f>Calcs!Z168</f>
        <v>0</v>
      </c>
      <c r="O64" s="345">
        <f>Calcs!AA168</f>
        <v>0</v>
      </c>
      <c r="P64" s="345">
        <f>Calcs!AB168</f>
        <v>0</v>
      </c>
      <c r="Q64" s="345">
        <f>Calcs!AC168</f>
        <v>0</v>
      </c>
      <c r="R64" s="345">
        <f>Calcs!AD168</f>
        <v>0</v>
      </c>
      <c r="S64" s="345">
        <f>Calcs!AE168</f>
        <v>0</v>
      </c>
      <c r="T64" s="345">
        <f>Calcs!AF168</f>
        <v>0</v>
      </c>
      <c r="U64" s="345">
        <f>Calcs!AG168</f>
        <v>0</v>
      </c>
      <c r="V64" s="345">
        <f>Calcs!AH168</f>
        <v>0</v>
      </c>
      <c r="W64" s="345">
        <f>Calcs!AI168</f>
        <v>0</v>
      </c>
      <c r="X64" s="345">
        <f>Calcs!AJ168</f>
        <v>0</v>
      </c>
      <c r="Y64" s="345">
        <f>Calcs!AK168</f>
        <v>0</v>
      </c>
      <c r="Z64" s="345">
        <f>Calcs!AL168</f>
        <v>0</v>
      </c>
      <c r="AA64" s="345">
        <f>Calcs!AM168</f>
        <v>0</v>
      </c>
      <c r="AB64" s="345">
        <f>Calcs!AN168</f>
        <v>0</v>
      </c>
      <c r="AC64" s="345">
        <f>Calcs!AO168</f>
        <v>0</v>
      </c>
      <c r="AD64" s="345">
        <f>Calcs!AP168</f>
        <v>0</v>
      </c>
      <c r="AE64" s="345">
        <f>Calcs!AQ168</f>
        <v>0</v>
      </c>
      <c r="AF64" s="345">
        <f>Calcs!AR168</f>
        <v>0</v>
      </c>
      <c r="AG64" s="345">
        <f>Calcs!AS168</f>
        <v>0</v>
      </c>
      <c r="AH64" s="345">
        <f>Calcs!AT168</f>
        <v>0</v>
      </c>
      <c r="AI64" s="345">
        <f>Calcs!AU168</f>
        <v>0</v>
      </c>
      <c r="AJ64" s="345">
        <f>Calcs!AV168</f>
        <v>0</v>
      </c>
      <c r="AK64" s="345">
        <f>Calcs!AW168</f>
        <v>0</v>
      </c>
      <c r="AL64" s="345">
        <f>Calcs!AX168</f>
        <v>0</v>
      </c>
      <c r="AM64" s="345">
        <f>Calcs!AY168</f>
        <v>0</v>
      </c>
      <c r="AN64" s="345">
        <f>Calcs!AZ168</f>
        <v>0</v>
      </c>
      <c r="AO64" s="345">
        <f>Calcs!BA168</f>
        <v>0</v>
      </c>
      <c r="AP64" s="345">
        <f>Calcs!BB168</f>
        <v>0</v>
      </c>
      <c r="AQ64" s="345">
        <f>Calcs!BC168</f>
        <v>0</v>
      </c>
      <c r="AR64" s="345">
        <f>Calcs!BD168</f>
        <v>0</v>
      </c>
      <c r="AS64" s="345">
        <f>Calcs!BE168</f>
        <v>0</v>
      </c>
      <c r="AT64" s="345">
        <f>Calcs!BF168</f>
        <v>0</v>
      </c>
      <c r="AU64" s="345">
        <f>Calcs!BG168</f>
        <v>0</v>
      </c>
      <c r="AV64" s="345">
        <f>Calcs!BH168</f>
        <v>0</v>
      </c>
      <c r="AW64" s="345">
        <f>Calcs!BI168</f>
        <v>0</v>
      </c>
      <c r="AX64" s="345">
        <f>Calcs!BJ168</f>
        <v>0</v>
      </c>
      <c r="AY64" s="345">
        <f>Calcs!BK168</f>
        <v>0</v>
      </c>
      <c r="AZ64" s="345">
        <f>Calcs!BL168</f>
        <v>0</v>
      </c>
      <c r="BA64" s="345">
        <f>Calcs!BM168</f>
        <v>0</v>
      </c>
      <c r="BB64" s="345">
        <f>Calcs!BN168</f>
        <v>0</v>
      </c>
      <c r="BC64" s="345">
        <f>Calcs!BO168</f>
        <v>0</v>
      </c>
      <c r="BD64" s="345">
        <f>Calcs!BP168</f>
        <v>0</v>
      </c>
    </row>
    <row r="65" spans="4:56" ht="14.25" customHeight="1" x14ac:dyDescent="0.2">
      <c r="D65" s="373" t="s">
        <v>129</v>
      </c>
      <c r="E65" s="381">
        <f t="shared" si="9"/>
        <v>416563.76105233468</v>
      </c>
      <c r="F65" s="324">
        <f>Calcs!R331</f>
        <v>0</v>
      </c>
      <c r="G65" s="324">
        <f>Calcs!S331</f>
        <v>0</v>
      </c>
      <c r="H65" s="324">
        <f>Calcs!T331</f>
        <v>0</v>
      </c>
      <c r="I65" s="324">
        <f>Calcs!U331</f>
        <v>206768.96195547498</v>
      </c>
      <c r="J65" s="324">
        <f>Calcs!V331</f>
        <v>209794.7990968597</v>
      </c>
      <c r="K65" s="345">
        <f>Calcs!W331</f>
        <v>211211.0890828071</v>
      </c>
      <c r="L65" s="345">
        <f>Calcs!X331</f>
        <v>211357.3438993569</v>
      </c>
      <c r="M65" s="345">
        <f>Calcs!Y331</f>
        <v>211714.73939589749</v>
      </c>
      <c r="N65" s="345">
        <f>Calcs!Z331</f>
        <v>383249.75907096895</v>
      </c>
      <c r="O65" s="345">
        <f>Calcs!AA331</f>
        <v>0</v>
      </c>
      <c r="P65" s="345">
        <f>Calcs!AB331</f>
        <v>0</v>
      </c>
      <c r="Q65" s="345">
        <f>Calcs!AC331</f>
        <v>0</v>
      </c>
      <c r="R65" s="345">
        <f>Calcs!AD331</f>
        <v>0</v>
      </c>
      <c r="S65" s="345">
        <f>Calcs!AE331</f>
        <v>0</v>
      </c>
      <c r="T65" s="345">
        <f>Calcs!AF331</f>
        <v>0</v>
      </c>
      <c r="U65" s="345">
        <f>Calcs!AG331</f>
        <v>0</v>
      </c>
      <c r="V65" s="345">
        <f>Calcs!AH331</f>
        <v>0</v>
      </c>
      <c r="W65" s="345">
        <f>Calcs!AI331</f>
        <v>0</v>
      </c>
      <c r="X65" s="345">
        <f>Calcs!AJ331</f>
        <v>0</v>
      </c>
      <c r="Y65" s="345">
        <f>Calcs!AK331</f>
        <v>0</v>
      </c>
      <c r="Z65" s="345">
        <f>Calcs!AL331</f>
        <v>0</v>
      </c>
      <c r="AA65" s="345">
        <f>Calcs!AM331</f>
        <v>0</v>
      </c>
      <c r="AB65" s="345">
        <f>Calcs!AN331</f>
        <v>0</v>
      </c>
      <c r="AC65" s="345">
        <f>Calcs!AO331</f>
        <v>0</v>
      </c>
      <c r="AD65" s="345">
        <f>Calcs!AP331</f>
        <v>0</v>
      </c>
      <c r="AE65" s="345">
        <f>Calcs!AQ331</f>
        <v>0</v>
      </c>
      <c r="AF65" s="345">
        <f>Calcs!AR331</f>
        <v>0</v>
      </c>
      <c r="AG65" s="345">
        <f>Calcs!AS331</f>
        <v>0</v>
      </c>
      <c r="AH65" s="345">
        <f>Calcs!AT331</f>
        <v>0</v>
      </c>
      <c r="AI65" s="345">
        <f>Calcs!AU331</f>
        <v>0</v>
      </c>
      <c r="AJ65" s="345">
        <f>Calcs!AV331</f>
        <v>0</v>
      </c>
      <c r="AK65" s="345">
        <f>Calcs!AW331</f>
        <v>0</v>
      </c>
      <c r="AL65" s="345">
        <f>Calcs!AX331</f>
        <v>0</v>
      </c>
      <c r="AM65" s="345">
        <f>Calcs!AY331</f>
        <v>0</v>
      </c>
      <c r="AN65" s="345">
        <f>Calcs!AZ331</f>
        <v>0</v>
      </c>
      <c r="AO65" s="345">
        <f>Calcs!BA331</f>
        <v>0</v>
      </c>
      <c r="AP65" s="345">
        <f>Calcs!BB331</f>
        <v>0</v>
      </c>
      <c r="AQ65" s="345">
        <f>Calcs!BC331</f>
        <v>0</v>
      </c>
      <c r="AR65" s="345">
        <f>Calcs!BD331</f>
        <v>0</v>
      </c>
      <c r="AS65" s="345">
        <f>Calcs!BE331</f>
        <v>0</v>
      </c>
      <c r="AT65" s="345">
        <f>Calcs!BF331</f>
        <v>0</v>
      </c>
      <c r="AU65" s="345">
        <f>Calcs!BG331</f>
        <v>0</v>
      </c>
      <c r="AV65" s="345">
        <f>Calcs!BH331</f>
        <v>0</v>
      </c>
      <c r="AW65" s="345">
        <f>Calcs!BI331</f>
        <v>0</v>
      </c>
      <c r="AX65" s="345">
        <f>Calcs!BJ331</f>
        <v>0</v>
      </c>
      <c r="AY65" s="345">
        <f>Calcs!BK331</f>
        <v>0</v>
      </c>
      <c r="AZ65" s="345">
        <f>Calcs!BL331</f>
        <v>0</v>
      </c>
      <c r="BA65" s="345">
        <f>Calcs!BM331</f>
        <v>0</v>
      </c>
      <c r="BB65" s="345">
        <f>Calcs!BN331</f>
        <v>0</v>
      </c>
      <c r="BC65" s="345">
        <f>Calcs!BO331</f>
        <v>0</v>
      </c>
      <c r="BD65" s="345">
        <f>Calcs!BP331</f>
        <v>0</v>
      </c>
    </row>
    <row r="66" spans="4:56" ht="14.25" customHeight="1" thickBot="1" x14ac:dyDescent="0.25">
      <c r="D66" s="373" t="s">
        <v>261</v>
      </c>
      <c r="E66" s="381">
        <f t="shared" si="9"/>
        <v>0</v>
      </c>
      <c r="F66" s="324">
        <f>SUM(Calcs!R334:R339)</f>
        <v>0</v>
      </c>
      <c r="G66" s="324">
        <f>SUM(Calcs!S334:S339)</f>
        <v>0</v>
      </c>
      <c r="H66" s="324">
        <f>SUM(Calcs!T334:T339)</f>
        <v>0</v>
      </c>
      <c r="I66" s="324">
        <f>SUM(Calcs!U334:U339)</f>
        <v>0</v>
      </c>
      <c r="J66" s="324">
        <f>SUM(Calcs!V334:V339)</f>
        <v>0</v>
      </c>
      <c r="K66" s="346">
        <f>SUM(Calcs!W334:W339)</f>
        <v>0</v>
      </c>
      <c r="L66" s="346">
        <f>SUM(Calcs!X334:X339)</f>
        <v>0</v>
      </c>
      <c r="M66" s="346">
        <f>SUM(Calcs!Y334:Y339)</f>
        <v>0</v>
      </c>
      <c r="N66" s="346">
        <f>SUM(Calcs!Z334:Z339)</f>
        <v>0</v>
      </c>
      <c r="O66" s="346">
        <f>SUM(Calcs!AA334:AA339)</f>
        <v>0</v>
      </c>
      <c r="P66" s="346">
        <f>SUM(Calcs!AB334:AB339)</f>
        <v>0</v>
      </c>
      <c r="Q66" s="346">
        <f>SUM(Calcs!AC334:AC339)</f>
        <v>0</v>
      </c>
      <c r="R66" s="346">
        <f>SUM(Calcs!AD334:AD339)</f>
        <v>0</v>
      </c>
      <c r="S66" s="346">
        <f>SUM(Calcs!AE334:AE339)</f>
        <v>0</v>
      </c>
      <c r="T66" s="346">
        <f>SUM(Calcs!AF334:AF339)</f>
        <v>0</v>
      </c>
      <c r="U66" s="346">
        <f>SUM(Calcs!AG334:AG339)</f>
        <v>0</v>
      </c>
      <c r="V66" s="346">
        <f>SUM(Calcs!AH334:AH339)</f>
        <v>0</v>
      </c>
      <c r="W66" s="346">
        <f>SUM(Calcs!AI334:AI339)</f>
        <v>0</v>
      </c>
      <c r="X66" s="346">
        <f>SUM(Calcs!AJ334:AJ339)</f>
        <v>0</v>
      </c>
      <c r="Y66" s="346">
        <f>SUM(Calcs!AK334:AK339)</f>
        <v>0</v>
      </c>
      <c r="Z66" s="346">
        <f>SUM(Calcs!AL334:AL339)</f>
        <v>0</v>
      </c>
      <c r="AA66" s="346">
        <f>SUM(Calcs!AM334:AM339)</f>
        <v>0</v>
      </c>
      <c r="AB66" s="346">
        <f>SUM(Calcs!AN334:AN339)</f>
        <v>0</v>
      </c>
      <c r="AC66" s="346">
        <f>SUM(Calcs!AO334:AO339)</f>
        <v>0</v>
      </c>
      <c r="AD66" s="346">
        <f>SUM(Calcs!AP334:AP339)</f>
        <v>0</v>
      </c>
      <c r="AE66" s="346">
        <f>SUM(Calcs!AQ334:AQ339)</f>
        <v>0</v>
      </c>
      <c r="AF66" s="346">
        <f>SUM(Calcs!AR334:AR339)</f>
        <v>0</v>
      </c>
      <c r="AG66" s="346">
        <f>SUM(Calcs!AS334:AS339)</f>
        <v>0</v>
      </c>
      <c r="AH66" s="346">
        <f>SUM(Calcs!AT334:AT339)</f>
        <v>0</v>
      </c>
      <c r="AI66" s="346">
        <f>SUM(Calcs!AU334:AU339)</f>
        <v>0</v>
      </c>
      <c r="AJ66" s="346">
        <f>SUM(Calcs!AV334:AV339)</f>
        <v>0</v>
      </c>
      <c r="AK66" s="346">
        <f>SUM(Calcs!AW334:AW339)</f>
        <v>0</v>
      </c>
      <c r="AL66" s="346">
        <f>SUM(Calcs!AX334:AX339)</f>
        <v>0</v>
      </c>
      <c r="AM66" s="346">
        <f>SUM(Calcs!AY334:AY339)</f>
        <v>0</v>
      </c>
      <c r="AN66" s="346">
        <f>SUM(Calcs!AZ334:AZ339)</f>
        <v>0</v>
      </c>
      <c r="AO66" s="346">
        <f>SUM(Calcs!BA334:BA339)</f>
        <v>0</v>
      </c>
      <c r="AP66" s="346">
        <f>SUM(Calcs!BB334:BB339)</f>
        <v>0</v>
      </c>
      <c r="AQ66" s="346">
        <f>SUM(Calcs!BC334:BC339)</f>
        <v>0</v>
      </c>
      <c r="AR66" s="346">
        <f>SUM(Calcs!BD334:BD339)</f>
        <v>0</v>
      </c>
      <c r="AS66" s="346">
        <f>SUM(Calcs!BE334:BE339)</f>
        <v>0</v>
      </c>
      <c r="AT66" s="346">
        <f>SUM(Calcs!BF334:BF339)</f>
        <v>0</v>
      </c>
      <c r="AU66" s="346">
        <f>SUM(Calcs!BG334:BG339)</f>
        <v>0</v>
      </c>
      <c r="AV66" s="346">
        <f>SUM(Calcs!BH334:BH339)</f>
        <v>0</v>
      </c>
      <c r="AW66" s="346">
        <f>SUM(Calcs!BI334:BI339)</f>
        <v>0</v>
      </c>
      <c r="AX66" s="346">
        <f>SUM(Calcs!BJ334:BJ339)</f>
        <v>0</v>
      </c>
      <c r="AY66" s="346">
        <f>SUM(Calcs!BK334:BK339)</f>
        <v>0</v>
      </c>
      <c r="AZ66" s="346">
        <f>SUM(Calcs!BL334:BL339)</f>
        <v>0</v>
      </c>
      <c r="BA66" s="346">
        <f>SUM(Calcs!BM334:BM339)</f>
        <v>0</v>
      </c>
      <c r="BB66" s="346">
        <f>SUM(Calcs!BN334:BN339)</f>
        <v>0</v>
      </c>
      <c r="BC66" s="346">
        <f>SUM(Calcs!BO334:BO339)</f>
        <v>0</v>
      </c>
      <c r="BD66" s="346">
        <f>SUM(Calcs!BP334:BP339)</f>
        <v>0</v>
      </c>
    </row>
    <row r="67" spans="4:56" ht="14.25" customHeight="1" thickTop="1" x14ac:dyDescent="0.2">
      <c r="D67" s="379" t="s">
        <v>227</v>
      </c>
      <c r="E67" s="371">
        <f t="shared" si="9"/>
        <v>416563.76105233468</v>
      </c>
      <c r="F67" s="371">
        <f>SUM(F64:F66)</f>
        <v>0</v>
      </c>
      <c r="G67" s="371">
        <f t="shared" ref="G67:BD67" si="10">SUM(G64:G66)</f>
        <v>0</v>
      </c>
      <c r="H67" s="371">
        <f t="shared" si="10"/>
        <v>0</v>
      </c>
      <c r="I67" s="371">
        <f t="shared" si="10"/>
        <v>206768.96195547498</v>
      </c>
      <c r="J67" s="371">
        <f t="shared" si="10"/>
        <v>209794.7990968597</v>
      </c>
      <c r="K67" s="363">
        <f t="shared" si="10"/>
        <v>211211.0890828071</v>
      </c>
      <c r="L67" s="363">
        <f t="shared" si="10"/>
        <v>211357.3438993569</v>
      </c>
      <c r="M67" s="363">
        <f t="shared" si="10"/>
        <v>211714.73939589749</v>
      </c>
      <c r="N67" s="363">
        <f t="shared" si="10"/>
        <v>383249.75907096895</v>
      </c>
      <c r="O67" s="363">
        <f t="shared" si="10"/>
        <v>0</v>
      </c>
      <c r="P67" s="363">
        <f t="shared" si="10"/>
        <v>0</v>
      </c>
      <c r="Q67" s="363">
        <f t="shared" si="10"/>
        <v>0</v>
      </c>
      <c r="R67" s="363">
        <f t="shared" si="10"/>
        <v>0</v>
      </c>
      <c r="S67" s="363">
        <f t="shared" si="10"/>
        <v>0</v>
      </c>
      <c r="T67" s="363">
        <f t="shared" si="10"/>
        <v>0</v>
      </c>
      <c r="U67" s="363">
        <f t="shared" si="10"/>
        <v>0</v>
      </c>
      <c r="V67" s="363">
        <f t="shared" si="10"/>
        <v>0</v>
      </c>
      <c r="W67" s="363">
        <f t="shared" si="10"/>
        <v>0</v>
      </c>
      <c r="X67" s="363">
        <f t="shared" si="10"/>
        <v>0</v>
      </c>
      <c r="Y67" s="363">
        <f t="shared" si="10"/>
        <v>0</v>
      </c>
      <c r="Z67" s="363">
        <f t="shared" si="10"/>
        <v>0</v>
      </c>
      <c r="AA67" s="363">
        <f t="shared" si="10"/>
        <v>0</v>
      </c>
      <c r="AB67" s="363">
        <f t="shared" si="10"/>
        <v>0</v>
      </c>
      <c r="AC67" s="363">
        <f t="shared" si="10"/>
        <v>0</v>
      </c>
      <c r="AD67" s="363">
        <f t="shared" si="10"/>
        <v>0</v>
      </c>
      <c r="AE67" s="363">
        <f t="shared" si="10"/>
        <v>0</v>
      </c>
      <c r="AF67" s="363">
        <f t="shared" si="10"/>
        <v>0</v>
      </c>
      <c r="AG67" s="363">
        <f t="shared" si="10"/>
        <v>0</v>
      </c>
      <c r="AH67" s="363">
        <f t="shared" si="10"/>
        <v>0</v>
      </c>
      <c r="AI67" s="363">
        <f t="shared" si="10"/>
        <v>0</v>
      </c>
      <c r="AJ67" s="363">
        <f t="shared" si="10"/>
        <v>0</v>
      </c>
      <c r="AK67" s="363">
        <f t="shared" si="10"/>
        <v>0</v>
      </c>
      <c r="AL67" s="363">
        <f t="shared" si="10"/>
        <v>0</v>
      </c>
      <c r="AM67" s="363">
        <f t="shared" si="10"/>
        <v>0</v>
      </c>
      <c r="AN67" s="363">
        <f t="shared" si="10"/>
        <v>0</v>
      </c>
      <c r="AO67" s="363">
        <f t="shared" si="10"/>
        <v>0</v>
      </c>
      <c r="AP67" s="363">
        <f t="shared" si="10"/>
        <v>0</v>
      </c>
      <c r="AQ67" s="363">
        <f t="shared" si="10"/>
        <v>0</v>
      </c>
      <c r="AR67" s="363">
        <f t="shared" si="10"/>
        <v>0</v>
      </c>
      <c r="AS67" s="363">
        <f t="shared" si="10"/>
        <v>0</v>
      </c>
      <c r="AT67" s="363">
        <f t="shared" si="10"/>
        <v>0</v>
      </c>
      <c r="AU67" s="363">
        <f t="shared" si="10"/>
        <v>0</v>
      </c>
      <c r="AV67" s="363">
        <f t="shared" si="10"/>
        <v>0</v>
      </c>
      <c r="AW67" s="363">
        <f t="shared" si="10"/>
        <v>0</v>
      </c>
      <c r="AX67" s="363">
        <f t="shared" si="10"/>
        <v>0</v>
      </c>
      <c r="AY67" s="363">
        <f t="shared" si="10"/>
        <v>0</v>
      </c>
      <c r="AZ67" s="363">
        <f t="shared" si="10"/>
        <v>0</v>
      </c>
      <c r="BA67" s="363">
        <f t="shared" si="10"/>
        <v>0</v>
      </c>
      <c r="BB67" s="363">
        <f t="shared" si="10"/>
        <v>0</v>
      </c>
      <c r="BC67" s="363">
        <f t="shared" si="10"/>
        <v>0</v>
      </c>
      <c r="BD67" s="363">
        <f t="shared" si="10"/>
        <v>0</v>
      </c>
    </row>
    <row r="69" spans="4:56" x14ac:dyDescent="0.2">
      <c r="D69" s="327"/>
    </row>
    <row r="72" spans="4:56" x14ac:dyDescent="0.2">
      <c r="D72" s="314"/>
      <c r="E72" s="314"/>
    </row>
    <row r="76" spans="4:56" x14ac:dyDescent="0.2">
      <c r="D76" s="10"/>
    </row>
    <row r="77" spans="4:56" x14ac:dyDescent="0.2">
      <c r="D77" s="10"/>
    </row>
    <row r="78" spans="4:56" x14ac:dyDescent="0.2">
      <c r="D78" s="10"/>
    </row>
    <row r="79" spans="4:56" x14ac:dyDescent="0.2">
      <c r="D79" s="10"/>
    </row>
    <row r="80" spans="4:56" x14ac:dyDescent="0.2">
      <c r="D80" s="10"/>
    </row>
    <row r="81" spans="4:56" x14ac:dyDescent="0.2">
      <c r="D81" s="10"/>
    </row>
    <row r="82" spans="4:56" x14ac:dyDescent="0.2">
      <c r="D82" s="10"/>
    </row>
    <row r="83" spans="4:56" x14ac:dyDescent="0.2">
      <c r="D83" s="10"/>
    </row>
    <row r="84" spans="4:56" x14ac:dyDescent="0.2">
      <c r="D84" s="10"/>
    </row>
    <row r="85" spans="4:56" x14ac:dyDescent="0.2">
      <c r="D85" s="32"/>
    </row>
    <row r="86" spans="4:56" x14ac:dyDescent="0.2">
      <c r="D86" s="32"/>
    </row>
    <row r="88" spans="4:56" x14ac:dyDescent="0.2">
      <c r="BD88" s="336"/>
    </row>
  </sheetData>
  <mergeCells count="1">
    <mergeCell ref="K4:L4"/>
  </mergeCells>
  <pageMargins left="0.7" right="0.7" top="0.75" bottom="0.75" header="0.3" footer="0.3"/>
  <pageSetup paperSize="9" orientation="portrait" r:id="rId1"/>
  <headerFooter>
    <oddFooter>&amp;L&amp;1#&amp;"Calibri"&amp;8&amp;K000000For Official use only</oddFooter>
  </headerFooter>
  <customProperties>
    <customPr name="EpmWorksheetKeyString_GUID" r:id="rId2"/>
  </customProperties>
  <drawing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C53775-5074-458F-B768-6AAE7579DD76}">
  <dimension ref="A1"/>
  <sheetViews>
    <sheetView workbookViewId="0"/>
  </sheetViews>
  <sheetFormatPr defaultRowHeight="10.199999999999999" x14ac:dyDescent="0.2"/>
  <sheetData/>
  <pageMargins left="0.7" right="0.7" top="0.75" bottom="0.75" header="0.3" footer="0.3"/>
  <pageSetup paperSize="9" orientation="portrait" r:id="rId1"/>
  <headerFooter>
    <oddFooter>&amp;L&amp;1#&amp;"Calibri"&amp;8&amp;K000000For Official use only</oddFooter>
  </headerFooter>
  <customProperties>
    <customPr name="EpmWorksheetKeyString_GUID" r:id="rId2"/>
  </customPropertie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5609F8-55F6-45A7-A3A7-7AA746806C28}">
  <dimension ref="A1:AU50"/>
  <sheetViews>
    <sheetView showGridLines="0" topLeftCell="C24" zoomScale="115" zoomScaleNormal="115" workbookViewId="0">
      <pane xSplit="2" topLeftCell="E1" activePane="topRight" state="frozen"/>
      <selection pane="topRight" activeCell="E29" sqref="E29"/>
    </sheetView>
  </sheetViews>
  <sheetFormatPr defaultColWidth="10.7109375" defaultRowHeight="10.35" customHeight="1" x14ac:dyDescent="0.2"/>
  <cols>
    <col min="1" max="3" width="1.7109375" customWidth="1"/>
    <col min="4" max="4" width="24.85546875" bestFit="1" customWidth="1"/>
    <col min="5" max="5" width="241.28515625" bestFit="1" customWidth="1"/>
  </cols>
  <sheetData>
    <row r="1" spans="1:37" s="8" customFormat="1" ht="10.35" customHeight="1" x14ac:dyDescent="0.2">
      <c r="A1" s="20"/>
      <c r="B1" s="80"/>
      <c r="C1" s="80"/>
      <c r="D1" s="80"/>
      <c r="E1" s="80"/>
      <c r="F1" s="80"/>
      <c r="G1" s="80"/>
      <c r="H1" s="80"/>
      <c r="I1" s="80"/>
      <c r="J1" s="80"/>
      <c r="K1" s="179"/>
      <c r="L1" s="180"/>
      <c r="M1" s="80"/>
      <c r="N1" s="21"/>
      <c r="O1" s="80"/>
      <c r="P1" s="80"/>
      <c r="Q1" s="80"/>
      <c r="R1" s="80"/>
      <c r="S1" s="80"/>
      <c r="T1" s="80"/>
      <c r="U1" s="80"/>
      <c r="V1" s="80"/>
      <c r="W1" s="80"/>
      <c r="X1" s="80"/>
      <c r="Y1" s="80"/>
      <c r="Z1" s="20"/>
      <c r="AA1" s="80"/>
      <c r="AB1" s="22"/>
      <c r="AC1" s="80"/>
      <c r="AD1" s="80"/>
      <c r="AE1" s="80"/>
      <c r="AF1" s="80"/>
      <c r="AG1" s="80"/>
      <c r="AH1" s="80"/>
      <c r="AI1" s="20"/>
      <c r="AJ1" s="80"/>
      <c r="AK1" s="22"/>
    </row>
    <row r="2" spans="1:37" s="8" customFormat="1" ht="20.100000000000001" customHeight="1" x14ac:dyDescent="0.35">
      <c r="A2" s="80"/>
      <c r="B2" s="181"/>
      <c r="C2" s="80"/>
      <c r="D2" s="266" t="s">
        <v>262</v>
      </c>
      <c r="E2" s="266"/>
      <c r="F2" s="266"/>
      <c r="G2" s="266"/>
      <c r="H2" s="266"/>
      <c r="I2" s="266"/>
      <c r="J2" s="266"/>
      <c r="K2" s="266"/>
      <c r="L2" s="180"/>
      <c r="M2" s="80"/>
      <c r="N2" s="21"/>
      <c r="O2" s="80"/>
      <c r="P2" s="80"/>
      <c r="Q2" s="80"/>
      <c r="R2" s="80"/>
      <c r="S2" s="80"/>
      <c r="T2" s="80"/>
      <c r="U2" s="80"/>
      <c r="V2" s="80"/>
      <c r="W2" s="80"/>
      <c r="X2" s="80"/>
      <c r="Y2" s="80"/>
      <c r="Z2" s="20"/>
      <c r="AA2" s="80"/>
      <c r="AB2" s="22"/>
      <c r="AC2" s="80"/>
      <c r="AD2" s="80"/>
      <c r="AE2" s="80"/>
      <c r="AF2" s="80"/>
      <c r="AG2" s="80"/>
      <c r="AH2" s="80"/>
      <c r="AI2" s="80"/>
      <c r="AJ2" s="80"/>
      <c r="AK2" s="80"/>
    </row>
    <row r="3" spans="1:37" s="8" customFormat="1" ht="5.4" customHeight="1" thickBot="1" x14ac:dyDescent="0.4">
      <c r="A3" s="80"/>
      <c r="B3" s="181"/>
      <c r="C3" s="80"/>
      <c r="D3" s="184"/>
      <c r="E3" s="184"/>
      <c r="F3" s="184"/>
      <c r="G3" s="184"/>
      <c r="H3" s="184"/>
      <c r="I3" s="184"/>
      <c r="J3" s="184"/>
      <c r="K3" s="184"/>
      <c r="L3" s="180"/>
      <c r="M3" s="80"/>
      <c r="N3" s="21"/>
      <c r="O3" s="80"/>
      <c r="P3" s="80"/>
      <c r="Q3" s="80"/>
      <c r="R3" s="80"/>
      <c r="S3" s="80"/>
      <c r="T3" s="80"/>
      <c r="U3" s="80"/>
      <c r="V3" s="80"/>
      <c r="W3" s="80"/>
      <c r="X3" s="80"/>
      <c r="Y3" s="80"/>
      <c r="Z3" s="20"/>
      <c r="AA3" s="80"/>
      <c r="AB3" s="22"/>
      <c r="AC3" s="80"/>
      <c r="AD3" s="80"/>
      <c r="AE3" s="80"/>
      <c r="AF3" s="80"/>
      <c r="AG3" s="80"/>
      <c r="AH3" s="80"/>
      <c r="AI3" s="80"/>
      <c r="AJ3" s="80"/>
      <c r="AK3" s="80"/>
    </row>
    <row r="4" spans="1:37" ht="13.8" x14ac:dyDescent="0.3">
      <c r="D4" s="185" t="s">
        <v>263</v>
      </c>
      <c r="E4" s="188"/>
    </row>
    <row r="5" spans="1:37" ht="10.35" customHeight="1" x14ac:dyDescent="0.2">
      <c r="D5" s="250" t="s">
        <v>264</v>
      </c>
      <c r="E5" s="186" t="s">
        <v>265</v>
      </c>
    </row>
    <row r="6" spans="1:37" ht="10.35" customHeight="1" x14ac:dyDescent="0.2">
      <c r="D6" s="250" t="s">
        <v>266</v>
      </c>
      <c r="E6" s="186" t="s">
        <v>267</v>
      </c>
    </row>
    <row r="7" spans="1:37" ht="10.35" customHeight="1" x14ac:dyDescent="0.2">
      <c r="D7" s="351" t="s">
        <v>268</v>
      </c>
      <c r="E7" s="186" t="s">
        <v>269</v>
      </c>
    </row>
    <row r="8" spans="1:37" ht="10.35" customHeight="1" x14ac:dyDescent="0.2">
      <c r="D8" s="438" t="s">
        <v>14</v>
      </c>
      <c r="E8" s="186" t="s">
        <v>270</v>
      </c>
    </row>
    <row r="9" spans="1:37" ht="10.35" customHeight="1" x14ac:dyDescent="0.2">
      <c r="D9" s="251" t="s">
        <v>271</v>
      </c>
      <c r="E9" s="186" t="s">
        <v>272</v>
      </c>
    </row>
    <row r="10" spans="1:37" ht="10.35" customHeight="1" x14ac:dyDescent="0.2">
      <c r="D10" s="251" t="s">
        <v>273</v>
      </c>
      <c r="E10" s="186" t="s">
        <v>274</v>
      </c>
    </row>
    <row r="11" spans="1:37" ht="10.35" customHeight="1" x14ac:dyDescent="0.2">
      <c r="D11" s="252" t="s">
        <v>275</v>
      </c>
      <c r="E11" s="186" t="s">
        <v>276</v>
      </c>
    </row>
    <row r="12" spans="1:37" ht="10.35" customHeight="1" x14ac:dyDescent="0.2">
      <c r="D12" s="252" t="s">
        <v>18</v>
      </c>
      <c r="E12" s="186" t="s">
        <v>277</v>
      </c>
    </row>
    <row r="13" spans="1:37" ht="10.35" customHeight="1" thickBot="1" x14ac:dyDescent="0.25">
      <c r="D13" s="352" t="s">
        <v>278</v>
      </c>
      <c r="E13" s="187" t="s">
        <v>279</v>
      </c>
    </row>
    <row r="14" spans="1:37" ht="10.35" customHeight="1" thickBot="1" x14ac:dyDescent="0.25">
      <c r="D14" s="245"/>
    </row>
    <row r="15" spans="1:37" ht="13.8" x14ac:dyDescent="0.3">
      <c r="D15" s="185" t="s">
        <v>280</v>
      </c>
      <c r="E15" s="188"/>
    </row>
    <row r="16" spans="1:37" ht="10.35" customHeight="1" x14ac:dyDescent="0.2">
      <c r="D16" s="439" t="s">
        <v>14</v>
      </c>
      <c r="E16" s="186" t="s">
        <v>281</v>
      </c>
    </row>
    <row r="17" spans="1:47" ht="10.35" customHeight="1" x14ac:dyDescent="0.2">
      <c r="D17" s="440" t="s">
        <v>15</v>
      </c>
      <c r="E17" s="186" t="s">
        <v>282</v>
      </c>
    </row>
    <row r="18" spans="1:47" ht="10.35" customHeight="1" x14ac:dyDescent="0.2">
      <c r="D18" s="441" t="s">
        <v>16</v>
      </c>
      <c r="E18" s="186" t="s">
        <v>283</v>
      </c>
    </row>
    <row r="19" spans="1:47" ht="10.35" customHeight="1" x14ac:dyDescent="0.2">
      <c r="D19" s="442" t="s">
        <v>17</v>
      </c>
      <c r="E19" s="186" t="s">
        <v>284</v>
      </c>
    </row>
    <row r="20" spans="1:47" ht="10.35" customHeight="1" x14ac:dyDescent="0.2">
      <c r="D20" s="443" t="s">
        <v>18</v>
      </c>
      <c r="E20" s="186" t="s">
        <v>285</v>
      </c>
    </row>
    <row r="21" spans="1:47" ht="10.35" customHeight="1" x14ac:dyDescent="0.2">
      <c r="D21" s="444" t="s">
        <v>19</v>
      </c>
      <c r="E21" s="186" t="s">
        <v>286</v>
      </c>
    </row>
    <row r="22" spans="1:47" ht="10.35" customHeight="1" thickBot="1" x14ac:dyDescent="0.25">
      <c r="D22" s="189" t="s">
        <v>20</v>
      </c>
      <c r="E22" s="187" t="s">
        <v>287</v>
      </c>
    </row>
    <row r="23" spans="1:47" s="245" customFormat="1" ht="10.35" customHeight="1" thickBot="1" x14ac:dyDescent="0.25"/>
    <row r="24" spans="1:47" s="8" customFormat="1" ht="13.8" x14ac:dyDescent="0.3">
      <c r="A24" s="20"/>
      <c r="B24" s="181"/>
      <c r="C24" s="80"/>
      <c r="D24" s="185" t="s">
        <v>288</v>
      </c>
      <c r="E24" s="445"/>
      <c r="F24" s="80"/>
      <c r="G24" s="22"/>
      <c r="H24" s="80"/>
      <c r="I24" s="80"/>
      <c r="J24" s="80"/>
      <c r="K24" s="80"/>
      <c r="L24" s="180"/>
      <c r="M24" s="80"/>
      <c r="N24" s="21"/>
      <c r="O24" s="80"/>
      <c r="P24" s="80"/>
      <c r="Q24" s="80"/>
      <c r="R24" s="80"/>
      <c r="S24" s="80"/>
      <c r="T24" s="80"/>
      <c r="U24" s="80"/>
      <c r="V24" s="80"/>
      <c r="W24" s="80"/>
      <c r="X24" s="80"/>
      <c r="Y24" s="80"/>
      <c r="Z24" s="20"/>
      <c r="AA24" s="22"/>
      <c r="AB24" s="22"/>
      <c r="AC24" s="80"/>
      <c r="AD24" s="80"/>
      <c r="AE24" s="80"/>
      <c r="AF24" s="80"/>
      <c r="AG24" s="80"/>
      <c r="AH24" s="80"/>
      <c r="AI24" s="80"/>
      <c r="AJ24" s="80"/>
      <c r="AK24" s="80"/>
      <c r="AL24" s="80"/>
      <c r="AM24" s="80"/>
      <c r="AN24" s="80"/>
      <c r="AO24" s="80"/>
      <c r="AP24" s="80"/>
      <c r="AQ24" s="80"/>
      <c r="AR24" s="80"/>
      <c r="AS24" s="80"/>
      <c r="AT24" s="80"/>
      <c r="AU24" s="80"/>
    </row>
    <row r="25" spans="1:47" s="8" customFormat="1" ht="13.8" x14ac:dyDescent="0.3">
      <c r="A25" s="20"/>
      <c r="B25" s="181"/>
      <c r="C25" s="80"/>
      <c r="D25" s="190" t="s">
        <v>289</v>
      </c>
      <c r="E25" s="186" t="s">
        <v>290</v>
      </c>
      <c r="F25" s="80"/>
      <c r="G25" s="22"/>
      <c r="H25" s="80"/>
      <c r="I25" s="80"/>
      <c r="J25" s="80"/>
      <c r="K25" s="80"/>
      <c r="L25" s="180"/>
      <c r="M25" s="80"/>
      <c r="N25" s="21"/>
      <c r="O25" s="80"/>
      <c r="P25" s="80"/>
      <c r="Q25" s="80"/>
      <c r="R25" s="80"/>
      <c r="S25" s="80"/>
      <c r="T25" s="80"/>
      <c r="U25" s="80"/>
      <c r="V25" s="80"/>
      <c r="W25" s="80"/>
      <c r="X25" s="80"/>
      <c r="Y25" s="80"/>
      <c r="Z25" s="20"/>
      <c r="AA25" s="22"/>
      <c r="AB25" s="22"/>
      <c r="AC25" s="80"/>
      <c r="AD25" s="80"/>
      <c r="AE25" s="80"/>
      <c r="AF25" s="80"/>
      <c r="AG25" s="80"/>
      <c r="AH25" s="80"/>
      <c r="AI25" s="80"/>
      <c r="AJ25" s="80"/>
      <c r="AK25" s="80"/>
      <c r="AL25" s="80"/>
      <c r="AM25" s="80"/>
      <c r="AN25" s="80"/>
      <c r="AO25" s="80"/>
      <c r="AP25" s="80"/>
      <c r="AQ25" s="80"/>
      <c r="AR25" s="80"/>
      <c r="AS25" s="80"/>
      <c r="AT25" s="80"/>
      <c r="AU25" s="80"/>
    </row>
    <row r="26" spans="1:47" s="8" customFormat="1" ht="10.35" customHeight="1" x14ac:dyDescent="0.3">
      <c r="A26" s="182"/>
      <c r="B26" s="80"/>
      <c r="C26" s="80"/>
      <c r="D26" s="190"/>
      <c r="E26" s="186" t="s">
        <v>291</v>
      </c>
      <c r="F26" s="80"/>
      <c r="G26" s="22"/>
      <c r="H26" s="80"/>
      <c r="I26" s="80"/>
      <c r="J26" s="80"/>
      <c r="K26" s="80"/>
      <c r="L26" s="180"/>
      <c r="M26" s="80"/>
      <c r="N26" s="21"/>
      <c r="O26" s="80"/>
      <c r="P26" s="80"/>
      <c r="Q26" s="80"/>
      <c r="R26" s="80"/>
      <c r="S26" s="80"/>
      <c r="T26" s="80"/>
      <c r="U26" s="80"/>
      <c r="V26" s="80"/>
      <c r="W26" s="80"/>
      <c r="X26" s="80"/>
      <c r="Y26" s="80"/>
      <c r="Z26" s="20"/>
      <c r="AA26" s="22"/>
      <c r="AB26" s="22"/>
      <c r="AC26" s="80"/>
      <c r="AD26" s="80"/>
      <c r="AE26" s="80"/>
      <c r="AF26" s="80"/>
      <c r="AG26" s="80"/>
      <c r="AH26" s="80"/>
      <c r="AI26" s="80"/>
      <c r="AJ26" s="80"/>
      <c r="AK26" s="80"/>
      <c r="AL26" s="80"/>
      <c r="AM26" s="80"/>
      <c r="AN26" s="80"/>
      <c r="AO26" s="80"/>
      <c r="AP26" s="80"/>
      <c r="AQ26" s="80"/>
      <c r="AR26" s="80"/>
      <c r="AS26" s="80"/>
      <c r="AT26" s="80"/>
      <c r="AU26" s="80"/>
    </row>
    <row r="27" spans="1:47" s="8" customFormat="1" ht="10.35" customHeight="1" x14ac:dyDescent="0.3">
      <c r="A27" s="80"/>
      <c r="B27" s="80"/>
      <c r="C27" s="80"/>
      <c r="D27" s="190"/>
      <c r="E27" s="186" t="s">
        <v>292</v>
      </c>
      <c r="F27" s="80"/>
      <c r="G27" s="80"/>
      <c r="H27" s="80"/>
      <c r="I27" s="80"/>
      <c r="J27" s="80"/>
      <c r="K27" s="80"/>
      <c r="L27" s="20"/>
      <c r="M27" s="80"/>
      <c r="N27" s="21"/>
      <c r="O27" s="80"/>
      <c r="P27" s="80"/>
      <c r="Q27" s="80"/>
      <c r="R27" s="80"/>
      <c r="S27" s="80"/>
      <c r="T27" s="80"/>
      <c r="U27" s="80"/>
      <c r="V27" s="80"/>
      <c r="W27" s="80"/>
      <c r="X27" s="80"/>
      <c r="Y27" s="80"/>
      <c r="Z27" s="20"/>
      <c r="AA27" s="22"/>
      <c r="AB27" s="22"/>
      <c r="AC27" s="80"/>
      <c r="AD27" s="80"/>
      <c r="AE27" s="80"/>
      <c r="AF27" s="80"/>
      <c r="AG27" s="80"/>
      <c r="AH27" s="80"/>
      <c r="AI27" s="80"/>
      <c r="AJ27" s="80"/>
      <c r="AK27" s="80"/>
      <c r="AL27" s="80"/>
      <c r="AM27" s="80"/>
      <c r="AN27" s="80"/>
      <c r="AO27" s="80"/>
      <c r="AP27" s="80"/>
      <c r="AQ27" s="80"/>
      <c r="AR27" s="80"/>
      <c r="AS27" s="80"/>
      <c r="AT27" s="80"/>
      <c r="AU27" s="80"/>
    </row>
    <row r="28" spans="1:47" s="8" customFormat="1" ht="10.35" customHeight="1" x14ac:dyDescent="0.3">
      <c r="A28" s="80"/>
      <c r="B28" s="80"/>
      <c r="C28" s="80"/>
      <c r="D28" s="190"/>
      <c r="E28" s="186" t="s">
        <v>293</v>
      </c>
      <c r="F28" s="80"/>
      <c r="G28" s="80"/>
      <c r="H28" s="80"/>
      <c r="I28" s="80"/>
      <c r="J28" s="80"/>
      <c r="K28" s="80"/>
      <c r="L28" s="20"/>
      <c r="M28" s="80"/>
      <c r="N28" s="21"/>
      <c r="O28" s="80"/>
      <c r="P28" s="80"/>
      <c r="Q28" s="80"/>
      <c r="R28" s="80"/>
      <c r="S28" s="80"/>
      <c r="T28" s="80"/>
      <c r="U28" s="80"/>
      <c r="V28" s="80"/>
      <c r="W28" s="80"/>
      <c r="X28" s="80"/>
      <c r="Y28" s="80"/>
      <c r="Z28" s="20"/>
      <c r="AA28" s="22"/>
      <c r="AB28" s="22"/>
      <c r="AC28" s="80"/>
      <c r="AD28" s="80"/>
      <c r="AE28" s="80"/>
      <c r="AF28" s="80"/>
      <c r="AG28" s="80"/>
      <c r="AH28" s="80"/>
      <c r="AI28" s="80"/>
      <c r="AJ28" s="80"/>
      <c r="AK28" s="80"/>
      <c r="AL28" s="80"/>
      <c r="AM28" s="80"/>
      <c r="AN28" s="80"/>
      <c r="AO28" s="80"/>
      <c r="AP28" s="80"/>
      <c r="AQ28" s="80"/>
      <c r="AR28" s="80"/>
      <c r="AS28" s="80"/>
      <c r="AT28" s="80"/>
      <c r="AU28" s="80"/>
    </row>
    <row r="29" spans="1:47" s="8" customFormat="1" ht="10.35" customHeight="1" x14ac:dyDescent="0.3">
      <c r="A29" s="80"/>
      <c r="B29" s="80"/>
      <c r="C29" s="80"/>
      <c r="D29" s="190"/>
      <c r="E29" s="186" t="s">
        <v>294</v>
      </c>
      <c r="F29" s="80"/>
      <c r="G29" s="80"/>
      <c r="H29" s="80"/>
      <c r="I29" s="80"/>
      <c r="J29" s="80"/>
      <c r="K29" s="80"/>
      <c r="L29" s="20"/>
      <c r="M29" s="80"/>
      <c r="N29" s="21"/>
      <c r="O29" s="80"/>
      <c r="P29" s="80"/>
      <c r="Q29" s="80"/>
      <c r="R29" s="80"/>
      <c r="S29" s="80"/>
      <c r="T29" s="80"/>
      <c r="U29" s="80"/>
      <c r="V29" s="80"/>
      <c r="W29" s="80"/>
      <c r="X29" s="80"/>
      <c r="Y29" s="80"/>
      <c r="Z29" s="20"/>
      <c r="AA29" s="22"/>
      <c r="AB29" s="22"/>
      <c r="AC29" s="80"/>
      <c r="AD29" s="80"/>
      <c r="AE29" s="80"/>
      <c r="AF29" s="80"/>
      <c r="AG29" s="80"/>
      <c r="AH29" s="80"/>
      <c r="AI29" s="80"/>
      <c r="AJ29" s="80"/>
      <c r="AK29" s="80"/>
      <c r="AL29" s="80"/>
      <c r="AM29" s="80"/>
      <c r="AN29" s="80"/>
      <c r="AO29" s="80"/>
      <c r="AP29" s="80"/>
      <c r="AQ29" s="80"/>
      <c r="AR29" s="80"/>
      <c r="AS29" s="80"/>
      <c r="AT29" s="80"/>
      <c r="AU29" s="80"/>
    </row>
    <row r="30" spans="1:47" ht="10.35" customHeight="1" x14ac:dyDescent="0.3">
      <c r="D30" s="190"/>
      <c r="E30" s="186" t="s">
        <v>295</v>
      </c>
    </row>
    <row r="31" spans="1:47" ht="10.35" customHeight="1" x14ac:dyDescent="0.3">
      <c r="A31" s="43"/>
      <c r="B31" s="65"/>
      <c r="C31" s="42"/>
      <c r="D31" s="190"/>
      <c r="E31" s="186" t="s">
        <v>296</v>
      </c>
      <c r="F31" s="42"/>
      <c r="G31" s="42"/>
      <c r="H31" s="42"/>
      <c r="I31" s="42"/>
      <c r="J31" s="42"/>
      <c r="K31" s="42"/>
      <c r="L31" s="42"/>
      <c r="M31" s="42"/>
      <c r="N31" s="42"/>
      <c r="O31" s="42"/>
      <c r="P31" s="42"/>
      <c r="Q31" s="42"/>
      <c r="R31" s="42"/>
      <c r="S31" s="42"/>
      <c r="T31" s="42"/>
      <c r="U31" s="42"/>
      <c r="V31" s="42"/>
      <c r="W31" s="42"/>
      <c r="X31" s="42"/>
      <c r="Y31" s="42"/>
      <c r="Z31" s="42"/>
      <c r="AA31" s="42"/>
      <c r="AB31" s="42"/>
      <c r="AC31" s="42"/>
      <c r="AD31" s="42"/>
      <c r="AE31" s="42"/>
      <c r="AF31" s="42"/>
      <c r="AG31" s="42"/>
      <c r="AH31" s="42"/>
      <c r="AI31" s="42"/>
      <c r="AJ31" s="42"/>
      <c r="AK31" s="42"/>
      <c r="AL31" s="42"/>
      <c r="AM31" s="42"/>
      <c r="AN31" s="42"/>
      <c r="AO31" s="42"/>
      <c r="AP31" s="42"/>
      <c r="AQ31" s="42"/>
      <c r="AR31" s="42"/>
      <c r="AS31" s="42"/>
      <c r="AT31" s="42"/>
      <c r="AU31" s="42"/>
    </row>
    <row r="32" spans="1:47" ht="10.35" customHeight="1" x14ac:dyDescent="0.3">
      <c r="A32" s="43"/>
      <c r="B32" s="43"/>
      <c r="C32" s="44"/>
      <c r="D32" s="190"/>
      <c r="E32" s="186" t="s">
        <v>297</v>
      </c>
      <c r="F32" s="42"/>
      <c r="G32" s="42"/>
      <c r="H32" s="42"/>
      <c r="I32" s="42"/>
      <c r="J32" s="42"/>
      <c r="K32" s="42"/>
      <c r="L32" s="42"/>
      <c r="M32" s="42"/>
      <c r="N32" s="42"/>
      <c r="O32" s="42"/>
      <c r="P32" s="42"/>
      <c r="Q32" s="42"/>
      <c r="R32" s="42"/>
      <c r="S32" s="42"/>
      <c r="T32" s="42"/>
      <c r="U32" s="42"/>
      <c r="V32" s="42"/>
      <c r="W32" s="42"/>
      <c r="X32" s="42"/>
      <c r="Y32" s="42"/>
      <c r="Z32" s="42"/>
      <c r="AA32" s="42"/>
      <c r="AB32" s="42"/>
      <c r="AC32" s="42"/>
      <c r="AD32" s="42"/>
      <c r="AE32" s="42"/>
      <c r="AF32" s="42"/>
      <c r="AG32" s="42"/>
      <c r="AH32" s="42"/>
      <c r="AI32" s="42"/>
      <c r="AJ32" s="42"/>
      <c r="AK32" s="42"/>
      <c r="AL32" s="42"/>
      <c r="AM32" s="42"/>
      <c r="AN32" s="42"/>
      <c r="AO32" s="42"/>
      <c r="AP32" s="42"/>
      <c r="AQ32" s="42"/>
      <c r="AR32" s="42"/>
      <c r="AS32" s="42"/>
      <c r="AT32" s="42"/>
      <c r="AU32" s="42"/>
    </row>
    <row r="33" spans="1:47" ht="10.35" customHeight="1" x14ac:dyDescent="0.3">
      <c r="A33" s="43"/>
      <c r="B33" s="43"/>
      <c r="C33" s="44"/>
      <c r="D33" s="190"/>
      <c r="E33" s="186" t="s">
        <v>298</v>
      </c>
      <c r="F33" s="42"/>
      <c r="G33" s="42"/>
      <c r="H33" s="42"/>
      <c r="I33" s="42"/>
      <c r="J33" s="42"/>
      <c r="K33" s="42"/>
      <c r="L33" s="42"/>
      <c r="M33" s="42"/>
      <c r="N33" s="42"/>
      <c r="O33" s="42"/>
      <c r="P33" s="42"/>
      <c r="Q33" s="42"/>
      <c r="R33" s="42"/>
      <c r="S33" s="42"/>
      <c r="T33" s="42"/>
      <c r="U33" s="42"/>
      <c r="V33" s="42"/>
      <c r="W33" s="42"/>
      <c r="X33" s="42"/>
      <c r="Y33" s="42"/>
      <c r="Z33" s="42"/>
      <c r="AA33" s="42"/>
      <c r="AB33" s="42"/>
      <c r="AC33" s="42"/>
      <c r="AD33" s="42"/>
      <c r="AE33" s="42"/>
      <c r="AF33" s="42"/>
      <c r="AG33" s="42"/>
      <c r="AH33" s="42"/>
      <c r="AI33" s="42"/>
      <c r="AJ33" s="42"/>
      <c r="AK33" s="42"/>
      <c r="AL33" s="42"/>
      <c r="AM33" s="42"/>
      <c r="AN33" s="42"/>
      <c r="AO33" s="42"/>
      <c r="AP33" s="42"/>
      <c r="AQ33" s="42"/>
      <c r="AR33" s="42"/>
      <c r="AS33" s="42"/>
      <c r="AT33" s="42"/>
      <c r="AU33" s="42"/>
    </row>
    <row r="34" spans="1:47" ht="10.35" customHeight="1" x14ac:dyDescent="0.3">
      <c r="A34" s="43"/>
      <c r="B34" s="43"/>
      <c r="C34" s="44"/>
      <c r="D34" s="190"/>
      <c r="E34" s="186" t="s">
        <v>299</v>
      </c>
      <c r="F34" s="42"/>
      <c r="G34" s="42"/>
      <c r="H34" s="42"/>
      <c r="I34" s="42"/>
      <c r="J34" s="42"/>
      <c r="K34" s="42"/>
      <c r="L34" s="42"/>
      <c r="M34" s="42"/>
      <c r="N34" s="42"/>
      <c r="O34" s="42"/>
      <c r="P34" s="42"/>
      <c r="Q34" s="42"/>
      <c r="R34" s="42"/>
      <c r="S34" s="42"/>
      <c r="T34" s="42"/>
      <c r="U34" s="42"/>
      <c r="V34" s="42"/>
      <c r="W34" s="42"/>
      <c r="X34" s="42"/>
      <c r="Y34" s="42"/>
      <c r="Z34" s="42"/>
      <c r="AA34" s="42"/>
      <c r="AB34" s="42"/>
      <c r="AC34" s="42"/>
      <c r="AD34" s="42"/>
      <c r="AE34" s="42"/>
      <c r="AF34" s="42"/>
      <c r="AG34" s="42"/>
      <c r="AH34" s="42"/>
      <c r="AI34" s="42"/>
      <c r="AJ34" s="42"/>
      <c r="AK34" s="42"/>
      <c r="AL34" s="42"/>
      <c r="AM34" s="42"/>
      <c r="AN34" s="42"/>
      <c r="AO34" s="42"/>
      <c r="AP34" s="42"/>
      <c r="AQ34" s="42"/>
      <c r="AR34" s="42"/>
      <c r="AS34" s="42"/>
      <c r="AT34" s="42"/>
      <c r="AU34" s="42"/>
    </row>
    <row r="35" spans="1:47" ht="10.65" customHeight="1" x14ac:dyDescent="0.3">
      <c r="A35" s="43"/>
      <c r="B35" s="43"/>
      <c r="C35" s="44"/>
      <c r="D35" s="190"/>
      <c r="E35" s="186" t="s">
        <v>300</v>
      </c>
      <c r="F35" s="42"/>
      <c r="G35" s="42"/>
      <c r="H35" s="42"/>
      <c r="I35" s="42"/>
      <c r="J35" s="42"/>
      <c r="K35" s="42"/>
      <c r="L35" s="42"/>
      <c r="M35" s="42"/>
      <c r="N35" s="42"/>
      <c r="O35" s="42"/>
      <c r="P35" s="42"/>
      <c r="Q35" s="42"/>
      <c r="R35" s="42"/>
      <c r="S35" s="42"/>
      <c r="T35" s="42"/>
      <c r="U35" s="42"/>
      <c r="V35" s="42"/>
      <c r="W35" s="42"/>
      <c r="X35" s="42"/>
      <c r="Y35" s="42"/>
      <c r="Z35" s="42"/>
      <c r="AA35" s="42"/>
      <c r="AB35" s="42"/>
      <c r="AC35" s="42"/>
      <c r="AD35" s="42"/>
      <c r="AE35" s="42"/>
      <c r="AF35" s="42"/>
      <c r="AG35" s="42"/>
      <c r="AH35" s="42"/>
      <c r="AI35" s="42"/>
      <c r="AJ35" s="42"/>
      <c r="AK35" s="42"/>
      <c r="AL35" s="42"/>
      <c r="AM35" s="42"/>
      <c r="AN35" s="42"/>
      <c r="AO35" s="42"/>
      <c r="AP35" s="42"/>
      <c r="AQ35" s="42"/>
      <c r="AR35" s="42"/>
      <c r="AS35" s="42"/>
      <c r="AT35" s="42"/>
      <c r="AU35" s="42"/>
    </row>
    <row r="36" spans="1:47" ht="10.65" customHeight="1" x14ac:dyDescent="0.3">
      <c r="A36" s="43"/>
      <c r="B36" s="43"/>
      <c r="C36" s="44"/>
      <c r="D36" s="190"/>
      <c r="E36" s="186" t="s">
        <v>301</v>
      </c>
      <c r="F36" s="42"/>
      <c r="G36" s="42"/>
      <c r="H36" s="42"/>
      <c r="I36" s="42"/>
      <c r="J36" s="42"/>
      <c r="K36" s="42"/>
      <c r="L36" s="42"/>
      <c r="M36" s="42"/>
      <c r="N36" s="42"/>
      <c r="O36" s="42"/>
      <c r="P36" s="42"/>
      <c r="Q36" s="42"/>
      <c r="R36" s="42"/>
      <c r="S36" s="42"/>
      <c r="T36" s="42"/>
      <c r="U36" s="42"/>
      <c r="V36" s="42"/>
      <c r="W36" s="42"/>
      <c r="X36" s="42"/>
      <c r="Y36" s="42"/>
      <c r="Z36" s="42"/>
      <c r="AA36" s="42"/>
      <c r="AB36" s="42"/>
      <c r="AC36" s="42"/>
      <c r="AD36" s="42"/>
      <c r="AE36" s="42"/>
      <c r="AF36" s="42"/>
      <c r="AG36" s="42"/>
      <c r="AH36" s="42"/>
      <c r="AI36" s="42"/>
      <c r="AJ36" s="42"/>
      <c r="AK36" s="42"/>
      <c r="AL36" s="42"/>
      <c r="AM36" s="42"/>
      <c r="AN36" s="42"/>
      <c r="AO36" s="42"/>
      <c r="AP36" s="42"/>
      <c r="AQ36" s="42"/>
      <c r="AR36" s="42"/>
      <c r="AS36" s="42"/>
      <c r="AT36" s="42"/>
      <c r="AU36" s="42"/>
    </row>
    <row r="37" spans="1:47" ht="13.8" x14ac:dyDescent="0.3">
      <c r="A37" s="43"/>
      <c r="B37" s="43"/>
      <c r="C37" s="44"/>
      <c r="D37" s="190" t="s">
        <v>34</v>
      </c>
      <c r="E37" s="186"/>
      <c r="F37" s="42"/>
      <c r="G37" s="42"/>
      <c r="H37" s="42"/>
      <c r="I37" s="42"/>
      <c r="J37" s="42"/>
      <c r="K37" s="42"/>
      <c r="L37" s="42"/>
      <c r="M37" s="42"/>
      <c r="N37" s="42"/>
      <c r="O37" s="42"/>
      <c r="P37" s="42"/>
      <c r="Q37" s="42"/>
      <c r="R37" s="42"/>
      <c r="S37" s="42"/>
      <c r="T37" s="42"/>
      <c r="U37" s="42"/>
      <c r="V37" s="42"/>
      <c r="W37" s="42"/>
      <c r="X37" s="42"/>
      <c r="Y37" s="42"/>
      <c r="Z37" s="42"/>
      <c r="AA37" s="42"/>
      <c r="AB37" s="42"/>
      <c r="AC37" s="42"/>
      <c r="AD37" s="42"/>
      <c r="AE37" s="42"/>
      <c r="AF37" s="42"/>
      <c r="AG37" s="42"/>
      <c r="AH37" s="42"/>
      <c r="AI37" s="42"/>
      <c r="AJ37" s="42"/>
      <c r="AK37" s="42"/>
      <c r="AL37" s="42"/>
      <c r="AM37" s="42"/>
      <c r="AN37" s="42"/>
      <c r="AO37" s="42"/>
      <c r="AP37" s="42"/>
      <c r="AQ37" s="42"/>
      <c r="AR37" s="42"/>
      <c r="AS37" s="42"/>
      <c r="AT37" s="42"/>
      <c r="AU37" s="42"/>
    </row>
    <row r="38" spans="1:47" ht="10.35" customHeight="1" x14ac:dyDescent="0.3">
      <c r="A38" s="43"/>
      <c r="B38" s="43"/>
      <c r="C38" s="44"/>
      <c r="D38" s="190"/>
      <c r="E38" s="186" t="s">
        <v>302</v>
      </c>
      <c r="F38" s="42"/>
      <c r="G38" s="42"/>
      <c r="H38" s="42"/>
      <c r="I38" s="42"/>
      <c r="J38" s="42"/>
      <c r="K38" s="42"/>
      <c r="L38" s="42"/>
      <c r="M38" s="42"/>
      <c r="N38" s="42"/>
      <c r="O38" s="42"/>
      <c r="P38" s="42"/>
      <c r="Q38" s="42"/>
      <c r="R38" s="42"/>
      <c r="S38" s="42"/>
      <c r="T38" s="42"/>
      <c r="U38" s="42"/>
      <c r="V38" s="42"/>
      <c r="W38" s="42"/>
      <c r="X38" s="42"/>
      <c r="Y38" s="42"/>
      <c r="Z38" s="42"/>
      <c r="AA38" s="42"/>
      <c r="AB38" s="42"/>
      <c r="AC38" s="42"/>
      <c r="AD38" s="42"/>
      <c r="AE38" s="42"/>
      <c r="AF38" s="42"/>
      <c r="AG38" s="42"/>
      <c r="AH38" s="42"/>
      <c r="AI38" s="42"/>
      <c r="AJ38" s="42"/>
      <c r="AK38" s="42"/>
      <c r="AL38" s="42"/>
      <c r="AM38" s="42"/>
      <c r="AN38" s="42"/>
      <c r="AO38" s="42"/>
      <c r="AP38" s="42"/>
      <c r="AQ38" s="42"/>
      <c r="AR38" s="42"/>
      <c r="AS38" s="42"/>
      <c r="AT38" s="42"/>
      <c r="AU38" s="42"/>
    </row>
    <row r="39" spans="1:47" ht="10.35" customHeight="1" x14ac:dyDescent="0.3">
      <c r="A39" s="43"/>
      <c r="B39" s="43"/>
      <c r="C39" s="44"/>
      <c r="D39" s="190"/>
      <c r="E39" s="186" t="s">
        <v>303</v>
      </c>
      <c r="F39" s="42"/>
      <c r="G39" s="42"/>
      <c r="H39" s="42"/>
      <c r="I39" s="42"/>
      <c r="J39" s="42"/>
      <c r="K39" s="42"/>
      <c r="L39" s="42"/>
      <c r="M39" s="42"/>
      <c r="N39" s="42"/>
      <c r="O39" s="42"/>
      <c r="P39" s="42"/>
      <c r="Q39" s="42"/>
      <c r="R39" s="42"/>
      <c r="S39" s="42"/>
      <c r="T39" s="42"/>
      <c r="U39" s="42"/>
      <c r="V39" s="42"/>
      <c r="W39" s="42"/>
      <c r="X39" s="42"/>
      <c r="Y39" s="42"/>
      <c r="Z39" s="42"/>
      <c r="AA39" s="42"/>
      <c r="AB39" s="42"/>
      <c r="AC39" s="42"/>
      <c r="AD39" s="42"/>
      <c r="AE39" s="42"/>
      <c r="AF39" s="42"/>
      <c r="AG39" s="42"/>
      <c r="AH39" s="42"/>
      <c r="AI39" s="42"/>
      <c r="AJ39" s="42"/>
      <c r="AK39" s="42"/>
      <c r="AL39" s="42"/>
      <c r="AM39" s="42"/>
      <c r="AN39" s="42"/>
      <c r="AO39" s="42"/>
      <c r="AP39" s="42"/>
      <c r="AQ39" s="42"/>
      <c r="AR39" s="42"/>
      <c r="AS39" s="42"/>
      <c r="AT39" s="42"/>
      <c r="AU39" s="42"/>
    </row>
    <row r="40" spans="1:47" ht="10.35" customHeight="1" x14ac:dyDescent="0.3">
      <c r="A40" s="43"/>
      <c r="B40" s="43"/>
      <c r="C40" s="44"/>
      <c r="D40" s="190"/>
      <c r="E40" s="186" t="s">
        <v>304</v>
      </c>
      <c r="F40" s="42"/>
      <c r="G40" s="42"/>
      <c r="H40" s="42"/>
      <c r="I40" s="42"/>
      <c r="J40" s="42"/>
      <c r="K40" s="42"/>
      <c r="L40" s="42"/>
      <c r="M40" s="42"/>
      <c r="N40" s="42"/>
      <c r="O40" s="42"/>
      <c r="P40" s="42"/>
      <c r="Q40" s="42"/>
      <c r="R40" s="42"/>
      <c r="S40" s="42"/>
      <c r="T40" s="42"/>
      <c r="U40" s="42"/>
      <c r="V40" s="42"/>
      <c r="W40" s="42"/>
      <c r="X40" s="42"/>
      <c r="Y40" s="42"/>
      <c r="Z40" s="42"/>
      <c r="AA40" s="42"/>
      <c r="AB40" s="42"/>
      <c r="AC40" s="42"/>
      <c r="AD40" s="42"/>
      <c r="AE40" s="42"/>
      <c r="AF40" s="42"/>
      <c r="AG40" s="42"/>
      <c r="AH40" s="42"/>
      <c r="AI40" s="42"/>
      <c r="AJ40" s="42"/>
      <c r="AK40" s="42"/>
      <c r="AL40" s="42"/>
      <c r="AM40" s="42"/>
      <c r="AN40" s="42"/>
      <c r="AO40" s="42"/>
      <c r="AP40" s="42"/>
      <c r="AQ40" s="42"/>
      <c r="AR40" s="42"/>
      <c r="AS40" s="42"/>
      <c r="AT40" s="42"/>
      <c r="AU40" s="42"/>
    </row>
    <row r="41" spans="1:47" ht="10.35" customHeight="1" thickBot="1" x14ac:dyDescent="0.35">
      <c r="D41" s="191"/>
      <c r="E41" s="187"/>
      <c r="G41" s="47"/>
    </row>
    <row r="42" spans="1:47" s="47" customFormat="1" ht="10.35" customHeight="1" thickBot="1" x14ac:dyDescent="0.3">
      <c r="A42" s="43"/>
      <c r="B42" s="44"/>
      <c r="C42" s="65"/>
      <c r="D42" s="42"/>
      <c r="E42" s="183" t="s">
        <v>27</v>
      </c>
      <c r="F42" s="42"/>
      <c r="G42" s="42"/>
      <c r="H42" s="42"/>
      <c r="I42" s="42"/>
      <c r="J42" s="42"/>
      <c r="K42" s="42"/>
      <c r="L42" s="42"/>
      <c r="M42" s="46"/>
      <c r="O42" s="46"/>
      <c r="P42" s="46"/>
      <c r="Q42" s="46"/>
      <c r="R42" s="46"/>
      <c r="S42" s="46"/>
      <c r="T42" s="46"/>
      <c r="U42" s="46"/>
      <c r="V42" s="46"/>
      <c r="W42" s="46"/>
    </row>
    <row r="43" spans="1:47" ht="13.8" x14ac:dyDescent="0.3">
      <c r="D43" s="185" t="s">
        <v>174</v>
      </c>
      <c r="E43" s="188"/>
    </row>
    <row r="44" spans="1:47" ht="10.35" customHeight="1" x14ac:dyDescent="0.2">
      <c r="D44" s="246" t="s">
        <v>122</v>
      </c>
      <c r="E44" s="186" t="s">
        <v>305</v>
      </c>
    </row>
    <row r="45" spans="1:47" ht="10.35" customHeight="1" x14ac:dyDescent="0.2">
      <c r="D45" s="246" t="s">
        <v>203</v>
      </c>
      <c r="E45" s="186" t="s">
        <v>306</v>
      </c>
    </row>
    <row r="46" spans="1:47" ht="10.35" customHeight="1" x14ac:dyDescent="0.2">
      <c r="D46" s="246" t="s">
        <v>204</v>
      </c>
      <c r="E46" s="186" t="s">
        <v>307</v>
      </c>
    </row>
    <row r="47" spans="1:47" ht="10.35" customHeight="1" thickBot="1" x14ac:dyDescent="0.25">
      <c r="D47" s="247" t="s">
        <v>124</v>
      </c>
      <c r="E47" s="187" t="s">
        <v>308</v>
      </c>
    </row>
    <row r="48" spans="1:47" ht="10.35" customHeight="1" thickBot="1" x14ac:dyDescent="0.25"/>
    <row r="49" spans="4:5" ht="12" x14ac:dyDescent="0.25">
      <c r="D49" s="249" t="s">
        <v>309</v>
      </c>
      <c r="E49" s="188"/>
    </row>
    <row r="50" spans="4:5" ht="10.35" customHeight="1" thickBot="1" x14ac:dyDescent="0.25">
      <c r="D50" s="248"/>
      <c r="E50" s="187" t="s">
        <v>310</v>
      </c>
    </row>
  </sheetData>
  <pageMargins left="0.7" right="0.7" top="0.75" bottom="0.75" header="0.3" footer="0.3"/>
  <pageSetup paperSize="9" orientation="portrait" r:id="rId1"/>
  <headerFooter>
    <oddFooter>&amp;L&amp;1#&amp;"Calibri"&amp;8&amp;K000000For Official use only</oddFooter>
  </headerFooter>
  <customProperties>
    <customPr name="EpmWorksheetKeyString_GUID" r:id="rId2"/>
  </customPropertie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U69"/>
  <sheetViews>
    <sheetView showGridLines="0" topLeftCell="A38" zoomScale="115" zoomScaleNormal="115" workbookViewId="0">
      <selection activeCell="A23" sqref="A23"/>
    </sheetView>
  </sheetViews>
  <sheetFormatPr defaultColWidth="10.7109375" defaultRowHeight="10.35" customHeight="1" x14ac:dyDescent="0.2"/>
  <cols>
    <col min="1" max="3" width="1.7109375" customWidth="1"/>
  </cols>
  <sheetData>
    <row r="1" spans="1:47" s="2" customFormat="1" ht="10.35" customHeight="1" x14ac:dyDescent="0.2">
      <c r="A1" s="1" t="s">
        <v>12</v>
      </c>
      <c r="B1" s="392"/>
      <c r="C1" s="392"/>
      <c r="D1" s="392"/>
      <c r="E1" s="392"/>
      <c r="F1" s="392"/>
      <c r="G1" s="392"/>
      <c r="H1" s="392"/>
      <c r="I1" s="392"/>
      <c r="J1" s="392"/>
      <c r="K1" s="3"/>
      <c r="L1" s="4"/>
      <c r="M1" s="392"/>
      <c r="N1" s="5"/>
      <c r="O1" s="392"/>
      <c r="P1" s="392"/>
      <c r="Q1" s="392"/>
      <c r="R1" s="392"/>
      <c r="S1" s="392"/>
      <c r="T1" s="392"/>
      <c r="U1" s="392"/>
      <c r="V1" s="392"/>
      <c r="W1" s="392"/>
      <c r="X1" s="392"/>
      <c r="Y1" s="392"/>
      <c r="Z1" s="1"/>
      <c r="AA1" s="392"/>
      <c r="AB1" s="6"/>
      <c r="AC1" s="392"/>
      <c r="AD1" s="392"/>
      <c r="AE1" s="392"/>
      <c r="AF1" s="392"/>
      <c r="AG1" s="392"/>
      <c r="AH1" s="392"/>
      <c r="AI1" s="1"/>
      <c r="AJ1" s="392"/>
      <c r="AK1" s="6"/>
      <c r="AL1" s="392"/>
      <c r="AM1" s="392"/>
      <c r="AN1" s="392"/>
      <c r="AO1" s="392"/>
      <c r="AP1" s="392"/>
      <c r="AQ1" s="392"/>
      <c r="AR1" s="392"/>
      <c r="AS1" s="392"/>
      <c r="AT1" s="392"/>
      <c r="AU1" s="392"/>
    </row>
    <row r="2" spans="1:47" s="2" customFormat="1" ht="10.35" customHeight="1" x14ac:dyDescent="0.2">
      <c r="A2" s="392"/>
      <c r="B2" s="160" t="str">
        <f ca="1">RIGHT(CELL("filename",A1),LEN(CELL("filename",A1))-FIND("]",CELL("filename",A1)))</f>
        <v>MODELoverview</v>
      </c>
      <c r="C2" s="392"/>
      <c r="D2" s="392"/>
      <c r="E2" s="392"/>
      <c r="F2" s="392"/>
      <c r="G2" s="392"/>
      <c r="H2" s="392"/>
      <c r="I2" s="392"/>
      <c r="J2" s="392"/>
      <c r="K2" s="392"/>
      <c r="L2" s="4"/>
      <c r="M2" s="392"/>
      <c r="N2" s="5"/>
      <c r="O2" s="392"/>
      <c r="P2" s="392"/>
      <c r="Q2" s="392"/>
      <c r="R2" s="392"/>
      <c r="S2" s="392"/>
      <c r="T2" s="392"/>
      <c r="U2" s="392"/>
      <c r="V2" s="392"/>
      <c r="W2" s="392"/>
      <c r="X2" s="392"/>
      <c r="Y2" s="392"/>
      <c r="Z2" s="1"/>
      <c r="AA2" s="392"/>
      <c r="AB2" s="6"/>
      <c r="AC2" s="392"/>
      <c r="AD2" s="392"/>
      <c r="AE2" s="392"/>
      <c r="AF2" s="392"/>
      <c r="AG2" s="392"/>
      <c r="AH2" s="392"/>
      <c r="AI2" s="392"/>
      <c r="AJ2" s="392"/>
      <c r="AK2" s="392"/>
      <c r="AL2" s="392"/>
      <c r="AM2" s="392"/>
      <c r="AN2" s="392"/>
      <c r="AO2" s="392"/>
      <c r="AP2" s="392"/>
      <c r="AQ2" s="392"/>
      <c r="AR2" s="392"/>
      <c r="AS2" s="392"/>
      <c r="AT2" s="392"/>
      <c r="AU2" s="392"/>
    </row>
    <row r="3" spans="1:47" s="2" customFormat="1" ht="10.35" customHeight="1" x14ac:dyDescent="0.2">
      <c r="A3" s="1"/>
      <c r="B3" s="160"/>
      <c r="C3" s="392"/>
      <c r="D3" s="392"/>
      <c r="E3" s="392"/>
      <c r="F3" s="392"/>
      <c r="G3" s="6"/>
      <c r="H3" s="392"/>
      <c r="I3" s="392"/>
      <c r="J3" s="392"/>
      <c r="K3" s="392"/>
      <c r="L3" s="4"/>
      <c r="M3" s="392"/>
      <c r="N3" s="5"/>
      <c r="O3" s="392"/>
      <c r="P3" s="392"/>
      <c r="Q3" s="392"/>
      <c r="R3" s="392"/>
      <c r="S3" s="392"/>
      <c r="T3" s="392"/>
      <c r="U3" s="392"/>
      <c r="V3" s="392"/>
      <c r="W3" s="392"/>
      <c r="X3" s="392"/>
      <c r="Y3" s="392"/>
      <c r="Z3" s="1"/>
      <c r="AA3" s="6"/>
      <c r="AB3" s="6"/>
      <c r="AC3" s="392"/>
      <c r="AD3" s="392"/>
      <c r="AE3" s="392"/>
      <c r="AF3" s="392"/>
      <c r="AG3" s="392"/>
      <c r="AH3" s="392"/>
      <c r="AI3" s="392"/>
      <c r="AJ3" s="392"/>
      <c r="AK3" s="392"/>
      <c r="AL3" s="392"/>
      <c r="AM3" s="392"/>
      <c r="AN3" s="392"/>
      <c r="AO3" s="392"/>
      <c r="AP3" s="392"/>
      <c r="AQ3" s="392"/>
      <c r="AR3" s="392"/>
      <c r="AS3" s="392"/>
      <c r="AT3" s="392"/>
      <c r="AU3" s="392"/>
    </row>
    <row r="4" spans="1:47" s="2" customFormat="1" ht="10.35" customHeight="1" x14ac:dyDescent="0.2">
      <c r="A4" s="7"/>
      <c r="B4" s="392"/>
      <c r="C4" s="392"/>
      <c r="D4" s="11"/>
      <c r="E4" s="392"/>
      <c r="F4" s="392"/>
      <c r="G4" s="6"/>
      <c r="H4" s="392"/>
      <c r="I4" s="392"/>
      <c r="J4" s="392"/>
      <c r="K4" s="392"/>
      <c r="L4" s="4"/>
      <c r="M4" s="392"/>
      <c r="N4" s="5"/>
      <c r="O4" s="392"/>
      <c r="P4" s="392"/>
      <c r="Q4" s="392"/>
      <c r="R4" s="392"/>
      <c r="S4" s="392"/>
      <c r="T4" s="392"/>
      <c r="U4" s="392"/>
      <c r="V4" s="392"/>
      <c r="W4" s="392"/>
      <c r="X4" s="392"/>
      <c r="Y4" s="392"/>
      <c r="Z4" s="1"/>
      <c r="AA4" s="6"/>
      <c r="AB4" s="6"/>
      <c r="AC4" s="392"/>
      <c r="AD4" s="392"/>
      <c r="AE4" s="392"/>
      <c r="AF4" s="392"/>
      <c r="AG4" s="392"/>
      <c r="AH4" s="392"/>
      <c r="AI4" s="392"/>
      <c r="AJ4" s="392"/>
      <c r="AK4" s="392"/>
      <c r="AL4" s="392"/>
      <c r="AM4" s="392"/>
      <c r="AN4" s="392"/>
      <c r="AO4" s="392"/>
      <c r="AP4" s="392"/>
      <c r="AQ4" s="392"/>
      <c r="AR4" s="392"/>
      <c r="AS4" s="392"/>
      <c r="AT4" s="392"/>
      <c r="AU4" s="392"/>
    </row>
    <row r="5" spans="1:47" s="2" customFormat="1" ht="10.35" customHeight="1" x14ac:dyDescent="0.2">
      <c r="A5" s="392"/>
      <c r="B5" s="392"/>
      <c r="C5" s="392"/>
      <c r="D5" s="392"/>
      <c r="E5" s="392"/>
      <c r="F5" s="392"/>
      <c r="G5" s="392"/>
      <c r="H5" s="392"/>
      <c r="I5" s="392"/>
      <c r="J5" s="392"/>
      <c r="K5" s="392"/>
      <c r="L5" s="1"/>
      <c r="M5" s="392"/>
      <c r="N5" s="5"/>
      <c r="O5" s="392"/>
      <c r="P5" s="392"/>
      <c r="Q5" s="392"/>
      <c r="R5" s="392"/>
      <c r="S5" s="392"/>
      <c r="T5" s="392"/>
      <c r="U5" s="392"/>
      <c r="V5" s="392"/>
      <c r="W5" s="392"/>
      <c r="X5" s="392"/>
      <c r="Y5" s="392"/>
      <c r="Z5" s="1"/>
      <c r="AA5" s="6"/>
      <c r="AB5" s="6"/>
      <c r="AC5" s="392"/>
      <c r="AD5" s="392"/>
      <c r="AE5" s="392"/>
      <c r="AF5" s="392"/>
      <c r="AG5" s="392"/>
      <c r="AH5" s="392"/>
      <c r="AI5" s="392"/>
      <c r="AJ5" s="392"/>
      <c r="AK5" s="392"/>
      <c r="AL5" s="392"/>
      <c r="AM5" s="392"/>
      <c r="AN5" s="392"/>
      <c r="AO5" s="392"/>
      <c r="AP5" s="392"/>
      <c r="AQ5" s="392"/>
      <c r="AR5" s="392"/>
      <c r="AS5" s="392"/>
      <c r="AT5" s="392"/>
      <c r="AU5" s="392"/>
    </row>
    <row r="7" spans="1:47" s="51" customFormat="1" ht="10.35" customHeight="1" x14ac:dyDescent="0.25">
      <c r="A7" s="49"/>
      <c r="B7" s="59" t="s">
        <v>311</v>
      </c>
      <c r="C7" s="50"/>
      <c r="D7" s="50"/>
      <c r="E7" s="50"/>
      <c r="F7" s="50"/>
      <c r="G7" s="50"/>
      <c r="H7" s="50"/>
      <c r="I7" s="50"/>
      <c r="J7" s="50"/>
      <c r="K7" s="50"/>
      <c r="L7" s="50"/>
      <c r="M7" s="50"/>
      <c r="N7" s="50"/>
      <c r="O7" s="50"/>
      <c r="P7" s="50"/>
      <c r="Q7" s="50"/>
      <c r="R7" s="50"/>
      <c r="S7" s="50"/>
      <c r="T7" s="50"/>
      <c r="U7" s="50"/>
      <c r="V7" s="50"/>
      <c r="W7" s="50"/>
      <c r="X7" s="50"/>
      <c r="Y7" s="50"/>
      <c r="Z7" s="50"/>
      <c r="AA7" s="50"/>
      <c r="AB7" s="50"/>
      <c r="AC7" s="50"/>
      <c r="AD7" s="50"/>
      <c r="AE7" s="50"/>
      <c r="AF7" s="50"/>
      <c r="AG7" s="50"/>
      <c r="AH7" s="50"/>
      <c r="AI7" s="50"/>
      <c r="AJ7" s="50"/>
      <c r="AK7" s="50"/>
      <c r="AL7" s="50"/>
      <c r="AM7" s="50"/>
      <c r="AN7" s="50"/>
      <c r="AO7" s="50"/>
      <c r="AP7" s="50"/>
      <c r="AQ7" s="50"/>
      <c r="AR7" s="50"/>
      <c r="AS7" s="50"/>
      <c r="AT7" s="50"/>
      <c r="AU7" s="50"/>
    </row>
    <row r="8" spans="1:47" ht="10.35" customHeight="1" x14ac:dyDescent="0.25">
      <c r="A8" s="43"/>
      <c r="B8" s="43"/>
      <c r="C8" s="44"/>
      <c r="D8" s="42"/>
      <c r="E8" s="42"/>
      <c r="F8" s="42"/>
      <c r="G8" s="42"/>
      <c r="H8" s="42"/>
      <c r="I8" s="42"/>
      <c r="J8" s="42"/>
      <c r="K8" s="42"/>
      <c r="L8" s="42"/>
      <c r="M8" s="42"/>
      <c r="N8" s="42"/>
      <c r="O8" s="42"/>
      <c r="P8" s="42"/>
      <c r="Q8" s="42"/>
      <c r="R8" s="42"/>
      <c r="S8" s="42"/>
      <c r="T8" s="42"/>
      <c r="U8" s="42"/>
      <c r="V8" s="42"/>
      <c r="W8" s="42"/>
      <c r="X8" s="42"/>
      <c r="Y8" s="42"/>
      <c r="Z8" s="42"/>
      <c r="AA8" s="42"/>
      <c r="AB8" s="42"/>
      <c r="AC8" s="42"/>
      <c r="AD8" s="42"/>
      <c r="AE8" s="42"/>
      <c r="AF8" s="42"/>
      <c r="AG8" s="42"/>
      <c r="AH8" s="42"/>
      <c r="AI8" s="42"/>
      <c r="AJ8" s="42"/>
      <c r="AK8" s="42"/>
      <c r="AL8" s="42"/>
      <c r="AM8" s="42"/>
      <c r="AN8" s="42"/>
      <c r="AO8" s="42"/>
      <c r="AP8" s="42"/>
      <c r="AQ8" s="42"/>
      <c r="AR8" s="42"/>
      <c r="AS8" s="42"/>
      <c r="AT8" s="42"/>
      <c r="AU8" s="42"/>
    </row>
    <row r="9" spans="1:47" s="47" customFormat="1" ht="10.35" customHeight="1" x14ac:dyDescent="0.25">
      <c r="A9" s="45"/>
      <c r="B9" s="519" t="s">
        <v>312</v>
      </c>
      <c r="C9" s="519"/>
      <c r="D9" s="519"/>
      <c r="E9" s="519"/>
      <c r="F9" s="519"/>
      <c r="G9" s="519"/>
      <c r="H9" s="519"/>
      <c r="I9" s="519"/>
      <c r="J9" s="519"/>
      <c r="K9" s="519"/>
      <c r="L9" s="519"/>
      <c r="M9" s="46"/>
      <c r="O9" s="46"/>
      <c r="P9" s="46"/>
      <c r="Q9" s="46"/>
      <c r="R9" s="46"/>
      <c r="S9" s="46"/>
      <c r="T9" s="46"/>
      <c r="U9" s="46"/>
      <c r="V9" s="46"/>
      <c r="W9" s="46"/>
    </row>
    <row r="10" spans="1:47" s="47" customFormat="1" ht="10.35" customHeight="1" x14ac:dyDescent="0.25">
      <c r="A10" s="45"/>
      <c r="B10" s="519"/>
      <c r="C10" s="519"/>
      <c r="D10" s="519"/>
      <c r="E10" s="519"/>
      <c r="F10" s="519"/>
      <c r="G10" s="519"/>
      <c r="H10" s="519"/>
      <c r="I10" s="519"/>
      <c r="J10" s="519"/>
      <c r="K10" s="519"/>
      <c r="L10" s="519"/>
      <c r="M10" s="46"/>
      <c r="O10" s="46"/>
      <c r="P10" s="46"/>
      <c r="Q10" s="46"/>
      <c r="R10" s="46"/>
      <c r="S10" s="46"/>
      <c r="T10" s="46"/>
      <c r="U10" s="46"/>
      <c r="V10" s="46"/>
      <c r="W10" s="46"/>
    </row>
    <row r="11" spans="1:47" s="47" customFormat="1" ht="10.35" customHeight="1" x14ac:dyDescent="0.25">
      <c r="A11" s="45"/>
      <c r="B11" s="519"/>
      <c r="C11" s="519"/>
      <c r="D11" s="519"/>
      <c r="E11" s="519"/>
      <c r="F11" s="519"/>
      <c r="G11" s="519"/>
      <c r="H11" s="519"/>
      <c r="I11" s="519"/>
      <c r="J11" s="519"/>
      <c r="K11" s="519"/>
      <c r="L11" s="519"/>
      <c r="M11" s="46"/>
      <c r="O11" s="46"/>
      <c r="P11" s="46"/>
      <c r="Q11" s="46"/>
      <c r="R11" s="46"/>
      <c r="S11" s="46"/>
      <c r="T11" s="46"/>
      <c r="U11" s="46"/>
      <c r="V11" s="46"/>
      <c r="W11" s="46"/>
    </row>
    <row r="12" spans="1:47" s="47" customFormat="1" ht="10.35" customHeight="1" x14ac:dyDescent="0.25">
      <c r="A12" s="45"/>
      <c r="B12" s="519"/>
      <c r="C12" s="519"/>
      <c r="D12" s="519"/>
      <c r="E12" s="519"/>
      <c r="F12" s="519"/>
      <c r="G12" s="519"/>
      <c r="H12" s="519"/>
      <c r="I12" s="519"/>
      <c r="J12" s="519"/>
      <c r="K12" s="519"/>
      <c r="L12" s="519"/>
      <c r="M12" s="46"/>
      <c r="O12" s="46"/>
      <c r="P12" s="46"/>
      <c r="Q12" s="46"/>
      <c r="R12" s="46"/>
      <c r="S12" s="46"/>
      <c r="T12" s="46"/>
      <c r="U12" s="46"/>
      <c r="V12" s="46"/>
      <c r="W12" s="46"/>
    </row>
    <row r="13" spans="1:47" s="47" customFormat="1" ht="10.35" customHeight="1" x14ac:dyDescent="0.25">
      <c r="A13" s="45"/>
      <c r="B13" s="519"/>
      <c r="C13" s="519"/>
      <c r="D13" s="519"/>
      <c r="E13" s="519"/>
      <c r="F13" s="519"/>
      <c r="G13" s="519"/>
      <c r="H13" s="519"/>
      <c r="I13" s="519"/>
      <c r="J13" s="519"/>
      <c r="K13" s="519"/>
      <c r="L13" s="519"/>
      <c r="M13" s="46"/>
      <c r="O13" s="46"/>
      <c r="P13" s="46"/>
      <c r="Q13" s="46"/>
      <c r="R13" s="46"/>
      <c r="S13" s="46"/>
      <c r="T13" s="46"/>
      <c r="U13" s="46"/>
      <c r="V13" s="46"/>
      <c r="W13" s="46"/>
    </row>
    <row r="14" spans="1:47" ht="10.35" customHeight="1" x14ac:dyDescent="0.2">
      <c r="B14" s="519"/>
      <c r="C14" s="519"/>
      <c r="D14" s="519"/>
      <c r="E14" s="519"/>
      <c r="F14" s="519"/>
      <c r="G14" s="519"/>
      <c r="H14" s="519"/>
      <c r="I14" s="519"/>
      <c r="J14" s="519"/>
      <c r="K14" s="519"/>
      <c r="L14" s="519"/>
    </row>
    <row r="15" spans="1:47" ht="10.35" customHeight="1" x14ac:dyDescent="0.2">
      <c r="B15" s="519"/>
      <c r="C15" s="519"/>
      <c r="D15" s="519"/>
      <c r="E15" s="519"/>
      <c r="F15" s="519"/>
      <c r="G15" s="519"/>
      <c r="H15" s="519"/>
      <c r="I15" s="519"/>
      <c r="J15" s="519"/>
      <c r="K15" s="519"/>
      <c r="L15" s="519"/>
    </row>
    <row r="16" spans="1:47" ht="10.35" customHeight="1" x14ac:dyDescent="0.2">
      <c r="B16" s="519"/>
      <c r="C16" s="519"/>
      <c r="D16" s="519"/>
      <c r="E16" s="519"/>
      <c r="F16" s="519"/>
      <c r="G16" s="519"/>
      <c r="H16" s="519"/>
      <c r="I16" s="519"/>
      <c r="J16" s="519"/>
      <c r="K16" s="519"/>
      <c r="L16" s="519"/>
    </row>
    <row r="17" spans="1:23" ht="10.35" customHeight="1" x14ac:dyDescent="0.2">
      <c r="B17" s="519"/>
      <c r="C17" s="519"/>
      <c r="D17" s="519"/>
      <c r="E17" s="519"/>
      <c r="F17" s="519"/>
      <c r="G17" s="519"/>
      <c r="H17" s="519"/>
      <c r="I17" s="519"/>
      <c r="J17" s="519"/>
      <c r="K17" s="519"/>
      <c r="L17" s="519"/>
    </row>
    <row r="18" spans="1:23" ht="10.35" customHeight="1" x14ac:dyDescent="0.2">
      <c r="B18" s="519"/>
      <c r="C18" s="519"/>
      <c r="D18" s="519"/>
      <c r="E18" s="519"/>
      <c r="F18" s="519"/>
      <c r="G18" s="519"/>
      <c r="H18" s="519"/>
      <c r="I18" s="519"/>
      <c r="J18" s="519"/>
      <c r="K18" s="519"/>
      <c r="L18" s="519"/>
    </row>
    <row r="19" spans="1:23" ht="10.35" customHeight="1" x14ac:dyDescent="0.25">
      <c r="G19" s="47"/>
    </row>
    <row r="20" spans="1:23" s="57" customFormat="1" ht="10.35" customHeight="1" x14ac:dyDescent="0.25">
      <c r="A20" s="53"/>
      <c r="B20" s="54"/>
      <c r="C20" s="58" t="s">
        <v>313</v>
      </c>
      <c r="D20" s="55"/>
      <c r="E20" s="55"/>
      <c r="F20" s="55"/>
      <c r="G20" s="55"/>
      <c r="H20" s="55"/>
      <c r="I20" s="55"/>
      <c r="J20" s="55"/>
      <c r="K20" s="55"/>
      <c r="L20" s="55"/>
      <c r="M20" s="56"/>
      <c r="O20" s="56"/>
      <c r="P20" s="56"/>
      <c r="Q20" s="56"/>
      <c r="R20" s="56"/>
      <c r="S20" s="56"/>
      <c r="T20" s="56"/>
      <c r="U20" s="56"/>
      <c r="V20" s="56"/>
      <c r="W20" s="56"/>
    </row>
    <row r="69" spans="24:24" ht="10.35" customHeight="1" x14ac:dyDescent="0.2">
      <c r="X69" s="22"/>
    </row>
  </sheetData>
  <mergeCells count="1">
    <mergeCell ref="B9:L18"/>
  </mergeCells>
  <pageMargins left="0.7" right="0.7" top="0.75" bottom="0.75" header="0.3" footer="0.3"/>
  <pageSetup paperSize="9" orientation="portrait" r:id="rId1"/>
  <headerFooter>
    <oddFooter>&amp;L&amp;1#&amp;"Calibri"&amp;8&amp;K000000For Official use only</oddFooter>
  </headerFooter>
  <customProperties>
    <customPr name="EpmWorksheetKeyString_GUID" r:id="rId2"/>
  </customProperties>
  <drawing r:id="rId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outlinePr summaryBelow="0"/>
  </sheetPr>
  <dimension ref="A1:AU398"/>
  <sheetViews>
    <sheetView showGridLines="0" workbookViewId="0">
      <selection activeCell="D194" sqref="D194"/>
    </sheetView>
  </sheetViews>
  <sheetFormatPr defaultColWidth="10.7109375" defaultRowHeight="10.35" customHeight="1" outlineLevelRow="1" x14ac:dyDescent="0.2"/>
  <cols>
    <col min="1" max="3" width="1.7109375" customWidth="1"/>
  </cols>
  <sheetData>
    <row r="1" spans="1:47" s="2" customFormat="1" ht="10.35" customHeight="1" x14ac:dyDescent="0.2">
      <c r="A1" s="1" t="s">
        <v>12</v>
      </c>
      <c r="B1" s="392"/>
      <c r="C1" s="392"/>
      <c r="D1" s="392"/>
      <c r="E1" s="392"/>
      <c r="F1" s="392"/>
      <c r="G1" s="392"/>
      <c r="H1" s="392"/>
      <c r="I1" s="392"/>
      <c r="J1" s="392"/>
      <c r="K1" s="3"/>
      <c r="L1" s="4"/>
      <c r="M1" s="392"/>
      <c r="N1" s="5"/>
      <c r="O1" s="392"/>
      <c r="P1" s="392"/>
      <c r="Q1" s="392"/>
      <c r="R1" s="392"/>
      <c r="S1" s="392"/>
      <c r="T1" s="392"/>
      <c r="U1" s="392"/>
      <c r="V1" s="392"/>
      <c r="W1" s="392"/>
      <c r="X1" s="392"/>
      <c r="Y1" s="392"/>
      <c r="Z1" s="1"/>
      <c r="AA1" s="392"/>
      <c r="AB1" s="6"/>
      <c r="AC1" s="392"/>
      <c r="AD1" s="392"/>
      <c r="AE1" s="392"/>
      <c r="AF1" s="392"/>
      <c r="AG1" s="392"/>
      <c r="AH1" s="392"/>
      <c r="AI1" s="1"/>
      <c r="AJ1" s="392"/>
      <c r="AK1" s="6"/>
      <c r="AL1" s="392"/>
      <c r="AM1" s="392"/>
      <c r="AN1" s="392"/>
      <c r="AO1" s="392"/>
      <c r="AP1" s="392"/>
      <c r="AQ1" s="392"/>
      <c r="AR1" s="392"/>
      <c r="AS1" s="392"/>
      <c r="AT1" s="392"/>
      <c r="AU1" s="392"/>
    </row>
    <row r="2" spans="1:47" s="2" customFormat="1" ht="10.35" customHeight="1" x14ac:dyDescent="0.2">
      <c r="A2" s="392"/>
      <c r="B2" s="160" t="str">
        <f ca="1">RIGHT(CELL("filename",A1),LEN(CELL("filename",A1))-FIND("]",CELL("filename",A1)))</f>
        <v>NPVoverview</v>
      </c>
      <c r="C2" s="392"/>
      <c r="D2" s="392"/>
      <c r="E2" s="392"/>
      <c r="F2" s="392"/>
      <c r="G2" s="392"/>
      <c r="H2" s="392"/>
      <c r="I2" s="392"/>
      <c r="J2" s="392"/>
      <c r="K2" s="392"/>
      <c r="L2" s="4"/>
      <c r="M2" s="392"/>
      <c r="N2" s="5"/>
      <c r="O2" s="392"/>
      <c r="P2" s="392"/>
      <c r="Q2" s="392"/>
      <c r="R2" s="392"/>
      <c r="S2" s="392"/>
      <c r="T2" s="392"/>
      <c r="U2" s="392"/>
      <c r="V2" s="392"/>
      <c r="W2" s="392"/>
      <c r="X2" s="392"/>
      <c r="Y2" s="392"/>
      <c r="Z2" s="1"/>
      <c r="AA2" s="392"/>
      <c r="AB2" s="6"/>
      <c r="AC2" s="392"/>
      <c r="AD2" s="392"/>
      <c r="AE2" s="392"/>
      <c r="AF2" s="392"/>
      <c r="AG2" s="392"/>
      <c r="AH2" s="392"/>
      <c r="AI2" s="392"/>
      <c r="AJ2" s="392"/>
      <c r="AK2" s="392"/>
      <c r="AL2" s="392"/>
      <c r="AM2" s="392"/>
      <c r="AN2" s="392"/>
      <c r="AO2" s="392"/>
      <c r="AP2" s="392"/>
      <c r="AQ2" s="392"/>
      <c r="AR2" s="392"/>
      <c r="AS2" s="392"/>
      <c r="AT2" s="392"/>
      <c r="AU2" s="392"/>
    </row>
    <row r="3" spans="1:47" s="2" customFormat="1" ht="10.35" customHeight="1" x14ac:dyDescent="0.2">
      <c r="A3" s="1"/>
      <c r="B3" s="160"/>
      <c r="C3" s="392"/>
      <c r="D3" s="392"/>
      <c r="E3" s="392"/>
      <c r="F3" s="392"/>
      <c r="G3" s="6"/>
      <c r="H3" s="392"/>
      <c r="I3" s="392"/>
      <c r="J3" s="392"/>
      <c r="K3" s="392"/>
      <c r="L3" s="4"/>
      <c r="M3" s="392"/>
      <c r="N3" s="5"/>
      <c r="O3" s="392"/>
      <c r="P3" s="392"/>
      <c r="Q3" s="392"/>
      <c r="R3" s="392"/>
      <c r="S3" s="392"/>
      <c r="T3" s="392"/>
      <c r="U3" s="392"/>
      <c r="V3" s="392"/>
      <c r="W3" s="392"/>
      <c r="X3" s="392"/>
      <c r="Y3" s="392"/>
      <c r="Z3" s="1"/>
      <c r="AA3" s="6"/>
      <c r="AB3" s="6"/>
      <c r="AC3" s="392"/>
      <c r="AD3" s="392"/>
      <c r="AE3" s="392"/>
      <c r="AF3" s="392"/>
      <c r="AG3" s="392"/>
      <c r="AH3" s="392"/>
      <c r="AI3" s="392"/>
      <c r="AJ3" s="392"/>
      <c r="AK3" s="392"/>
      <c r="AL3" s="392"/>
      <c r="AM3" s="392"/>
      <c r="AN3" s="392"/>
      <c r="AO3" s="392"/>
      <c r="AP3" s="392"/>
      <c r="AQ3" s="392"/>
      <c r="AR3" s="392"/>
      <c r="AS3" s="392"/>
      <c r="AT3" s="392"/>
      <c r="AU3" s="392"/>
    </row>
    <row r="4" spans="1:47" s="2" customFormat="1" ht="10.35" customHeight="1" x14ac:dyDescent="0.2">
      <c r="A4" s="7"/>
      <c r="B4" s="392"/>
      <c r="C4" s="392"/>
      <c r="D4" s="11"/>
      <c r="E4" s="392"/>
      <c r="F4" s="392"/>
      <c r="G4" s="6"/>
      <c r="H4" s="392"/>
      <c r="I4" s="392"/>
      <c r="J4" s="392"/>
      <c r="K4" s="392"/>
      <c r="L4" s="4"/>
      <c r="M4" s="392"/>
      <c r="N4" s="5"/>
      <c r="O4" s="392"/>
      <c r="P4" s="392"/>
      <c r="Q4" s="392"/>
      <c r="R4" s="392"/>
      <c r="S4" s="392"/>
      <c r="T4" s="392"/>
      <c r="U4" s="392"/>
      <c r="V4" s="392"/>
      <c r="W4" s="392"/>
      <c r="X4" s="392"/>
      <c r="Y4" s="392"/>
      <c r="Z4" s="1"/>
      <c r="AA4" s="6"/>
      <c r="AB4" s="6"/>
      <c r="AC4" s="392"/>
      <c r="AD4" s="392"/>
      <c r="AE4" s="392"/>
      <c r="AF4" s="392"/>
      <c r="AG4" s="392"/>
      <c r="AH4" s="392"/>
      <c r="AI4" s="392"/>
      <c r="AJ4" s="392"/>
      <c r="AK4" s="392"/>
      <c r="AL4" s="392"/>
      <c r="AM4" s="392"/>
      <c r="AN4" s="392"/>
      <c r="AO4" s="392"/>
      <c r="AP4" s="392"/>
      <c r="AQ4" s="392"/>
      <c r="AR4" s="392"/>
      <c r="AS4" s="392"/>
      <c r="AT4" s="392"/>
      <c r="AU4" s="392"/>
    </row>
    <row r="5" spans="1:47" s="2" customFormat="1" ht="10.35" customHeight="1" x14ac:dyDescent="0.2">
      <c r="A5" s="392"/>
      <c r="B5" s="392"/>
      <c r="C5" s="392"/>
      <c r="D5" s="392"/>
      <c r="E5" s="392"/>
      <c r="F5" s="392"/>
      <c r="G5" s="392"/>
      <c r="H5" s="392"/>
      <c r="I5" s="392"/>
      <c r="J5" s="392"/>
      <c r="K5" s="392"/>
      <c r="L5" s="1"/>
      <c r="M5" s="392"/>
      <c r="N5" s="5"/>
      <c r="O5" s="392"/>
      <c r="P5" s="392"/>
      <c r="Q5" s="392"/>
      <c r="R5" s="392"/>
      <c r="S5" s="392"/>
      <c r="T5" s="392"/>
      <c r="U5" s="392"/>
      <c r="V5" s="392"/>
      <c r="W5" s="392"/>
      <c r="X5" s="392"/>
      <c r="Y5" s="392"/>
      <c r="Z5" s="1"/>
      <c r="AA5" s="6"/>
      <c r="AB5" s="6"/>
      <c r="AC5" s="392"/>
      <c r="AD5" s="392"/>
      <c r="AE5" s="392"/>
      <c r="AF5" s="392"/>
      <c r="AG5" s="392"/>
      <c r="AH5" s="392"/>
      <c r="AI5" s="392"/>
      <c r="AJ5" s="392"/>
      <c r="AK5" s="392"/>
      <c r="AL5" s="392"/>
      <c r="AM5" s="392"/>
      <c r="AN5" s="392"/>
      <c r="AO5" s="392"/>
      <c r="AP5" s="392"/>
      <c r="AQ5" s="392"/>
      <c r="AR5" s="392"/>
      <c r="AS5" s="392"/>
      <c r="AT5" s="392"/>
      <c r="AU5" s="392"/>
    </row>
    <row r="7" spans="1:47" s="51" customFormat="1" ht="10.35" customHeight="1" x14ac:dyDescent="0.25">
      <c r="A7" s="49"/>
      <c r="B7" s="59" t="s">
        <v>311</v>
      </c>
      <c r="C7" s="50"/>
      <c r="D7" s="50"/>
      <c r="E7" s="50"/>
      <c r="F7" s="50"/>
      <c r="G7" s="50"/>
      <c r="H7" s="50"/>
      <c r="I7" s="50"/>
      <c r="J7" s="50"/>
      <c r="K7" s="50"/>
      <c r="L7" s="50"/>
      <c r="M7" s="50"/>
      <c r="N7" s="50"/>
      <c r="O7" s="50"/>
      <c r="P7" s="50"/>
      <c r="Q7" s="50"/>
      <c r="R7" s="50"/>
      <c r="S7" s="50"/>
      <c r="T7" s="50"/>
      <c r="U7" s="50"/>
      <c r="V7" s="50"/>
      <c r="W7" s="50"/>
      <c r="X7" s="50"/>
      <c r="Y7" s="50"/>
      <c r="Z7" s="50"/>
      <c r="AA7" s="50"/>
      <c r="AB7" s="50"/>
      <c r="AC7" s="50"/>
      <c r="AD7" s="50"/>
      <c r="AE7" s="50"/>
      <c r="AF7" s="50"/>
      <c r="AG7" s="50"/>
      <c r="AH7" s="50"/>
      <c r="AI7" s="50"/>
      <c r="AJ7" s="50"/>
      <c r="AK7" s="50"/>
      <c r="AL7" s="50"/>
      <c r="AM7" s="50"/>
      <c r="AN7" s="50"/>
      <c r="AO7" s="50"/>
      <c r="AP7" s="50"/>
      <c r="AQ7" s="50"/>
      <c r="AR7" s="50"/>
      <c r="AS7" s="50"/>
      <c r="AT7" s="50"/>
      <c r="AU7" s="50"/>
    </row>
    <row r="8" spans="1:47" ht="10.35" customHeight="1" x14ac:dyDescent="0.25">
      <c r="A8" s="43"/>
      <c r="B8" s="43"/>
      <c r="C8" s="44"/>
      <c r="D8" s="42"/>
      <c r="E8" s="42"/>
      <c r="F8" s="42"/>
      <c r="G8" s="42"/>
      <c r="H8" s="42"/>
      <c r="I8" s="42"/>
      <c r="J8" s="42"/>
      <c r="K8" s="42"/>
      <c r="L8" s="42"/>
      <c r="M8" s="42"/>
      <c r="N8" s="42"/>
      <c r="O8" s="42"/>
      <c r="P8" s="42"/>
      <c r="Q8" s="42"/>
      <c r="R8" s="42"/>
      <c r="S8" s="42"/>
      <c r="T8" s="42"/>
      <c r="U8" s="42"/>
      <c r="V8" s="42"/>
      <c r="W8" s="42"/>
      <c r="X8" s="42"/>
      <c r="Y8" s="42"/>
      <c r="Z8" s="42"/>
      <c r="AA8" s="42"/>
      <c r="AB8" s="42"/>
      <c r="AC8" s="42"/>
      <c r="AD8" s="42"/>
      <c r="AE8" s="42"/>
      <c r="AF8" s="42"/>
      <c r="AG8" s="42"/>
      <c r="AH8" s="42"/>
      <c r="AI8" s="42"/>
      <c r="AJ8" s="42"/>
      <c r="AK8" s="42"/>
      <c r="AL8" s="42"/>
      <c r="AM8" s="42"/>
      <c r="AN8" s="42"/>
      <c r="AO8" s="42"/>
      <c r="AP8" s="42"/>
      <c r="AQ8" s="42"/>
      <c r="AR8" s="42"/>
      <c r="AS8" s="42"/>
      <c r="AT8" s="42"/>
      <c r="AU8" s="42"/>
    </row>
    <row r="9" spans="1:47" s="47" customFormat="1" ht="10.35" customHeight="1" x14ac:dyDescent="0.25">
      <c r="A9" s="45"/>
      <c r="B9" s="524" t="s">
        <v>314</v>
      </c>
      <c r="C9" s="524"/>
      <c r="D9" s="524"/>
      <c r="E9" s="524"/>
      <c r="F9" s="524"/>
      <c r="G9" s="524"/>
      <c r="H9" s="524"/>
      <c r="I9" s="524"/>
      <c r="J9" s="524"/>
      <c r="K9" s="524"/>
      <c r="L9" s="524"/>
      <c r="M9" s="46"/>
      <c r="O9" s="46"/>
      <c r="P9" s="46"/>
      <c r="Q9" s="46"/>
      <c r="R9" s="46"/>
      <c r="S9" s="46"/>
      <c r="T9" s="46"/>
      <c r="U9" s="46"/>
      <c r="V9" s="46"/>
      <c r="W9" s="46"/>
    </row>
    <row r="10" spans="1:47" s="47" customFormat="1" ht="10.35" customHeight="1" x14ac:dyDescent="0.25">
      <c r="A10" s="45"/>
      <c r="B10" s="524"/>
      <c r="C10" s="524"/>
      <c r="D10" s="524"/>
      <c r="E10" s="524"/>
      <c r="F10" s="524"/>
      <c r="G10" s="524"/>
      <c r="H10" s="524"/>
      <c r="I10" s="524"/>
      <c r="J10" s="524"/>
      <c r="K10" s="524"/>
      <c r="L10" s="524"/>
      <c r="M10" s="46"/>
      <c r="O10" s="46"/>
      <c r="P10" s="46"/>
      <c r="Q10" s="46"/>
      <c r="R10" s="46"/>
      <c r="S10" s="46"/>
      <c r="T10" s="46"/>
      <c r="U10" s="46"/>
      <c r="V10" s="46"/>
      <c r="W10" s="46"/>
    </row>
    <row r="11" spans="1:47" s="47" customFormat="1" ht="10.35" customHeight="1" x14ac:dyDescent="0.25">
      <c r="A11" s="45"/>
      <c r="B11" s="524"/>
      <c r="C11" s="524"/>
      <c r="D11" s="524"/>
      <c r="E11" s="524"/>
      <c r="F11" s="524"/>
      <c r="G11" s="524"/>
      <c r="H11" s="524"/>
      <c r="I11" s="524"/>
      <c r="J11" s="524"/>
      <c r="K11" s="524"/>
      <c r="L11" s="524"/>
      <c r="M11" s="46"/>
      <c r="O11" s="46"/>
      <c r="P11" s="46"/>
      <c r="Q11" s="46"/>
      <c r="R11" s="46"/>
      <c r="S11" s="46"/>
      <c r="T11" s="46"/>
      <c r="U11" s="46"/>
      <c r="V11" s="46"/>
      <c r="W11" s="46"/>
    </row>
    <row r="12" spans="1:47" s="47" customFormat="1" ht="10.35" customHeight="1" x14ac:dyDescent="0.25">
      <c r="A12" s="45"/>
      <c r="B12" s="45"/>
      <c r="C12" s="48"/>
      <c r="D12" s="48"/>
      <c r="E12" s="48"/>
      <c r="F12" s="48"/>
      <c r="G12" s="48"/>
      <c r="H12" s="48"/>
      <c r="I12" s="48"/>
      <c r="J12" s="48"/>
      <c r="K12" s="48"/>
      <c r="L12" s="48"/>
      <c r="M12" s="46"/>
      <c r="O12" s="46"/>
      <c r="P12" s="46"/>
      <c r="Q12" s="46"/>
      <c r="R12" s="46"/>
      <c r="S12" s="46"/>
      <c r="T12" s="46"/>
      <c r="U12" s="46"/>
      <c r="V12" s="46"/>
      <c r="W12" s="46"/>
    </row>
    <row r="13" spans="1:47" ht="10.35" customHeight="1" x14ac:dyDescent="0.2">
      <c r="D13" s="521" t="s">
        <v>14</v>
      </c>
      <c r="E13" s="521"/>
      <c r="F13" s="522" t="s">
        <v>315</v>
      </c>
      <c r="G13" s="522"/>
      <c r="H13" s="523" t="s">
        <v>15</v>
      </c>
      <c r="I13" s="523"/>
      <c r="J13" s="520" t="s">
        <v>316</v>
      </c>
      <c r="K13" s="520"/>
    </row>
    <row r="14" spans="1:47" ht="10.35" customHeight="1" x14ac:dyDescent="0.25">
      <c r="G14" s="47"/>
    </row>
    <row r="15" spans="1:47" s="57" customFormat="1" ht="10.35" customHeight="1" x14ac:dyDescent="0.25">
      <c r="A15" s="53"/>
      <c r="B15" s="54"/>
      <c r="C15" s="58" t="s">
        <v>317</v>
      </c>
      <c r="D15" s="55"/>
      <c r="E15" s="55"/>
      <c r="F15" s="55"/>
      <c r="G15" s="55"/>
      <c r="H15" s="55"/>
      <c r="I15" s="55"/>
      <c r="J15" s="55"/>
      <c r="K15" s="55"/>
      <c r="L15" s="55"/>
      <c r="M15" s="56"/>
      <c r="O15" s="56"/>
      <c r="P15" s="56"/>
      <c r="Q15" s="56"/>
      <c r="R15" s="56"/>
      <c r="S15" s="56"/>
      <c r="T15" s="56"/>
      <c r="U15" s="56"/>
      <c r="V15" s="56"/>
      <c r="W15" s="56"/>
    </row>
    <row r="16" spans="1:47" s="60" customFormat="1" ht="10.35" customHeight="1" collapsed="1" x14ac:dyDescent="0.2">
      <c r="D16" s="61" t="s">
        <v>318</v>
      </c>
    </row>
    <row r="17" spans="7:7" ht="10.35" hidden="1" customHeight="1" outlineLevel="1" x14ac:dyDescent="0.2"/>
    <row r="18" spans="7:7" ht="10.35" hidden="1" customHeight="1" outlineLevel="1" x14ac:dyDescent="0.2"/>
    <row r="19" spans="7:7" ht="10.35" hidden="1" customHeight="1" outlineLevel="1" x14ac:dyDescent="0.2"/>
    <row r="20" spans="7:7" ht="10.35" hidden="1" customHeight="1" outlineLevel="1" x14ac:dyDescent="0.2"/>
    <row r="21" spans="7:7" ht="10.35" hidden="1" customHeight="1" outlineLevel="1" x14ac:dyDescent="0.2"/>
    <row r="22" spans="7:7" ht="10.35" hidden="1" customHeight="1" outlineLevel="1" x14ac:dyDescent="0.2"/>
    <row r="23" spans="7:7" ht="10.35" hidden="1" customHeight="1" outlineLevel="1" x14ac:dyDescent="0.2">
      <c r="G23" s="446"/>
    </row>
    <row r="24" spans="7:7" ht="10.35" hidden="1" customHeight="1" outlineLevel="1" x14ac:dyDescent="0.2"/>
    <row r="25" spans="7:7" ht="10.35" hidden="1" customHeight="1" outlineLevel="1" x14ac:dyDescent="0.2"/>
    <row r="26" spans="7:7" ht="10.35" hidden="1" customHeight="1" outlineLevel="1" x14ac:dyDescent="0.2"/>
    <row r="27" spans="7:7" ht="10.35" hidden="1" customHeight="1" outlineLevel="1" x14ac:dyDescent="0.2"/>
    <row r="28" spans="7:7" ht="10.35" hidden="1" customHeight="1" outlineLevel="1" x14ac:dyDescent="0.2"/>
    <row r="29" spans="7:7" ht="10.35" hidden="1" customHeight="1" outlineLevel="1" x14ac:dyDescent="0.2"/>
    <row r="30" spans="7:7" ht="10.35" hidden="1" customHeight="1" outlineLevel="1" x14ac:dyDescent="0.2"/>
    <row r="31" spans="7:7" ht="10.35" hidden="1" customHeight="1" outlineLevel="1" x14ac:dyDescent="0.2"/>
    <row r="32" spans="7:7" ht="10.35" hidden="1" customHeight="1" outlineLevel="1" x14ac:dyDescent="0.2"/>
    <row r="33" spans="4:4" s="60" customFormat="1" ht="10.35" customHeight="1" collapsed="1" x14ac:dyDescent="0.2">
      <c r="D33" s="61" t="s">
        <v>319</v>
      </c>
    </row>
    <row r="34" spans="4:4" ht="10.35" hidden="1" customHeight="1" outlineLevel="1" x14ac:dyDescent="0.2"/>
    <row r="35" spans="4:4" ht="10.35" hidden="1" customHeight="1" outlineLevel="1" x14ac:dyDescent="0.2"/>
    <row r="36" spans="4:4" ht="10.35" hidden="1" customHeight="1" outlineLevel="1" x14ac:dyDescent="0.2"/>
    <row r="37" spans="4:4" ht="10.35" hidden="1" customHeight="1" outlineLevel="1" x14ac:dyDescent="0.2"/>
    <row r="38" spans="4:4" ht="10.35" hidden="1" customHeight="1" outlineLevel="1" x14ac:dyDescent="0.2"/>
    <row r="39" spans="4:4" ht="10.35" hidden="1" customHeight="1" outlineLevel="1" x14ac:dyDescent="0.2"/>
    <row r="40" spans="4:4" s="60" customFormat="1" ht="10.35" customHeight="1" collapsed="1" x14ac:dyDescent="0.2">
      <c r="D40" s="61" t="s">
        <v>320</v>
      </c>
    </row>
    <row r="41" spans="4:4" ht="10.35" hidden="1" customHeight="1" outlineLevel="1" x14ac:dyDescent="0.2"/>
    <row r="42" spans="4:4" ht="10.35" hidden="1" customHeight="1" outlineLevel="1" x14ac:dyDescent="0.2"/>
    <row r="43" spans="4:4" ht="10.35" hidden="1" customHeight="1" outlineLevel="1" x14ac:dyDescent="0.2"/>
    <row r="44" spans="4:4" ht="10.35" hidden="1" customHeight="1" outlineLevel="1" x14ac:dyDescent="0.2"/>
    <row r="45" spans="4:4" ht="10.35" hidden="1" customHeight="1" outlineLevel="1" x14ac:dyDescent="0.2"/>
    <row r="46" spans="4:4" ht="10.35" hidden="1" customHeight="1" outlineLevel="1" x14ac:dyDescent="0.2"/>
    <row r="47" spans="4:4" s="60" customFormat="1" ht="10.35" customHeight="1" collapsed="1" x14ac:dyDescent="0.2">
      <c r="D47" s="61" t="s">
        <v>321</v>
      </c>
    </row>
    <row r="48" spans="4:4" ht="10.35" hidden="1" customHeight="1" outlineLevel="1" x14ac:dyDescent="0.2"/>
    <row r="49" spans="4:8" ht="10.35" hidden="1" customHeight="1" outlineLevel="1" x14ac:dyDescent="0.2"/>
    <row r="50" spans="4:8" ht="10.35" hidden="1" customHeight="1" outlineLevel="1" x14ac:dyDescent="0.2"/>
    <row r="51" spans="4:8" ht="10.35" hidden="1" customHeight="1" outlineLevel="1" x14ac:dyDescent="0.2"/>
    <row r="52" spans="4:8" ht="10.35" hidden="1" customHeight="1" outlineLevel="1" x14ac:dyDescent="0.2"/>
    <row r="53" spans="4:8" ht="10.35" hidden="1" customHeight="1" outlineLevel="1" x14ac:dyDescent="0.2"/>
    <row r="54" spans="4:8" ht="10.35" hidden="1" customHeight="1" outlineLevel="1" x14ac:dyDescent="0.2"/>
    <row r="55" spans="4:8" ht="10.35" hidden="1" customHeight="1" outlineLevel="1" x14ac:dyDescent="0.2"/>
    <row r="56" spans="4:8" ht="10.35" hidden="1" customHeight="1" outlineLevel="1" x14ac:dyDescent="0.2">
      <c r="D56" s="65"/>
    </row>
    <row r="57" spans="4:8" ht="10.35" hidden="1" customHeight="1" outlineLevel="1" x14ac:dyDescent="0.2"/>
    <row r="58" spans="4:8" ht="10.35" hidden="1" customHeight="1" outlineLevel="1" x14ac:dyDescent="0.2"/>
    <row r="59" spans="4:8" ht="10.35" hidden="1" customHeight="1" outlineLevel="1" x14ac:dyDescent="0.2"/>
    <row r="60" spans="4:8" ht="10.35" hidden="1" customHeight="1" outlineLevel="1" x14ac:dyDescent="0.2">
      <c r="F60" s="66"/>
    </row>
    <row r="61" spans="4:8" ht="10.35" hidden="1" customHeight="1" outlineLevel="1" x14ac:dyDescent="0.2"/>
    <row r="62" spans="4:8" ht="10.35" hidden="1" customHeight="1" outlineLevel="1" x14ac:dyDescent="0.2">
      <c r="H62" s="64"/>
    </row>
    <row r="63" spans="4:8" ht="10.35" hidden="1" customHeight="1" outlineLevel="1" x14ac:dyDescent="0.2"/>
    <row r="64" spans="4:8" ht="10.35" hidden="1" customHeight="1" outlineLevel="1" x14ac:dyDescent="0.2"/>
    <row r="65" spans="7:11" ht="10.35" hidden="1" customHeight="1" outlineLevel="1" x14ac:dyDescent="0.2"/>
    <row r="66" spans="7:11" ht="10.35" hidden="1" customHeight="1" outlineLevel="1" x14ac:dyDescent="0.2"/>
    <row r="67" spans="7:11" ht="10.35" hidden="1" customHeight="1" outlineLevel="1" x14ac:dyDescent="0.2">
      <c r="K67" s="63"/>
    </row>
    <row r="68" spans="7:11" ht="10.35" hidden="1" customHeight="1" outlineLevel="1" x14ac:dyDescent="0.2"/>
    <row r="69" spans="7:11" ht="10.35" hidden="1" customHeight="1" outlineLevel="1" x14ac:dyDescent="0.2">
      <c r="K69" s="52"/>
    </row>
    <row r="70" spans="7:11" ht="10.35" hidden="1" customHeight="1" outlineLevel="1" x14ac:dyDescent="0.2"/>
    <row r="71" spans="7:11" ht="10.35" hidden="1" customHeight="1" outlineLevel="1" x14ac:dyDescent="0.2"/>
    <row r="72" spans="7:11" ht="10.35" hidden="1" customHeight="1" outlineLevel="1" x14ac:dyDescent="0.2"/>
    <row r="73" spans="7:11" ht="10.35" hidden="1" customHeight="1" outlineLevel="1" x14ac:dyDescent="0.2">
      <c r="J73" s="62"/>
    </row>
    <row r="74" spans="7:11" ht="10.35" hidden="1" customHeight="1" outlineLevel="1" x14ac:dyDescent="0.2"/>
    <row r="75" spans="7:11" ht="10.35" hidden="1" customHeight="1" outlineLevel="1" x14ac:dyDescent="0.2">
      <c r="G75" s="446"/>
    </row>
    <row r="76" spans="7:11" ht="10.35" hidden="1" customHeight="1" outlineLevel="1" x14ac:dyDescent="0.2">
      <c r="K76" s="62"/>
    </row>
    <row r="77" spans="7:11" ht="10.35" hidden="1" customHeight="1" outlineLevel="1" x14ac:dyDescent="0.2"/>
    <row r="78" spans="7:11" ht="10.35" hidden="1" customHeight="1" outlineLevel="1" x14ac:dyDescent="0.2"/>
    <row r="79" spans="7:11" ht="10.35" hidden="1" customHeight="1" outlineLevel="1" x14ac:dyDescent="0.2"/>
    <row r="80" spans="7:11" ht="10.35" hidden="1" customHeight="1" outlineLevel="1" x14ac:dyDescent="0.2"/>
    <row r="81" spans="4:10" ht="10.35" hidden="1" customHeight="1" outlineLevel="1" x14ac:dyDescent="0.2"/>
    <row r="82" spans="4:10" ht="10.35" hidden="1" customHeight="1" outlineLevel="1" x14ac:dyDescent="0.2">
      <c r="J82" s="62"/>
    </row>
    <row r="83" spans="4:10" ht="10.35" hidden="1" customHeight="1" outlineLevel="1" x14ac:dyDescent="0.2"/>
    <row r="84" spans="4:10" ht="10.35" hidden="1" customHeight="1" outlineLevel="1" x14ac:dyDescent="0.2"/>
    <row r="85" spans="4:10" ht="10.35" hidden="1" customHeight="1" outlineLevel="1" x14ac:dyDescent="0.2"/>
    <row r="86" spans="4:10" ht="10.35" hidden="1" customHeight="1" outlineLevel="1" x14ac:dyDescent="0.2"/>
    <row r="87" spans="4:10" ht="10.35" hidden="1" customHeight="1" outlineLevel="1" x14ac:dyDescent="0.2"/>
    <row r="88" spans="4:10" ht="10.35" hidden="1" customHeight="1" outlineLevel="1" x14ac:dyDescent="0.2"/>
    <row r="89" spans="4:10" s="60" customFormat="1" ht="10.35" customHeight="1" collapsed="1" x14ac:dyDescent="0.2">
      <c r="D89" s="61" t="s">
        <v>322</v>
      </c>
    </row>
    <row r="90" spans="4:10" ht="10.35" hidden="1" customHeight="1" outlineLevel="1" x14ac:dyDescent="0.2">
      <c r="D90" s="65"/>
    </row>
    <row r="91" spans="4:10" ht="10.35" hidden="1" customHeight="1" outlineLevel="1" x14ac:dyDescent="0.2"/>
    <row r="92" spans="4:10" ht="10.35" hidden="1" customHeight="1" outlineLevel="1" x14ac:dyDescent="0.2"/>
    <row r="93" spans="4:10" ht="10.35" hidden="1" customHeight="1" outlineLevel="1" x14ac:dyDescent="0.2"/>
    <row r="94" spans="4:10" ht="10.35" hidden="1" customHeight="1" outlineLevel="1" x14ac:dyDescent="0.2">
      <c r="F94" s="66"/>
    </row>
    <row r="95" spans="4:10" ht="10.35" hidden="1" customHeight="1" outlineLevel="1" x14ac:dyDescent="0.2"/>
    <row r="96" spans="4:10" ht="10.35" hidden="1" customHeight="1" outlineLevel="1" x14ac:dyDescent="0.2">
      <c r="H96" s="64"/>
    </row>
    <row r="97" spans="7:11" ht="10.35" hidden="1" customHeight="1" outlineLevel="1" x14ac:dyDescent="0.2"/>
    <row r="98" spans="7:11" ht="10.35" hidden="1" customHeight="1" outlineLevel="1" x14ac:dyDescent="0.2"/>
    <row r="99" spans="7:11" ht="10.35" hidden="1" customHeight="1" outlineLevel="1" x14ac:dyDescent="0.2"/>
    <row r="100" spans="7:11" ht="10.35" hidden="1" customHeight="1" outlineLevel="1" x14ac:dyDescent="0.2"/>
    <row r="101" spans="7:11" ht="10.35" hidden="1" customHeight="1" outlineLevel="1" x14ac:dyDescent="0.2">
      <c r="K101" s="63"/>
    </row>
    <row r="102" spans="7:11" ht="10.35" hidden="1" customHeight="1" outlineLevel="1" x14ac:dyDescent="0.2"/>
    <row r="103" spans="7:11" ht="10.35" hidden="1" customHeight="1" outlineLevel="1" x14ac:dyDescent="0.2">
      <c r="K103" s="52"/>
    </row>
    <row r="104" spans="7:11" ht="10.35" hidden="1" customHeight="1" outlineLevel="1" x14ac:dyDescent="0.2"/>
    <row r="105" spans="7:11" ht="10.35" hidden="1" customHeight="1" outlineLevel="1" x14ac:dyDescent="0.2"/>
    <row r="106" spans="7:11" ht="10.35" hidden="1" customHeight="1" outlineLevel="1" x14ac:dyDescent="0.2"/>
    <row r="107" spans="7:11" ht="10.35" hidden="1" customHeight="1" outlineLevel="1" x14ac:dyDescent="0.2">
      <c r="J107" s="62"/>
    </row>
    <row r="108" spans="7:11" ht="10.35" hidden="1" customHeight="1" outlineLevel="1" x14ac:dyDescent="0.2"/>
    <row r="109" spans="7:11" ht="10.35" hidden="1" customHeight="1" outlineLevel="1" x14ac:dyDescent="0.2">
      <c r="G109" s="446"/>
    </row>
    <row r="110" spans="7:11" ht="10.35" hidden="1" customHeight="1" outlineLevel="1" x14ac:dyDescent="0.2">
      <c r="K110" s="62"/>
    </row>
    <row r="111" spans="7:11" ht="10.35" hidden="1" customHeight="1" outlineLevel="1" x14ac:dyDescent="0.2"/>
    <row r="112" spans="7:11" ht="10.35" hidden="1" customHeight="1" outlineLevel="1" x14ac:dyDescent="0.2"/>
    <row r="113" spans="6:10" ht="10.35" hidden="1" customHeight="1" outlineLevel="1" x14ac:dyDescent="0.2"/>
    <row r="114" spans="6:10" ht="10.35" hidden="1" customHeight="1" outlineLevel="1" x14ac:dyDescent="0.2"/>
    <row r="115" spans="6:10" ht="10.35" hidden="1" customHeight="1" outlineLevel="1" x14ac:dyDescent="0.2"/>
    <row r="116" spans="6:10" ht="10.35" hidden="1" customHeight="1" outlineLevel="1" x14ac:dyDescent="0.2">
      <c r="J116" s="62"/>
    </row>
    <row r="117" spans="6:10" ht="10.35" hidden="1" customHeight="1" outlineLevel="1" x14ac:dyDescent="0.2"/>
    <row r="118" spans="6:10" ht="10.35" hidden="1" customHeight="1" outlineLevel="1" x14ac:dyDescent="0.2"/>
    <row r="119" spans="6:10" ht="10.35" hidden="1" customHeight="1" outlineLevel="1" x14ac:dyDescent="0.2"/>
    <row r="120" spans="6:10" ht="10.35" hidden="1" customHeight="1" outlineLevel="1" x14ac:dyDescent="0.2"/>
    <row r="121" spans="6:10" ht="10.35" hidden="1" customHeight="1" outlineLevel="1" x14ac:dyDescent="0.2"/>
    <row r="122" spans="6:10" ht="10.35" hidden="1" customHeight="1" outlineLevel="1" x14ac:dyDescent="0.2"/>
    <row r="123" spans="6:10" ht="10.35" hidden="1" customHeight="1" outlineLevel="1" x14ac:dyDescent="0.2"/>
    <row r="124" spans="6:10" ht="10.35" hidden="1" customHeight="1" outlineLevel="1" x14ac:dyDescent="0.2"/>
    <row r="125" spans="6:10" ht="10.35" hidden="1" customHeight="1" outlineLevel="1" x14ac:dyDescent="0.2"/>
    <row r="126" spans="6:10" ht="10.35" hidden="1" customHeight="1" outlineLevel="1" x14ac:dyDescent="0.2"/>
    <row r="127" spans="6:10" ht="10.35" hidden="1" customHeight="1" outlineLevel="1" x14ac:dyDescent="0.2">
      <c r="F127" s="66"/>
    </row>
    <row r="128" spans="6:10" ht="11.4" hidden="1" customHeight="1" outlineLevel="1" x14ac:dyDescent="0.2"/>
    <row r="129" spans="8:11" ht="10.35" hidden="1" customHeight="1" outlineLevel="1" x14ac:dyDescent="0.2">
      <c r="H129" s="64"/>
    </row>
    <row r="130" spans="8:11" ht="10.35" hidden="1" customHeight="1" outlineLevel="1" x14ac:dyDescent="0.2"/>
    <row r="131" spans="8:11" ht="10.35" hidden="1" customHeight="1" outlineLevel="1" x14ac:dyDescent="0.2"/>
    <row r="132" spans="8:11" ht="10.35" hidden="1" customHeight="1" outlineLevel="1" x14ac:dyDescent="0.2"/>
    <row r="133" spans="8:11" ht="10.35" hidden="1" customHeight="1" outlineLevel="1" x14ac:dyDescent="0.2"/>
    <row r="134" spans="8:11" ht="10.35" hidden="1" customHeight="1" outlineLevel="1" x14ac:dyDescent="0.2">
      <c r="K134" s="63"/>
    </row>
    <row r="135" spans="8:11" ht="10.35" hidden="1" customHeight="1" outlineLevel="1" x14ac:dyDescent="0.2"/>
    <row r="136" spans="8:11" ht="10.35" hidden="1" customHeight="1" outlineLevel="1" x14ac:dyDescent="0.2"/>
    <row r="137" spans="8:11" ht="10.35" hidden="1" customHeight="1" outlineLevel="1" x14ac:dyDescent="0.2"/>
    <row r="138" spans="8:11" ht="10.35" hidden="1" customHeight="1" outlineLevel="1" x14ac:dyDescent="0.2"/>
    <row r="139" spans="8:11" ht="10.35" hidden="1" customHeight="1" outlineLevel="1" x14ac:dyDescent="0.2"/>
    <row r="140" spans="8:11" ht="10.35" hidden="1" customHeight="1" outlineLevel="1" x14ac:dyDescent="0.2">
      <c r="J140" s="62"/>
    </row>
    <row r="141" spans="8:11" ht="10.35" hidden="1" customHeight="1" outlineLevel="1" x14ac:dyDescent="0.2"/>
    <row r="142" spans="8:11" ht="10.35" hidden="1" customHeight="1" outlineLevel="1" x14ac:dyDescent="0.2"/>
    <row r="143" spans="8:11" ht="10.35" hidden="1" customHeight="1" outlineLevel="1" x14ac:dyDescent="0.2"/>
    <row r="144" spans="8:11" ht="10.35" hidden="1" customHeight="1" outlineLevel="1" x14ac:dyDescent="0.2"/>
    <row r="145" spans="10:10" ht="10.35" hidden="1" customHeight="1" outlineLevel="1" x14ac:dyDescent="0.2"/>
    <row r="146" spans="10:10" ht="10.35" hidden="1" customHeight="1" outlineLevel="1" x14ac:dyDescent="0.2"/>
    <row r="147" spans="10:10" ht="10.35" hidden="1" customHeight="1" outlineLevel="1" x14ac:dyDescent="0.2"/>
    <row r="148" spans="10:10" ht="10.35" hidden="1" customHeight="1" outlineLevel="1" x14ac:dyDescent="0.2"/>
    <row r="149" spans="10:10" ht="10.35" hidden="1" customHeight="1" outlineLevel="1" x14ac:dyDescent="0.2">
      <c r="J149" s="62"/>
    </row>
    <row r="150" spans="10:10" ht="10.35" hidden="1" customHeight="1" outlineLevel="1" x14ac:dyDescent="0.2"/>
    <row r="151" spans="10:10" ht="10.35" hidden="1" customHeight="1" outlineLevel="1" x14ac:dyDescent="0.2"/>
    <row r="152" spans="10:10" ht="10.35" hidden="1" customHeight="1" outlineLevel="1" x14ac:dyDescent="0.2"/>
    <row r="153" spans="10:10" ht="10.35" hidden="1" customHeight="1" outlineLevel="1" x14ac:dyDescent="0.2"/>
    <row r="154" spans="10:10" ht="10.35" hidden="1" customHeight="1" outlineLevel="1" x14ac:dyDescent="0.2"/>
    <row r="155" spans="10:10" ht="10.35" hidden="1" customHeight="1" outlineLevel="1" x14ac:dyDescent="0.2"/>
    <row r="156" spans="10:10" ht="10.35" hidden="1" customHeight="1" outlineLevel="1" x14ac:dyDescent="0.2"/>
    <row r="157" spans="10:10" ht="10.35" hidden="1" customHeight="1" outlineLevel="1" x14ac:dyDescent="0.2"/>
    <row r="158" spans="10:10" ht="10.35" hidden="1" customHeight="1" outlineLevel="1" x14ac:dyDescent="0.2"/>
    <row r="159" spans="10:10" ht="10.35" hidden="1" customHeight="1" outlineLevel="1" x14ac:dyDescent="0.2"/>
    <row r="160" spans="10:10" ht="10.35" hidden="1" customHeight="1" outlineLevel="1" x14ac:dyDescent="0.2"/>
    <row r="161" spans="4:18" ht="10.35" hidden="1" customHeight="1" outlineLevel="1" x14ac:dyDescent="0.2"/>
    <row r="162" spans="4:18" ht="10.35" hidden="1" customHeight="1" outlineLevel="1" x14ac:dyDescent="0.2"/>
    <row r="163" spans="4:18" s="60" customFormat="1" ht="10.35" customHeight="1" collapsed="1" x14ac:dyDescent="0.2">
      <c r="D163" s="61" t="s">
        <v>323</v>
      </c>
    </row>
    <row r="164" spans="4:18" ht="10.35" hidden="1" customHeight="1" outlineLevel="1" x14ac:dyDescent="0.2"/>
    <row r="165" spans="4:18" ht="10.35" hidden="1" customHeight="1" outlineLevel="1" x14ac:dyDescent="0.2"/>
    <row r="166" spans="4:18" ht="10.35" hidden="1" customHeight="1" outlineLevel="1" x14ac:dyDescent="0.2"/>
    <row r="167" spans="4:18" ht="10.35" hidden="1" customHeight="1" outlineLevel="1" x14ac:dyDescent="0.3">
      <c r="R167" s="67"/>
    </row>
    <row r="168" spans="4:18" ht="10.35" hidden="1" customHeight="1" outlineLevel="1" x14ac:dyDescent="0.2"/>
    <row r="169" spans="4:18" ht="10.35" hidden="1" customHeight="1" outlineLevel="1" x14ac:dyDescent="0.2"/>
    <row r="170" spans="4:18" ht="10.35" hidden="1" customHeight="1" outlineLevel="1" x14ac:dyDescent="0.2"/>
    <row r="171" spans="4:18" ht="10.35" hidden="1" customHeight="1" outlineLevel="1" x14ac:dyDescent="0.2"/>
    <row r="172" spans="4:18" ht="10.35" hidden="1" customHeight="1" outlineLevel="1" x14ac:dyDescent="0.2"/>
    <row r="173" spans="4:18" ht="10.35" hidden="1" customHeight="1" outlineLevel="1" x14ac:dyDescent="0.2"/>
    <row r="174" spans="4:18" ht="10.35" hidden="1" customHeight="1" outlineLevel="1" x14ac:dyDescent="0.2"/>
    <row r="175" spans="4:18" ht="10.35" hidden="1" customHeight="1" outlineLevel="1" x14ac:dyDescent="0.2"/>
    <row r="176" spans="4:18" ht="10.35" hidden="1" customHeight="1" outlineLevel="1" x14ac:dyDescent="0.2"/>
    <row r="177" spans="4:4" ht="10.35" hidden="1" customHeight="1" outlineLevel="1" x14ac:dyDescent="0.2"/>
    <row r="178" spans="4:4" ht="10.35" hidden="1" customHeight="1" outlineLevel="1" x14ac:dyDescent="0.2"/>
    <row r="179" spans="4:4" ht="10.35" hidden="1" customHeight="1" outlineLevel="1" x14ac:dyDescent="0.2"/>
    <row r="180" spans="4:4" ht="10.35" hidden="1" customHeight="1" outlineLevel="1" x14ac:dyDescent="0.2"/>
    <row r="181" spans="4:4" s="60" customFormat="1" ht="10.35" customHeight="1" x14ac:dyDescent="0.2">
      <c r="D181" s="61" t="s">
        <v>324</v>
      </c>
    </row>
    <row r="182" spans="4:4" ht="10.35" customHeight="1" outlineLevel="1" x14ac:dyDescent="0.2"/>
    <row r="183" spans="4:4" ht="10.35" customHeight="1" outlineLevel="1" x14ac:dyDescent="0.2"/>
    <row r="184" spans="4:4" ht="10.35" customHeight="1" outlineLevel="1" x14ac:dyDescent="0.2"/>
    <row r="185" spans="4:4" ht="10.35" customHeight="1" outlineLevel="1" x14ac:dyDescent="0.2"/>
    <row r="186" spans="4:4" ht="10.35" customHeight="1" outlineLevel="1" x14ac:dyDescent="0.2"/>
    <row r="187" spans="4:4" ht="10.35" customHeight="1" outlineLevel="1" x14ac:dyDescent="0.2"/>
    <row r="188" spans="4:4" ht="10.35" customHeight="1" outlineLevel="1" x14ac:dyDescent="0.2"/>
    <row r="189" spans="4:4" ht="10.35" customHeight="1" outlineLevel="1" x14ac:dyDescent="0.2"/>
    <row r="190" spans="4:4" ht="10.35" customHeight="1" outlineLevel="1" x14ac:dyDescent="0.2"/>
    <row r="191" spans="4:4" ht="10.35" customHeight="1" outlineLevel="1" x14ac:dyDescent="0.2"/>
    <row r="192" spans="4:4" ht="10.35" customHeight="1" outlineLevel="1" x14ac:dyDescent="0.2"/>
    <row r="193" spans="4:4" ht="10.35" customHeight="1" outlineLevel="1" x14ac:dyDescent="0.2"/>
    <row r="194" spans="4:4" s="60" customFormat="1" ht="10.35" customHeight="1" x14ac:dyDescent="0.2">
      <c r="D194" s="61" t="s">
        <v>325</v>
      </c>
    </row>
    <row r="195" spans="4:4" ht="10.35" customHeight="1" outlineLevel="1" x14ac:dyDescent="0.2"/>
    <row r="196" spans="4:4" ht="10.35" customHeight="1" outlineLevel="1" x14ac:dyDescent="0.2"/>
    <row r="197" spans="4:4" ht="10.35" customHeight="1" outlineLevel="1" x14ac:dyDescent="0.2"/>
    <row r="198" spans="4:4" ht="10.35" customHeight="1" outlineLevel="1" x14ac:dyDescent="0.2"/>
    <row r="199" spans="4:4" ht="10.35" customHeight="1" outlineLevel="1" x14ac:dyDescent="0.2"/>
    <row r="200" spans="4:4" ht="10.35" customHeight="1" outlineLevel="1" x14ac:dyDescent="0.2"/>
    <row r="201" spans="4:4" ht="10.35" customHeight="1" outlineLevel="1" x14ac:dyDescent="0.2"/>
    <row r="202" spans="4:4" ht="10.35" customHeight="1" outlineLevel="1" x14ac:dyDescent="0.2"/>
    <row r="203" spans="4:4" ht="10.35" customHeight="1" outlineLevel="1" x14ac:dyDescent="0.2"/>
    <row r="204" spans="4:4" ht="10.35" customHeight="1" outlineLevel="1" x14ac:dyDescent="0.2"/>
    <row r="205" spans="4:4" ht="10.35" customHeight="1" outlineLevel="1" x14ac:dyDescent="0.2"/>
    <row r="206" spans="4:4" ht="10.35" customHeight="1" outlineLevel="1" x14ac:dyDescent="0.2"/>
    <row r="207" spans="4:4" ht="10.35" customHeight="1" outlineLevel="1" x14ac:dyDescent="0.2"/>
    <row r="208" spans="4:4" ht="10.35" customHeight="1" outlineLevel="1" x14ac:dyDescent="0.2"/>
    <row r="209" spans="4:4" ht="10.35" customHeight="1" outlineLevel="1" x14ac:dyDescent="0.2"/>
    <row r="210" spans="4:4" ht="10.35" customHeight="1" outlineLevel="1" x14ac:dyDescent="0.2"/>
    <row r="211" spans="4:4" ht="10.35" customHeight="1" outlineLevel="1" x14ac:dyDescent="0.2"/>
    <row r="212" spans="4:4" ht="10.35" customHeight="1" outlineLevel="1" x14ac:dyDescent="0.2"/>
    <row r="213" spans="4:4" ht="10.35" customHeight="1" outlineLevel="1" x14ac:dyDescent="0.2"/>
    <row r="214" spans="4:4" ht="10.35" customHeight="1" outlineLevel="1" x14ac:dyDescent="0.2"/>
    <row r="215" spans="4:4" ht="10.35" customHeight="1" outlineLevel="1" x14ac:dyDescent="0.2"/>
    <row r="216" spans="4:4" s="60" customFormat="1" ht="10.35" customHeight="1" collapsed="1" x14ac:dyDescent="0.2">
      <c r="D216" s="61" t="s">
        <v>326</v>
      </c>
    </row>
    <row r="217" spans="4:4" ht="10.35" hidden="1" customHeight="1" outlineLevel="1" x14ac:dyDescent="0.2"/>
    <row r="218" spans="4:4" ht="10.35" hidden="1" customHeight="1" outlineLevel="1" x14ac:dyDescent="0.2"/>
    <row r="219" spans="4:4" ht="10.35" hidden="1" customHeight="1" outlineLevel="1" x14ac:dyDescent="0.2"/>
    <row r="220" spans="4:4" ht="10.35" hidden="1" customHeight="1" outlineLevel="1" x14ac:dyDescent="0.2"/>
    <row r="221" spans="4:4" ht="10.35" hidden="1" customHeight="1" outlineLevel="1" x14ac:dyDescent="0.2"/>
    <row r="222" spans="4:4" ht="10.35" hidden="1" customHeight="1" outlineLevel="1" x14ac:dyDescent="0.2"/>
    <row r="223" spans="4:4" ht="10.35" hidden="1" customHeight="1" outlineLevel="1" x14ac:dyDescent="0.2"/>
    <row r="224" spans="4:4" ht="10.35" hidden="1" customHeight="1" outlineLevel="1" x14ac:dyDescent="0.2"/>
    <row r="225" ht="10.35" hidden="1" customHeight="1" outlineLevel="1" x14ac:dyDescent="0.2"/>
    <row r="226" ht="10.35" hidden="1" customHeight="1" outlineLevel="1" x14ac:dyDescent="0.2"/>
    <row r="227" ht="10.35" hidden="1" customHeight="1" outlineLevel="1" x14ac:dyDescent="0.2"/>
    <row r="228" ht="10.35" hidden="1" customHeight="1" outlineLevel="1" x14ac:dyDescent="0.2"/>
    <row r="229" ht="10.35" hidden="1" customHeight="1" outlineLevel="1" x14ac:dyDescent="0.2"/>
    <row r="230" ht="10.35" hidden="1" customHeight="1" outlineLevel="1" x14ac:dyDescent="0.2"/>
    <row r="231" ht="10.35" hidden="1" customHeight="1" outlineLevel="1" x14ac:dyDescent="0.2"/>
    <row r="232" ht="10.35" hidden="1" customHeight="1" outlineLevel="1" x14ac:dyDescent="0.2"/>
    <row r="233" ht="10.35" hidden="1" customHeight="1" outlineLevel="1" x14ac:dyDescent="0.2"/>
    <row r="234" ht="10.35" hidden="1" customHeight="1" outlineLevel="1" x14ac:dyDescent="0.2"/>
    <row r="235" ht="10.35" hidden="1" customHeight="1" outlineLevel="1" x14ac:dyDescent="0.2"/>
    <row r="236" ht="10.35" hidden="1" customHeight="1" outlineLevel="1" x14ac:dyDescent="0.2"/>
    <row r="237" ht="10.35" hidden="1" customHeight="1" outlineLevel="1" x14ac:dyDescent="0.2"/>
    <row r="238" ht="10.35" hidden="1" customHeight="1" outlineLevel="1" x14ac:dyDescent="0.2"/>
    <row r="239" ht="10.35" hidden="1" customHeight="1" outlineLevel="1" x14ac:dyDescent="0.2"/>
    <row r="240" ht="10.35" hidden="1" customHeight="1" outlineLevel="1" x14ac:dyDescent="0.2"/>
    <row r="241" ht="10.35" hidden="1" customHeight="1" outlineLevel="1" x14ac:dyDescent="0.2"/>
    <row r="242" ht="10.35" hidden="1" customHeight="1" outlineLevel="1" x14ac:dyDescent="0.2"/>
    <row r="243" ht="10.35" hidden="1" customHeight="1" outlineLevel="1" x14ac:dyDescent="0.2"/>
    <row r="244" ht="10.35" hidden="1" customHeight="1" outlineLevel="1" x14ac:dyDescent="0.2"/>
    <row r="245" ht="10.35" hidden="1" customHeight="1" outlineLevel="1" x14ac:dyDescent="0.2"/>
    <row r="246" ht="10.35" hidden="1" customHeight="1" outlineLevel="1" x14ac:dyDescent="0.2"/>
    <row r="247" ht="10.35" hidden="1" customHeight="1" outlineLevel="1" x14ac:dyDescent="0.2"/>
    <row r="248" ht="10.35" hidden="1" customHeight="1" outlineLevel="1" x14ac:dyDescent="0.2"/>
    <row r="249" ht="10.35" hidden="1" customHeight="1" outlineLevel="1" x14ac:dyDescent="0.2"/>
    <row r="250" ht="10.35" hidden="1" customHeight="1" outlineLevel="1" x14ac:dyDescent="0.2"/>
    <row r="251" ht="10.35" hidden="1" customHeight="1" outlineLevel="1" x14ac:dyDescent="0.2"/>
    <row r="252" ht="10.35" hidden="1" customHeight="1" outlineLevel="1" x14ac:dyDescent="0.2"/>
    <row r="253" ht="10.35" hidden="1" customHeight="1" outlineLevel="1" x14ac:dyDescent="0.2"/>
    <row r="254" ht="10.35" hidden="1" customHeight="1" outlineLevel="1" x14ac:dyDescent="0.2"/>
    <row r="255" ht="10.35" hidden="1" customHeight="1" outlineLevel="1" x14ac:dyDescent="0.2"/>
    <row r="256" ht="10.35" hidden="1" customHeight="1" outlineLevel="1" x14ac:dyDescent="0.2"/>
    <row r="257" ht="10.35" hidden="1" customHeight="1" outlineLevel="1" x14ac:dyDescent="0.2"/>
    <row r="258" ht="10.35" hidden="1" customHeight="1" outlineLevel="1" x14ac:dyDescent="0.2"/>
    <row r="259" ht="10.35" hidden="1" customHeight="1" outlineLevel="1" x14ac:dyDescent="0.2"/>
    <row r="260" ht="10.35" hidden="1" customHeight="1" outlineLevel="1" x14ac:dyDescent="0.2"/>
    <row r="261" ht="10.35" hidden="1" customHeight="1" outlineLevel="1" x14ac:dyDescent="0.2"/>
    <row r="262" ht="10.35" hidden="1" customHeight="1" outlineLevel="1" x14ac:dyDescent="0.2"/>
    <row r="263" ht="10.35" hidden="1" customHeight="1" outlineLevel="1" x14ac:dyDescent="0.2"/>
    <row r="264" ht="10.35" hidden="1" customHeight="1" outlineLevel="1" x14ac:dyDescent="0.2"/>
    <row r="265" ht="10.35" hidden="1" customHeight="1" outlineLevel="1" x14ac:dyDescent="0.2"/>
    <row r="266" ht="10.35" hidden="1" customHeight="1" outlineLevel="1" x14ac:dyDescent="0.2"/>
    <row r="267" ht="10.35" hidden="1" customHeight="1" outlineLevel="1" x14ac:dyDescent="0.2"/>
    <row r="268" ht="10.35" hidden="1" customHeight="1" outlineLevel="1" x14ac:dyDescent="0.2"/>
    <row r="269" ht="10.35" hidden="1" customHeight="1" outlineLevel="1" x14ac:dyDescent="0.2"/>
    <row r="270" ht="10.35" hidden="1" customHeight="1" outlineLevel="1" x14ac:dyDescent="0.2"/>
    <row r="271" ht="10.35" hidden="1" customHeight="1" outlineLevel="1" x14ac:dyDescent="0.2"/>
    <row r="272" ht="10.35" hidden="1" customHeight="1" outlineLevel="1" x14ac:dyDescent="0.2"/>
    <row r="273" ht="10.35" hidden="1" customHeight="1" outlineLevel="1" x14ac:dyDescent="0.2"/>
    <row r="274" ht="10.35" hidden="1" customHeight="1" outlineLevel="1" x14ac:dyDescent="0.2"/>
    <row r="275" ht="10.35" hidden="1" customHeight="1" outlineLevel="1" x14ac:dyDescent="0.2"/>
    <row r="276" ht="10.35" hidden="1" customHeight="1" outlineLevel="1" x14ac:dyDescent="0.2"/>
    <row r="277" ht="10.35" hidden="1" customHeight="1" outlineLevel="1" x14ac:dyDescent="0.2"/>
    <row r="278" ht="10.35" hidden="1" customHeight="1" outlineLevel="1" x14ac:dyDescent="0.2"/>
    <row r="279" ht="10.35" hidden="1" customHeight="1" outlineLevel="1" x14ac:dyDescent="0.2"/>
    <row r="280" ht="10.35" hidden="1" customHeight="1" outlineLevel="1" x14ac:dyDescent="0.2"/>
    <row r="281" ht="10.35" hidden="1" customHeight="1" outlineLevel="1" x14ac:dyDescent="0.2"/>
    <row r="282" ht="10.35" hidden="1" customHeight="1" outlineLevel="1" x14ac:dyDescent="0.2"/>
    <row r="283" ht="10.35" hidden="1" customHeight="1" outlineLevel="1" x14ac:dyDescent="0.2"/>
    <row r="284" ht="10.35" hidden="1" customHeight="1" outlineLevel="1" x14ac:dyDescent="0.2"/>
    <row r="285" ht="10.35" hidden="1" customHeight="1" outlineLevel="1" x14ac:dyDescent="0.2"/>
    <row r="286" ht="10.35" hidden="1" customHeight="1" outlineLevel="1" x14ac:dyDescent="0.2"/>
    <row r="287" ht="10.35" hidden="1" customHeight="1" outlineLevel="1" x14ac:dyDescent="0.2"/>
    <row r="288" ht="10.35" hidden="1" customHeight="1" outlineLevel="1" x14ac:dyDescent="0.2"/>
    <row r="289" ht="10.35" hidden="1" customHeight="1" outlineLevel="1" x14ac:dyDescent="0.2"/>
    <row r="290" ht="10.35" hidden="1" customHeight="1" outlineLevel="1" x14ac:dyDescent="0.2"/>
    <row r="291" ht="10.35" hidden="1" customHeight="1" outlineLevel="1" x14ac:dyDescent="0.2"/>
    <row r="292" ht="10.35" hidden="1" customHeight="1" outlineLevel="1" x14ac:dyDescent="0.2"/>
    <row r="293" ht="10.35" hidden="1" customHeight="1" outlineLevel="1" x14ac:dyDescent="0.2"/>
    <row r="294" ht="10.35" hidden="1" customHeight="1" outlineLevel="1" x14ac:dyDescent="0.2"/>
    <row r="295" ht="10.35" hidden="1" customHeight="1" outlineLevel="1" x14ac:dyDescent="0.2"/>
    <row r="296" ht="10.35" hidden="1" customHeight="1" outlineLevel="1" x14ac:dyDescent="0.2"/>
    <row r="297" ht="10.35" hidden="1" customHeight="1" outlineLevel="1" x14ac:dyDescent="0.2"/>
    <row r="298" ht="10.35" hidden="1" customHeight="1" outlineLevel="1" x14ac:dyDescent="0.2"/>
    <row r="299" ht="10.35" hidden="1" customHeight="1" outlineLevel="1" x14ac:dyDescent="0.2"/>
    <row r="300" ht="10.35" hidden="1" customHeight="1" outlineLevel="1" x14ac:dyDescent="0.2"/>
    <row r="301" ht="10.35" hidden="1" customHeight="1" outlineLevel="1" x14ac:dyDescent="0.2"/>
    <row r="302" ht="10.35" hidden="1" customHeight="1" outlineLevel="1" x14ac:dyDescent="0.2"/>
    <row r="303" ht="10.35" hidden="1" customHeight="1" outlineLevel="1" x14ac:dyDescent="0.2"/>
    <row r="304" ht="10.35" hidden="1" customHeight="1" outlineLevel="1" x14ac:dyDescent="0.2"/>
    <row r="305" spans="1:23" ht="10.35" hidden="1" customHeight="1" outlineLevel="1" x14ac:dyDescent="0.2"/>
    <row r="306" spans="1:23" ht="10.35" hidden="1" customHeight="1" outlineLevel="1" x14ac:dyDescent="0.2"/>
    <row r="307" spans="1:23" ht="10.35" hidden="1" customHeight="1" outlineLevel="1" x14ac:dyDescent="0.2"/>
    <row r="308" spans="1:23" ht="10.35" hidden="1" customHeight="1" outlineLevel="1" x14ac:dyDescent="0.2"/>
    <row r="309" spans="1:23" ht="10.35" hidden="1" customHeight="1" outlineLevel="1" x14ac:dyDescent="0.2"/>
    <row r="310" spans="1:23" ht="10.35" hidden="1" customHeight="1" outlineLevel="1" x14ac:dyDescent="0.2"/>
    <row r="311" spans="1:23" ht="10.35" hidden="1" customHeight="1" outlineLevel="1" x14ac:dyDescent="0.2"/>
    <row r="312" spans="1:23" ht="10.35" hidden="1" customHeight="1" outlineLevel="1" x14ac:dyDescent="0.2"/>
    <row r="313" spans="1:23" ht="10.35" hidden="1" customHeight="1" outlineLevel="1" x14ac:dyDescent="0.2"/>
    <row r="314" spans="1:23" ht="10.35" hidden="1" customHeight="1" outlineLevel="1" x14ac:dyDescent="0.2"/>
    <row r="315" spans="1:23" ht="10.35" hidden="1" customHeight="1" outlineLevel="1" x14ac:dyDescent="0.2"/>
    <row r="316" spans="1:23" s="57" customFormat="1" ht="10.35" customHeight="1" collapsed="1" x14ac:dyDescent="0.25">
      <c r="A316" s="53"/>
      <c r="B316" s="54"/>
      <c r="C316" s="58" t="s">
        <v>327</v>
      </c>
      <c r="D316" s="55"/>
      <c r="E316" s="55"/>
      <c r="F316" s="55"/>
      <c r="G316" s="55"/>
      <c r="H316" s="55"/>
      <c r="I316" s="55"/>
      <c r="J316" s="55"/>
      <c r="K316" s="55"/>
      <c r="L316" s="55"/>
      <c r="M316" s="56"/>
      <c r="O316" s="56"/>
      <c r="P316" s="56"/>
      <c r="Q316" s="56"/>
      <c r="R316" s="56"/>
      <c r="S316" s="56"/>
      <c r="T316" s="56"/>
      <c r="U316" s="56"/>
      <c r="V316" s="56"/>
      <c r="W316" s="56"/>
    </row>
    <row r="317" spans="1:23" ht="10.35" hidden="1" customHeight="1" outlineLevel="1" x14ac:dyDescent="0.2"/>
    <row r="318" spans="1:23" ht="10.35" hidden="1" customHeight="1" outlineLevel="1" x14ac:dyDescent="0.2"/>
    <row r="319" spans="1:23" ht="10.35" hidden="1" customHeight="1" outlineLevel="1" x14ac:dyDescent="0.2"/>
    <row r="320" spans="1:23" ht="10.35" hidden="1" customHeight="1" outlineLevel="1" x14ac:dyDescent="0.2"/>
    <row r="321" ht="10.35" hidden="1" customHeight="1" outlineLevel="1" x14ac:dyDescent="0.2"/>
    <row r="322" ht="10.35" hidden="1" customHeight="1" outlineLevel="1" x14ac:dyDescent="0.2"/>
    <row r="323" ht="10.35" hidden="1" customHeight="1" outlineLevel="1" x14ac:dyDescent="0.2"/>
    <row r="324" ht="10.35" hidden="1" customHeight="1" outlineLevel="1" x14ac:dyDescent="0.2"/>
    <row r="325" ht="10.35" hidden="1" customHeight="1" outlineLevel="1" x14ac:dyDescent="0.2"/>
    <row r="326" ht="10.35" hidden="1" customHeight="1" outlineLevel="1" x14ac:dyDescent="0.2"/>
    <row r="327" ht="10.35" hidden="1" customHeight="1" outlineLevel="1" x14ac:dyDescent="0.2"/>
    <row r="328" ht="10.35" hidden="1" customHeight="1" outlineLevel="1" x14ac:dyDescent="0.2"/>
    <row r="329" ht="10.35" hidden="1" customHeight="1" outlineLevel="1" x14ac:dyDescent="0.2"/>
    <row r="330" ht="10.35" hidden="1" customHeight="1" outlineLevel="1" x14ac:dyDescent="0.2"/>
    <row r="331" ht="10.35" hidden="1" customHeight="1" outlineLevel="1" x14ac:dyDescent="0.2"/>
    <row r="332" ht="10.35" hidden="1" customHeight="1" outlineLevel="1" x14ac:dyDescent="0.2"/>
    <row r="333" ht="10.35" hidden="1" customHeight="1" outlineLevel="1" x14ac:dyDescent="0.2"/>
    <row r="334" ht="10.35" hidden="1" customHeight="1" outlineLevel="1" x14ac:dyDescent="0.2"/>
    <row r="335" ht="10.35" hidden="1" customHeight="1" outlineLevel="1" x14ac:dyDescent="0.2"/>
    <row r="336" ht="10.35" hidden="1" customHeight="1" outlineLevel="1" x14ac:dyDescent="0.2"/>
    <row r="337" ht="10.35" hidden="1" customHeight="1" outlineLevel="1" x14ac:dyDescent="0.2"/>
    <row r="338" ht="10.35" hidden="1" customHeight="1" outlineLevel="1" x14ac:dyDescent="0.2"/>
    <row r="339" ht="10.35" hidden="1" customHeight="1" outlineLevel="1" x14ac:dyDescent="0.2"/>
    <row r="340" ht="10.35" hidden="1" customHeight="1" outlineLevel="1" x14ac:dyDescent="0.2"/>
    <row r="341" ht="10.35" hidden="1" customHeight="1" outlineLevel="1" x14ac:dyDescent="0.2"/>
    <row r="342" ht="10.35" hidden="1" customHeight="1" outlineLevel="1" x14ac:dyDescent="0.2"/>
    <row r="343" ht="10.35" hidden="1" customHeight="1" outlineLevel="1" x14ac:dyDescent="0.2"/>
    <row r="344" ht="10.35" hidden="1" customHeight="1" outlineLevel="1" x14ac:dyDescent="0.2"/>
    <row r="345" ht="10.35" hidden="1" customHeight="1" outlineLevel="1" x14ac:dyDescent="0.2"/>
    <row r="346" ht="10.35" hidden="1" customHeight="1" outlineLevel="1" x14ac:dyDescent="0.2"/>
    <row r="347" ht="10.35" hidden="1" customHeight="1" outlineLevel="1" x14ac:dyDescent="0.2"/>
    <row r="348" ht="10.35" hidden="1" customHeight="1" outlineLevel="1" x14ac:dyDescent="0.2"/>
    <row r="349" ht="10.35" hidden="1" customHeight="1" outlineLevel="1" x14ac:dyDescent="0.2"/>
    <row r="350" ht="10.35" hidden="1" customHeight="1" outlineLevel="1" x14ac:dyDescent="0.2"/>
    <row r="351" ht="10.35" hidden="1" customHeight="1" outlineLevel="1" x14ac:dyDescent="0.2"/>
    <row r="352" ht="10.35" hidden="1" customHeight="1" outlineLevel="1" x14ac:dyDescent="0.2"/>
    <row r="353" ht="10.35" hidden="1" customHeight="1" outlineLevel="1" x14ac:dyDescent="0.2"/>
    <row r="354" ht="10.35" hidden="1" customHeight="1" outlineLevel="1" x14ac:dyDescent="0.2"/>
    <row r="355" ht="10.35" hidden="1" customHeight="1" outlineLevel="1" x14ac:dyDescent="0.2"/>
    <row r="356" ht="10.35" hidden="1" customHeight="1" outlineLevel="1" x14ac:dyDescent="0.2"/>
    <row r="357" ht="10.35" hidden="1" customHeight="1" outlineLevel="1" x14ac:dyDescent="0.2"/>
    <row r="358" ht="10.35" hidden="1" customHeight="1" outlineLevel="1" x14ac:dyDescent="0.2"/>
    <row r="359" ht="10.35" hidden="1" customHeight="1" outlineLevel="1" x14ac:dyDescent="0.2"/>
    <row r="360" ht="10.35" hidden="1" customHeight="1" outlineLevel="1" x14ac:dyDescent="0.2"/>
    <row r="361" ht="10.35" hidden="1" customHeight="1" outlineLevel="1" x14ac:dyDescent="0.2"/>
    <row r="362" ht="10.35" hidden="1" customHeight="1" outlineLevel="1" x14ac:dyDescent="0.2"/>
    <row r="363" ht="10.35" hidden="1" customHeight="1" outlineLevel="1" x14ac:dyDescent="0.2"/>
    <row r="364" ht="10.35" hidden="1" customHeight="1" outlineLevel="1" x14ac:dyDescent="0.2"/>
    <row r="365" ht="10.35" hidden="1" customHeight="1" outlineLevel="1" x14ac:dyDescent="0.2"/>
    <row r="366" ht="10.35" hidden="1" customHeight="1" outlineLevel="1" x14ac:dyDescent="0.2"/>
    <row r="367" ht="10.35" hidden="1" customHeight="1" outlineLevel="1" x14ac:dyDescent="0.2"/>
    <row r="368" ht="10.35" hidden="1" customHeight="1" outlineLevel="1" x14ac:dyDescent="0.2"/>
    <row r="369" ht="10.35" hidden="1" customHeight="1" outlineLevel="1" x14ac:dyDescent="0.2"/>
    <row r="370" ht="10.35" hidden="1" customHeight="1" outlineLevel="1" x14ac:dyDescent="0.2"/>
    <row r="371" ht="10.35" hidden="1" customHeight="1" outlineLevel="1" x14ac:dyDescent="0.2"/>
    <row r="372" ht="10.35" hidden="1" customHeight="1" outlineLevel="1" x14ac:dyDescent="0.2"/>
    <row r="373" ht="10.35" hidden="1" customHeight="1" outlineLevel="1" x14ac:dyDescent="0.2"/>
    <row r="374" ht="10.35" hidden="1" customHeight="1" outlineLevel="1" x14ac:dyDescent="0.2"/>
    <row r="375" ht="10.35" hidden="1" customHeight="1" outlineLevel="1" x14ac:dyDescent="0.2"/>
    <row r="376" ht="10.35" hidden="1" customHeight="1" outlineLevel="1" x14ac:dyDescent="0.2"/>
    <row r="377" ht="10.35" hidden="1" customHeight="1" outlineLevel="1" x14ac:dyDescent="0.2"/>
    <row r="378" ht="10.35" hidden="1" customHeight="1" outlineLevel="1" x14ac:dyDescent="0.2"/>
    <row r="379" ht="10.35" hidden="1" customHeight="1" outlineLevel="1" x14ac:dyDescent="0.2"/>
    <row r="380" ht="10.35" hidden="1" customHeight="1" outlineLevel="1" x14ac:dyDescent="0.2"/>
    <row r="381" ht="10.35" hidden="1" customHeight="1" outlineLevel="1" x14ac:dyDescent="0.2"/>
    <row r="382" ht="10.35" hidden="1" customHeight="1" outlineLevel="1" x14ac:dyDescent="0.2"/>
    <row r="383" ht="10.35" hidden="1" customHeight="1" outlineLevel="1" x14ac:dyDescent="0.2"/>
    <row r="384" ht="10.35" hidden="1" customHeight="1" outlineLevel="1" x14ac:dyDescent="0.2"/>
    <row r="385" ht="10.35" hidden="1" customHeight="1" outlineLevel="1" x14ac:dyDescent="0.2"/>
    <row r="386" ht="10.35" hidden="1" customHeight="1" outlineLevel="1" x14ac:dyDescent="0.2"/>
    <row r="387" ht="10.35" hidden="1" customHeight="1" outlineLevel="1" x14ac:dyDescent="0.2"/>
    <row r="388" ht="10.35" hidden="1" customHeight="1" outlineLevel="1" x14ac:dyDescent="0.2"/>
    <row r="389" ht="10.35" hidden="1" customHeight="1" outlineLevel="1" x14ac:dyDescent="0.2"/>
    <row r="390" ht="10.35" hidden="1" customHeight="1" outlineLevel="1" x14ac:dyDescent="0.2"/>
    <row r="391" ht="10.35" hidden="1" customHeight="1" outlineLevel="1" x14ac:dyDescent="0.2"/>
    <row r="392" ht="10.35" hidden="1" customHeight="1" outlineLevel="1" x14ac:dyDescent="0.2"/>
    <row r="393" ht="10.35" hidden="1" customHeight="1" outlineLevel="1" x14ac:dyDescent="0.2"/>
    <row r="394" ht="10.35" hidden="1" customHeight="1" outlineLevel="1" x14ac:dyDescent="0.2"/>
    <row r="395" ht="10.35" hidden="1" customHeight="1" outlineLevel="1" x14ac:dyDescent="0.2"/>
    <row r="396" ht="10.35" hidden="1" customHeight="1" outlineLevel="1" x14ac:dyDescent="0.2"/>
    <row r="398" ht="10.35" customHeight="1" collapsed="1" x14ac:dyDescent="0.2"/>
  </sheetData>
  <mergeCells count="5">
    <mergeCell ref="J13:K13"/>
    <mergeCell ref="D13:E13"/>
    <mergeCell ref="F13:G13"/>
    <mergeCell ref="H13:I13"/>
    <mergeCell ref="B9:L11"/>
  </mergeCells>
  <pageMargins left="0.7" right="0.7" top="0.75" bottom="0.75" header="0.3" footer="0.3"/>
  <pageSetup paperSize="9" orientation="portrait" r:id="rId1"/>
  <headerFooter>
    <oddFooter>&amp;L&amp;1#&amp;"Calibri"&amp;8&amp;K000000For Official use only</oddFooter>
  </headerFooter>
  <customProperties>
    <customPr name="EpmWorksheetKeyString_GUID" r:id="rId2"/>
  </customProperties>
  <drawing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3EF04EF599C671429D1FEDEDB1D50539" ma:contentTypeVersion="15" ma:contentTypeDescription="Create a new document." ma:contentTypeScope="" ma:versionID="8078316d2a1a74d724baef8c06633439">
  <xsd:schema xmlns:xsd="http://www.w3.org/2001/XMLSchema" xmlns:xs="http://www.w3.org/2001/XMLSchema" xmlns:p="http://schemas.microsoft.com/office/2006/metadata/properties" xmlns:ns1="http://schemas.microsoft.com/sharepoint/v3" xmlns:ns2="d8009ec0-bc38-4c40-a24b-ac33204c506e" xmlns:ns3="130be7a5-83a6-48a9-83b5-897dd23c9f8a" targetNamespace="http://schemas.microsoft.com/office/2006/metadata/properties" ma:root="true" ma:fieldsID="15eff96678c970e6a9d03269db1b13ee" ns1:_="" ns2:_="" ns3:_="">
    <xsd:import namespace="http://schemas.microsoft.com/sharepoint/v3"/>
    <xsd:import namespace="d8009ec0-bc38-4c40-a24b-ac33204c506e"/>
    <xsd:import namespace="130be7a5-83a6-48a9-83b5-897dd23c9f8a"/>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AutoKeyPoints" minOccurs="0"/>
                <xsd:element ref="ns3:MediaServiceKeyPoints" minOccurs="0"/>
                <xsd:element ref="ns3:lcf76f155ced4ddcb4097134ff3c332f" minOccurs="0"/>
                <xsd:element ref="ns2:TaxCatchAll" minOccurs="0"/>
                <xsd:element ref="ns3:MediaServiceDateTaken" minOccurs="0"/>
                <xsd:element ref="ns3:MediaServiceGenerationTime" minOccurs="0"/>
                <xsd:element ref="ns3:MediaServiceEventHashCode" minOccurs="0"/>
                <xsd:element ref="ns3:MediaServiceOCR" minOccurs="0"/>
                <xsd:element ref="ns1:_ip_UnifiedCompliancePolicyProperties" minOccurs="0"/>
                <xsd:element ref="ns1:_ip_UnifiedCompliancePolicyUIAc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21" nillable="true" ma:displayName="Unified Compliance Policy Properties" ma:hidden="true" ma:internalName="_ip_UnifiedCompliancePolicyProperties">
      <xsd:simpleType>
        <xsd:restriction base="dms:Note"/>
      </xsd:simpleType>
    </xsd:element>
    <xsd:element name="_ip_UnifiedCompliancePolicyUIAction" ma:index="22"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d8009ec0-bc38-4c40-a24b-ac33204c506e"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element name="TaxCatchAll" ma:index="16" nillable="true" ma:displayName="Taxonomy Catch All Column" ma:hidden="true" ma:list="{3c217e6e-2bc7-4b90-9d50-1e04cbf424a7}" ma:internalName="TaxCatchAll" ma:showField="CatchAllData" ma:web="d8009ec0-bc38-4c40-a24b-ac33204c506e">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130be7a5-83a6-48a9-83b5-897dd23c9f8a"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AutoKeyPoints" ma:index="12" nillable="true" ma:displayName="MediaServiceAutoKeyPoints" ma:hidden="true" ma:internalName="MediaServiceAutoKeyPoints" ma:readOnly="true">
      <xsd:simpleType>
        <xsd:restriction base="dms:Note"/>
      </xsd:simpleType>
    </xsd:element>
    <xsd:element name="MediaServiceKeyPoints" ma:index="13" nillable="true" ma:displayName="KeyPoints" ma:internalName="MediaServiceKeyPoints" ma:readOnly="true">
      <xsd:simpleType>
        <xsd:restriction base="dms:Note">
          <xsd:maxLength value="255"/>
        </xsd:restriction>
      </xsd:simpleType>
    </xsd:element>
    <xsd:element name="lcf76f155ced4ddcb4097134ff3c332f" ma:index="15" nillable="true" ma:taxonomy="true" ma:internalName="lcf76f155ced4ddcb4097134ff3c332f" ma:taxonomyFieldName="MediaServiceImageTags" ma:displayName="Image Tags" ma:readOnly="false" ma:fieldId="{5cf76f15-5ced-4ddc-b409-7134ff3c332f}" ma:taxonomyMulti="true" ma:sspId="1a43c2ec-38d9-4aa0-904c-c7efe2e8e164" ma:termSetId="09814cd3-568e-fe90-9814-8d621ff8fb84" ma:anchorId="fba54fb3-c3e1-fe81-a776-ca4b69148c4d" ma:open="true" ma:isKeyword="false">
      <xsd:complexType>
        <xsd:sequence>
          <xsd:element ref="pc:Terms" minOccurs="0" maxOccurs="1"/>
        </xsd:sequence>
      </xsd:complexType>
    </xsd:element>
    <xsd:element name="MediaServiceDateTaken" ma:index="17" nillable="true" ma:displayName="MediaServiceDateTaken" ma:hidden="true" ma:internalName="MediaServiceDateTaken" ma:readOnly="true">
      <xsd:simpleType>
        <xsd:restriction base="dms:Text"/>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OCR" ma:index="20" nillable="true" ma:displayName="Extracted Text" ma:internalName="MediaServiceOCR"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lcf76f155ced4ddcb4097134ff3c332f xmlns="130be7a5-83a6-48a9-83b5-897dd23c9f8a">
      <Terms xmlns="http://schemas.microsoft.com/office/infopath/2007/PartnerControls"/>
    </lcf76f155ced4ddcb4097134ff3c332f>
    <TaxCatchAll xmlns="d8009ec0-bc38-4c40-a24b-ac33204c506e" xsi:nil="true"/>
    <SharedWithUsers xmlns="d8009ec0-bc38-4c40-a24b-ac33204c506e">
      <UserInfo>
        <DisplayName/>
        <AccountId xsi:nil="true"/>
        <AccountType/>
      </UserInfo>
    </SharedWithUser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F0424AC2-25EC-4C45-B836-6E7F90659D9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d8009ec0-bc38-4c40-a24b-ac33204c506e"/>
    <ds:schemaRef ds:uri="130be7a5-83a6-48a9-83b5-897dd23c9f8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505359E5-3FAE-40FA-BB5E-B89854414A8C}">
  <ds:schemaRefs>
    <ds:schemaRef ds:uri="http://schemas.microsoft.com/office/2006/metadata/properties"/>
    <ds:schemaRef ds:uri="http://schemas.microsoft.com/office/2006/documentManagement/types"/>
    <ds:schemaRef ds:uri="http://www.w3.org/XML/1998/namespace"/>
    <ds:schemaRef ds:uri="http://schemas.openxmlformats.org/package/2006/metadata/core-properties"/>
    <ds:schemaRef ds:uri="http://purl.org/dc/elements/1.1/"/>
    <ds:schemaRef ds:uri="http://schemas.microsoft.com/office/infopath/2007/PartnerControls"/>
    <ds:schemaRef ds:uri="http://purl.org/dc/dcmitype/"/>
    <ds:schemaRef ds:uri="130be7a5-83a6-48a9-83b5-897dd23c9f8a"/>
    <ds:schemaRef ds:uri="d8009ec0-bc38-4c40-a24b-ac33204c506e"/>
    <ds:schemaRef ds:uri="http://schemas.microsoft.com/sharepoint/v3"/>
    <ds:schemaRef ds:uri="http://purl.org/dc/terms/"/>
  </ds:schemaRefs>
</ds:datastoreItem>
</file>

<file path=customXml/itemProps3.xml><?xml version="1.0" encoding="utf-8"?>
<ds:datastoreItem xmlns:ds="http://schemas.openxmlformats.org/officeDocument/2006/customXml" ds:itemID="{A329B570-6450-457B-B06B-3A1B570FD232}">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13</vt:i4>
      </vt:variant>
      <vt:variant>
        <vt:lpstr>Named Ranges</vt:lpstr>
      </vt:variant>
      <vt:variant>
        <vt:i4>9</vt:i4>
      </vt:variant>
    </vt:vector>
  </HeadingPairs>
  <TitlesOfParts>
    <vt:vector size="22" baseType="lpstr">
      <vt:lpstr>NOTES</vt:lpstr>
      <vt:lpstr>QuickCalc</vt:lpstr>
      <vt:lpstr>Input</vt:lpstr>
      <vt:lpstr>Output_charts</vt:lpstr>
      <vt:lpstr>Output_tables</vt:lpstr>
      <vt:lpstr>Reference&gt;&gt;&gt;</vt:lpstr>
      <vt:lpstr>User guide</vt:lpstr>
      <vt:lpstr>MODELoverview</vt:lpstr>
      <vt:lpstr>NPVoverview</vt:lpstr>
      <vt:lpstr>Calculations&gt;&gt;&gt;</vt:lpstr>
      <vt:lpstr>Calcs</vt:lpstr>
      <vt:lpstr>Assumptions</vt:lpstr>
      <vt:lpstr>EBSS_CESS</vt:lpstr>
      <vt:lpstr>Augmentation</vt:lpstr>
      <vt:lpstr>Customer</vt:lpstr>
      <vt:lpstr>CustomerConnections</vt:lpstr>
      <vt:lpstr>Distribution</vt:lpstr>
      <vt:lpstr>MajorProjects</vt:lpstr>
      <vt:lpstr>Market</vt:lpstr>
      <vt:lpstr>Replacement</vt:lpstr>
      <vt:lpstr>shareholder</vt:lpstr>
      <vt:lpstr>Transmission</vt:lpstr>
    </vt:vector>
  </TitlesOfParts>
  <Manager/>
  <Company>KPMG</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Investment evaluation NPV model</dc:title>
  <dc:subject/>
  <dc:creator>Gebhardt, Angus</dc:creator>
  <cp:keywords/>
  <dc:description/>
  <cp:lastModifiedBy>David Mclaren</cp:lastModifiedBy>
  <cp:revision/>
  <dcterms:created xsi:type="dcterms:W3CDTF">2020-02-11T22:49:42Z</dcterms:created>
  <dcterms:modified xsi:type="dcterms:W3CDTF">2023-01-19T02:48:22Z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0x0101003EF04EF599C671429D1FEDEDB1D50539</vt:lpwstr>
  </property>
  <property fmtid="{D5CDD505-2E9C-101B-9397-08002B2CF9AE}" pid="3" name="_dlc_DocIdItemGuid">
    <vt:lpwstr>1fc33bea-68cc-465a-aadb-6cf946754adc</vt:lpwstr>
  </property>
  <property fmtid="{D5CDD505-2E9C-101B-9397-08002B2CF9AE}" pid="4" name="AGDDocumentCategory">
    <vt:lpwstr/>
  </property>
  <property fmtid="{D5CDD505-2E9C-101B-9397-08002B2CF9AE}" pid="5" name="AGDClassificationLevel2">
    <vt:lpwstr/>
  </property>
  <property fmtid="{D5CDD505-2E9C-101B-9397-08002B2CF9AE}" pid="6" name="AGDClassificationLevel1">
    <vt:lpwstr/>
  </property>
  <property fmtid="{D5CDD505-2E9C-101B-9397-08002B2CF9AE}" pid="7" name="AGDUsedInDashboards">
    <vt:lpwstr>81;#Policy Index|4f92d620-5cf8-4554-bf7a-1ae8b5c6396c</vt:lpwstr>
  </property>
  <property fmtid="{D5CDD505-2E9C-101B-9397-08002B2CF9AE}" pid="8" name="Section">
    <vt:lpwstr/>
  </property>
  <property fmtid="{D5CDD505-2E9C-101B-9397-08002B2CF9AE}" pid="9" name="DocumentNo">
    <vt:lpwstr/>
  </property>
  <property fmtid="{D5CDD505-2E9C-101B-9397-08002B2CF9AE}" pid="10" name="Branch">
    <vt:lpwstr>2068;#Advanced Distribution Management System|a81a36be-8c72-432c-ae6a-b56ae701f061</vt:lpwstr>
  </property>
  <property fmtid="{D5CDD505-2E9C-101B-9397-08002B2CF9AE}" pid="11" name="DashboardDocumentCategory">
    <vt:lpwstr/>
  </property>
  <property fmtid="{D5CDD505-2E9C-101B-9397-08002B2CF9AE}" pid="12" name="DashboardClassificationLevel1">
    <vt:lpwstr/>
  </property>
  <property fmtid="{D5CDD505-2E9C-101B-9397-08002B2CF9AE}" pid="13" name="RelatedArea">
    <vt:lpwstr/>
  </property>
  <property fmtid="{D5CDD505-2E9C-101B-9397-08002B2CF9AE}" pid="14" name="Division">
    <vt:lpwstr>2;#Asset Management|6e299f05-d9f2-4930-b1bf-011a8c4b647a</vt:lpwstr>
  </property>
  <property fmtid="{D5CDD505-2E9C-101B-9397-08002B2CF9AE}" pid="15" name="DocumentType">
    <vt:lpwstr/>
  </property>
  <property fmtid="{D5CDD505-2E9C-101B-9397-08002B2CF9AE}" pid="16" name="ShowInDashboards">
    <vt:lpwstr>1650;#Policy Index|4f92d620-5cf8-4554-bf7a-1ae8b5c6396c</vt:lpwstr>
  </property>
  <property fmtid="{D5CDD505-2E9C-101B-9397-08002B2CF9AE}" pid="17" name="DashboardClassificationLevel2">
    <vt:lpwstr>0</vt:lpwstr>
  </property>
  <property fmtid="{D5CDD505-2E9C-101B-9397-08002B2CF9AE}" pid="18" name="Topic">
    <vt:lpwstr/>
  </property>
  <property fmtid="{D5CDD505-2E9C-101B-9397-08002B2CF9AE}" pid="19" name="MSIP_Label_895930eb-db2c-4917-a4e2-4c584d225a4f_Enabled">
    <vt:lpwstr>true</vt:lpwstr>
  </property>
  <property fmtid="{D5CDD505-2E9C-101B-9397-08002B2CF9AE}" pid="20" name="MSIP_Label_895930eb-db2c-4917-a4e2-4c584d225a4f_SetDate">
    <vt:lpwstr>2022-09-08T06:56:55Z</vt:lpwstr>
  </property>
  <property fmtid="{D5CDD505-2E9C-101B-9397-08002B2CF9AE}" pid="21" name="MSIP_Label_895930eb-db2c-4917-a4e2-4c584d225a4f_Method">
    <vt:lpwstr>Standard</vt:lpwstr>
  </property>
  <property fmtid="{D5CDD505-2E9C-101B-9397-08002B2CF9AE}" pid="22" name="MSIP_Label_895930eb-db2c-4917-a4e2-4c584d225a4f_Name">
    <vt:lpwstr>AG-For Official use only</vt:lpwstr>
  </property>
  <property fmtid="{D5CDD505-2E9C-101B-9397-08002B2CF9AE}" pid="23" name="MSIP_Label_895930eb-db2c-4917-a4e2-4c584d225a4f_SiteId">
    <vt:lpwstr>11302428-4f10-4c14-a17f-b368bb82853d</vt:lpwstr>
  </property>
  <property fmtid="{D5CDD505-2E9C-101B-9397-08002B2CF9AE}" pid="24" name="MSIP_Label_895930eb-db2c-4917-a4e2-4c584d225a4f_ActionId">
    <vt:lpwstr>dd900739-1aac-41a6-9ccb-ff77da3f2fa1</vt:lpwstr>
  </property>
  <property fmtid="{D5CDD505-2E9C-101B-9397-08002B2CF9AE}" pid="25" name="MSIP_Label_895930eb-db2c-4917-a4e2-4c584d225a4f_ContentBits">
    <vt:lpwstr>2</vt:lpwstr>
  </property>
  <property fmtid="{D5CDD505-2E9C-101B-9397-08002B2CF9AE}" pid="26" name="Order">
    <vt:r8>66500</vt:r8>
  </property>
  <property fmtid="{D5CDD505-2E9C-101B-9397-08002B2CF9AE}" pid="27" name="xd_Signature">
    <vt:bool>false</vt:bool>
  </property>
  <property fmtid="{D5CDD505-2E9C-101B-9397-08002B2CF9AE}" pid="28" name="xd_ProgID">
    <vt:lpwstr/>
  </property>
  <property fmtid="{D5CDD505-2E9C-101B-9397-08002B2CF9AE}" pid="29" name="ComplianceAssetId">
    <vt:lpwstr/>
  </property>
  <property fmtid="{D5CDD505-2E9C-101B-9397-08002B2CF9AE}" pid="30" name="TemplateUrl">
    <vt:lpwstr/>
  </property>
  <property fmtid="{D5CDD505-2E9C-101B-9397-08002B2CF9AE}" pid="31" name="_ExtendedDescription">
    <vt:lpwstr/>
  </property>
  <property fmtid="{D5CDD505-2E9C-101B-9397-08002B2CF9AE}" pid="32" name="TriggerFlowInfo">
    <vt:lpwstr/>
  </property>
  <property fmtid="{D5CDD505-2E9C-101B-9397-08002B2CF9AE}" pid="33" name="MediaServiceImageTags">
    <vt:lpwstr/>
  </property>
</Properties>
</file>