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autoCompressPictures="0"/>
  <bookViews>
    <workbookView xWindow="0" yWindow="0" windowWidth="20460" windowHeight="2220" tabRatio="823"/>
  </bookViews>
  <sheets>
    <sheet name="Cover" sheetId="52" r:id="rId1"/>
    <sheet name="Cost Drivers" sheetId="13" r:id="rId2"/>
    <sheet name="Opex Modelling Results" sheetId="50" r:id="rId3"/>
    <sheet name="Efficiency Target Option" sheetId="22" r:id="rId4"/>
    <sheet name="Opex Forecasts" sheetId="30" r:id="rId5"/>
    <sheet name="Base year comparison" sheetId="54" r:id="rId6"/>
  </sheets>
  <definedNames>
    <definedName name="averageopex.ry2016">'Cost Drivers'!$G$42</definedName>
    <definedName name="escal.circlen.midto16">'Cost Drivers'!$Q$39</definedName>
    <definedName name="escal.custnum.midto16">'Cost Drivers'!$Q$38</definedName>
    <definedName name="escal.rmdemand.midto16">'Cost Drivers'!$Q$40</definedName>
    <definedName name="escal.shareugc.midto16">'Cost Drivers'!$Q$41</definedName>
    <definedName name="impliedopexreduction">'Efficiency Target Option'!$L$7</definedName>
    <definedName name="input.efficiencyscore">'Opex Modelling Results'!$B$21:$B$33</definedName>
    <definedName name="input.periodlength">#REF!</definedName>
    <definedName name="input.RegEstimates">'Opex Modelling Results'!$C$8:$C$15</definedName>
    <definedName name="subbaseyear.2016">'Opex Forecasts'!$F$30</definedName>
    <definedName name="system.coefficients">'Opex Modelling Results'!$A$8:$A$15</definedName>
    <definedName name="system.dnsp">'Opex Modelling Results'!$A$21:$A$33</definedName>
  </definedNames>
  <calcPr calcId="152511" calcMode="autoNoTable"/>
</workbook>
</file>

<file path=xl/calcChain.xml><?xml version="1.0" encoding="utf-8"?>
<calcChain xmlns="http://schemas.openxmlformats.org/spreadsheetml/2006/main">
  <c r="K37" i="54" l="1"/>
  <c r="K38" i="54" s="1"/>
  <c r="J29" i="54"/>
  <c r="V33" i="54"/>
  <c r="W33" i="54"/>
  <c r="X33" i="54"/>
  <c r="Y33" i="54"/>
  <c r="U33" i="54"/>
  <c r="W31" i="54" l="1"/>
  <c r="W34" i="54" s="1"/>
  <c r="J21" i="54" s="1"/>
  <c r="X31" i="54"/>
  <c r="X34" i="54" s="1"/>
  <c r="K21" i="54" s="1"/>
  <c r="Y31" i="54"/>
  <c r="Y34" i="54" s="1"/>
  <c r="V31" i="54"/>
  <c r="V34" i="54" s="1"/>
  <c r="Q25" i="13" l="1"/>
  <c r="P25" i="13"/>
  <c r="O25" i="13"/>
  <c r="N25" i="13"/>
  <c r="N32" i="13" s="1"/>
  <c r="M25" i="13"/>
  <c r="L25" i="13"/>
  <c r="K25" i="13"/>
  <c r="J25" i="13"/>
  <c r="J32" i="13" s="1"/>
  <c r="I25" i="13"/>
  <c r="H25" i="13"/>
  <c r="G25" i="13"/>
  <c r="Q24" i="13"/>
  <c r="Q26" i="13" s="1"/>
  <c r="P24" i="13"/>
  <c r="P26" i="13" s="1"/>
  <c r="O24" i="13"/>
  <c r="O32" i="13" s="1"/>
  <c r="N24" i="13"/>
  <c r="M24" i="13"/>
  <c r="M26" i="13" s="1"/>
  <c r="L24" i="13"/>
  <c r="L26" i="13" s="1"/>
  <c r="K24" i="13"/>
  <c r="K32" i="13" s="1"/>
  <c r="J24" i="13"/>
  <c r="I24" i="13"/>
  <c r="I26" i="13" s="1"/>
  <c r="H24" i="13"/>
  <c r="H26" i="13" s="1"/>
  <c r="G24" i="13"/>
  <c r="Q23" i="13"/>
  <c r="P23" i="13"/>
  <c r="O23" i="13"/>
  <c r="N23" i="13"/>
  <c r="M23" i="13"/>
  <c r="L23" i="13"/>
  <c r="K23" i="13"/>
  <c r="J23" i="13"/>
  <c r="I23" i="13"/>
  <c r="H23" i="13"/>
  <c r="G23" i="13"/>
  <c r="Q21" i="13"/>
  <c r="P21" i="13"/>
  <c r="O21" i="13"/>
  <c r="N21" i="13"/>
  <c r="M21" i="13"/>
  <c r="L21" i="13"/>
  <c r="K21" i="13"/>
  <c r="J21" i="13"/>
  <c r="I21" i="13"/>
  <c r="H21" i="13"/>
  <c r="G21" i="13"/>
  <c r="G40" i="13" s="1"/>
  <c r="Q40" i="13" s="1"/>
  <c r="Q20" i="13"/>
  <c r="P20" i="13"/>
  <c r="O20" i="13"/>
  <c r="N20" i="13"/>
  <c r="M20" i="13"/>
  <c r="L20" i="13"/>
  <c r="K20" i="13"/>
  <c r="J20" i="13"/>
  <c r="I20" i="13"/>
  <c r="H20" i="13"/>
  <c r="G20" i="13"/>
  <c r="Q19" i="13"/>
  <c r="P19" i="13"/>
  <c r="O19" i="13"/>
  <c r="O22" i="13" s="1"/>
  <c r="N19" i="13"/>
  <c r="N22" i="13" s="1"/>
  <c r="M19" i="13"/>
  <c r="M22" i="13" s="1"/>
  <c r="L19" i="13"/>
  <c r="K19" i="13"/>
  <c r="K22" i="13" s="1"/>
  <c r="J19" i="13"/>
  <c r="J22" i="13" s="1"/>
  <c r="I19" i="13"/>
  <c r="G39" i="13" s="1"/>
  <c r="Q39" i="13" s="1"/>
  <c r="H19" i="13"/>
  <c r="G19" i="13"/>
  <c r="G22" i="13" s="1"/>
  <c r="Q18" i="13"/>
  <c r="P18" i="13"/>
  <c r="O18" i="13"/>
  <c r="N18" i="13"/>
  <c r="M18" i="13"/>
  <c r="L18" i="13"/>
  <c r="K18" i="13"/>
  <c r="J18" i="13"/>
  <c r="I18" i="13"/>
  <c r="H18" i="13"/>
  <c r="G18" i="13"/>
  <c r="B5" i="30"/>
  <c r="B6" i="30"/>
  <c r="B7" i="30"/>
  <c r="B8" i="30"/>
  <c r="F20" i="30" s="1"/>
  <c r="B4" i="30"/>
  <c r="B7" i="22"/>
  <c r="B8" i="22"/>
  <c r="B9" i="22"/>
  <c r="B10" i="22"/>
  <c r="B11" i="22"/>
  <c r="B12" i="22"/>
  <c r="B13" i="22"/>
  <c r="B14" i="22"/>
  <c r="B15" i="22"/>
  <c r="B16" i="22"/>
  <c r="B17" i="22"/>
  <c r="B18" i="22"/>
  <c r="B6" i="22"/>
  <c r="G38" i="13" l="1"/>
  <c r="Q38" i="13" s="1"/>
  <c r="G32" i="13"/>
  <c r="Q32" i="13"/>
  <c r="M32" i="13"/>
  <c r="I32" i="13"/>
  <c r="P32" i="13"/>
  <c r="L32" i="13"/>
  <c r="H32" i="13"/>
  <c r="G42" i="13" s="1"/>
  <c r="G41" i="13"/>
  <c r="Q41" i="13" s="1"/>
  <c r="I22" i="13"/>
  <c r="Q22" i="13"/>
  <c r="H22" i="13"/>
  <c r="L22" i="13"/>
  <c r="P22" i="13"/>
  <c r="G26" i="13"/>
  <c r="K26" i="13"/>
  <c r="O26" i="13"/>
  <c r="N26" i="13"/>
  <c r="J26" i="13"/>
  <c r="F19" i="22"/>
  <c r="K7" i="22" s="1"/>
  <c r="L7" i="22" s="1"/>
  <c r="F4" i="30" s="1"/>
  <c r="D30" i="30" l="1"/>
  <c r="F12" i="30"/>
  <c r="C8" i="22" l="1"/>
  <c r="C12" i="22"/>
  <c r="C9" i="22"/>
  <c r="C18" i="22"/>
  <c r="C6" i="22"/>
  <c r="C14" i="22"/>
  <c r="C17" i="22"/>
  <c r="C13" i="22"/>
  <c r="C10" i="22"/>
  <c r="C7" i="22"/>
  <c r="C11" i="22"/>
  <c r="C15" i="22"/>
  <c r="C16" i="22"/>
  <c r="C6" i="30" l="1"/>
  <c r="C4" i="30"/>
  <c r="C5" i="30"/>
  <c r="F13" i="30" l="1"/>
  <c r="F14" i="30" l="1"/>
  <c r="F15" i="30" s="1"/>
  <c r="F21" i="30" s="1"/>
  <c r="F16" i="30"/>
  <c r="F22" i="30" s="1"/>
  <c r="F24" i="30" l="1"/>
  <c r="F28" i="30" l="1"/>
  <c r="F30" i="30" s="1"/>
  <c r="I9" i="54" s="1"/>
  <c r="I15" i="54" s="1"/>
  <c r="K22" i="54" l="1"/>
  <c r="K31" i="54" l="1"/>
  <c r="K32" i="54" s="1"/>
</calcChain>
</file>

<file path=xl/comments1.xml><?xml version="1.0" encoding="utf-8"?>
<comments xmlns="http://schemas.openxmlformats.org/spreadsheetml/2006/main">
  <authors>
    <author>Author</author>
  </authors>
  <commentList>
    <comment ref="J7" authorId="0">
      <text>
        <r>
          <rPr>
            <sz val="9"/>
            <color indexed="81"/>
            <rFont val="Tahoma"/>
            <family val="2"/>
          </rPr>
          <t>OEF adjustment as per AER final decision April 2015.</t>
        </r>
      </text>
    </comment>
  </commentList>
</comments>
</file>

<file path=xl/sharedStrings.xml><?xml version="1.0" encoding="utf-8"?>
<sst xmlns="http://schemas.openxmlformats.org/spreadsheetml/2006/main" count="283" uniqueCount="133">
  <si>
    <t>Technology</t>
  </si>
  <si>
    <t>Model's estimated cost elasticities</t>
  </si>
  <si>
    <t>Output Weights</t>
  </si>
  <si>
    <t>Technology (A)</t>
  </si>
  <si>
    <t>Returns to Scale (B)</t>
  </si>
  <si>
    <t>Business Conditions (C)</t>
  </si>
  <si>
    <t>PP Opex Growth Rates Forecast</t>
  </si>
  <si>
    <t>Coefficient</t>
  </si>
  <si>
    <t>Estimate</t>
  </si>
  <si>
    <t>Unit</t>
  </si>
  <si>
    <t>Customer numbers</t>
  </si>
  <si>
    <t>number</t>
  </si>
  <si>
    <t>kms</t>
  </si>
  <si>
    <t>Rates of Change</t>
  </si>
  <si>
    <t>Circuit Length</t>
  </si>
  <si>
    <t>Ratcheted Maximum Demand</t>
  </si>
  <si>
    <t>MW</t>
  </si>
  <si>
    <t>Underground Circuit Length</t>
  </si>
  <si>
    <t>Share Underground</t>
  </si>
  <si>
    <t>Fraction</t>
  </si>
  <si>
    <t>ly2</t>
  </si>
  <si>
    <t>ly3</t>
  </si>
  <si>
    <t>ly4</t>
  </si>
  <si>
    <t>lz1</t>
  </si>
  <si>
    <t>yr</t>
  </si>
  <si>
    <t>cd2</t>
  </si>
  <si>
    <t>cd3</t>
  </si>
  <si>
    <t>_cons</t>
  </si>
  <si>
    <t>Coefficients</t>
  </si>
  <si>
    <t>Efficiency score</t>
  </si>
  <si>
    <t>Efficiency target</t>
  </si>
  <si>
    <t>Opex</t>
  </si>
  <si>
    <t>Opex price deflator</t>
  </si>
  <si>
    <t>Base Year: Average</t>
  </si>
  <si>
    <t>Weighted Average Output Growth (1)</t>
  </si>
  <si>
    <t>Real input cost escalation (3)</t>
  </si>
  <si>
    <t>PP Opex Growth Rates [2 = A+B-C]</t>
  </si>
  <si>
    <t>Opex rate of change [=(1 &amp; 3) / 2]</t>
  </si>
  <si>
    <t>SFA CD</t>
  </si>
  <si>
    <t>ACT</t>
  </si>
  <si>
    <t>AGD</t>
  </si>
  <si>
    <t>CIT</t>
  </si>
  <si>
    <t>END</t>
  </si>
  <si>
    <t>ENX</t>
  </si>
  <si>
    <t>ERG</t>
  </si>
  <si>
    <t>ESS</t>
  </si>
  <si>
    <t>JEN</t>
  </si>
  <si>
    <t>PCR</t>
  </si>
  <si>
    <t>SAP</t>
  </si>
  <si>
    <t>TND</t>
  </si>
  <si>
    <t>UED</t>
  </si>
  <si>
    <t>Reduction</t>
  </si>
  <si>
    <t>DNSP</t>
  </si>
  <si>
    <t>Opex Cost Function Modelling -- Medium Database Regression Results</t>
  </si>
  <si>
    <t>Cobb-Douglas SFA model</t>
  </si>
  <si>
    <t>Efficiency score results</t>
  </si>
  <si>
    <t>Efficiency target to set</t>
  </si>
  <si>
    <t>Comparator</t>
  </si>
  <si>
    <t>1= yes, 0 = no</t>
  </si>
  <si>
    <t>Margin allowance</t>
  </si>
  <si>
    <t>Efficiency Target Option</t>
  </si>
  <si>
    <t>Implied opex reduction to reach effciency target</t>
  </si>
  <si>
    <t xml:space="preserve">Maximum Demand </t>
  </si>
  <si>
    <t>RY2006 =1</t>
  </si>
  <si>
    <t>$'000</t>
  </si>
  <si>
    <t>NSW/ACT DNSP Opex – Using RIN Data and Estimated Opex Cost Function Model</t>
  </si>
  <si>
    <t>Target</t>
  </si>
  <si>
    <t>$'000RY2016</t>
  </si>
  <si>
    <t>DNSP's opex driver growth rates (mid-point to 2016)</t>
  </si>
  <si>
    <t>Opex_average base year method ($'000RY2016)</t>
  </si>
  <si>
    <t>Regression estimates</t>
  </si>
  <si>
    <t>Mid-point to 2016 uplift</t>
  </si>
  <si>
    <t>Source: Economic Insights AER DNSP Opex Efficiency Scores 30Oct2017 BM</t>
  </si>
  <si>
    <t>AND</t>
  </si>
  <si>
    <t>Source</t>
  </si>
  <si>
    <t>Rank</t>
  </si>
  <si>
    <t>Data</t>
  </si>
  <si>
    <t>Data source 1 - AER 2017 benchmarking report files</t>
  </si>
  <si>
    <t>Combined data set</t>
  </si>
  <si>
    <t>AER 2017 benchmarking report files: DNSPData AusNZOnt 30Oct2017x BM</t>
  </si>
  <si>
    <t>Input</t>
  </si>
  <si>
    <t>Calculation</t>
  </si>
  <si>
    <t>Selection</t>
  </si>
  <si>
    <t>RY2006</t>
  </si>
  <si>
    <t>2015/16 substitute base year</t>
  </si>
  <si>
    <t>Trend adjustment</t>
  </si>
  <si>
    <t>Rate of change</t>
  </si>
  <si>
    <t>Opex for metering</t>
  </si>
  <si>
    <t>2016/17 EB RIN, DOPEX 0202</t>
  </si>
  <si>
    <t>CPI indexes (real to real)</t>
  </si>
  <si>
    <t>calculated</t>
  </si>
  <si>
    <t>index</t>
  </si>
  <si>
    <t>CPI indexes (nominal to real)</t>
  </si>
  <si>
    <t>2013-14</t>
  </si>
  <si>
    <t>2014-15</t>
  </si>
  <si>
    <t>2015-16</t>
  </si>
  <si>
    <t>2016-17</t>
  </si>
  <si>
    <t>2017-18</t>
  </si>
  <si>
    <t>2018-19</t>
  </si>
  <si>
    <t>2012-13</t>
  </si>
  <si>
    <t>AER FD (excluding debt raising costs)</t>
  </si>
  <si>
    <t>Step 1. Subsitute base year estimate</t>
  </si>
  <si>
    <t>Step 2. Escalate to $nominal 2017/18 basis</t>
  </si>
  <si>
    <t>Basis</t>
  </si>
  <si>
    <t xml:space="preserve">Step 3. Trend </t>
  </si>
  <si>
    <t>Convert the basis year from $2015/16 to $2017/18 basis</t>
  </si>
  <si>
    <t>2017/18 substitute base year</t>
  </si>
  <si>
    <t xml:space="preserve">Step 4. Add in SCS opex for metering </t>
  </si>
  <si>
    <t>2017/18 substitute base year incl. metering</t>
  </si>
  <si>
    <t>Note: works row to column</t>
  </si>
  <si>
    <t>Note: works column to row</t>
  </si>
  <si>
    <t>Proposed base year</t>
  </si>
  <si>
    <t>Calc</t>
  </si>
  <si>
    <t>Opex model</t>
  </si>
  <si>
    <t>Trend - Calculated using the AER's final determination opex</t>
  </si>
  <si>
    <t>Ausgrid's proposed base year for comparison</t>
  </si>
  <si>
    <t>CPI escalation - tables from opex model</t>
  </si>
  <si>
    <t>Trend the 2015/16 base year from 2016 to 2018 using the AER's method of using the change in the allowance.</t>
  </si>
  <si>
    <t>Add back in opex for metering (DOPEX 0202) as it is not included in opex for benchmarking. Using actual cost reported in 2016/17 RIN.</t>
  </si>
  <si>
    <t>Source: Economic Insights AER DNSP Benchmarking Report 31 October 2017, page 19</t>
  </si>
  <si>
    <t>Alternate base year forecast and comparison</t>
  </si>
  <si>
    <t>Determine the base year using the results of the EI model and the efficiency target using the AER's method</t>
  </si>
  <si>
    <t>Version: 1.0 - 15 April 2018</t>
  </si>
  <si>
    <t>Ausgrid model of AER opex base year roll forward approach</t>
  </si>
  <si>
    <t>Mid-point of 2006-16 to 2016</t>
  </si>
  <si>
    <t>Dec, $2015/16, $'000</t>
  </si>
  <si>
    <t xml:space="preserve">June $2017/18, $'000 </t>
  </si>
  <si>
    <t>June, $2017/18, $'000</t>
  </si>
  <si>
    <t>Dec, $2016/17, $'000</t>
  </si>
  <si>
    <t>June, $2018/19, $'000</t>
  </si>
  <si>
    <t>Dec, $2017/18, $'000</t>
  </si>
  <si>
    <t>June $2013/14 $m</t>
  </si>
  <si>
    <t>June $2017/18 $m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</si>
</sst>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_(#,##0_);\(#,##0\);_(&quot;-&quot;_)"/>
    <numFmt numFmtId="167" formatCode="0.0"/>
    <numFmt numFmtId="168" formatCode="0.0%"/>
    <numFmt numFmtId="169" formatCode="0.00000"/>
    <numFmt numFmtId="170" formatCode="_-* #,##0.0000_-;\-* #,##0.0000_-;_-* &quot;-&quot;??_-;_-@_-"/>
    <numFmt numFmtId="171" formatCode="_-* #,##0.000_-;\-* #,##0.000_-;_-* &quot;-&quot;??_-;_-@_-"/>
    <numFmt numFmtId="172" formatCode="dd/mmm"/>
    <numFmt numFmtId="173" formatCode="_-* #,##0.00_-;[Red]\(#,##0.00\)_-;_-* &quot;-&quot;??_-;_-@_-"/>
    <numFmt numFmtId="174" formatCode="_(* #,##0_);_(* \(#,##0\);_(* &quot;-&quot;_);_(@_)"/>
    <numFmt numFmtId="175" formatCode="_(* #,##0.00_);_(* \(#,##0.00\);_(* &quot;-&quot;??_);_(@_)"/>
    <numFmt numFmtId="176" formatCode="mm/dd/yy"/>
    <numFmt numFmtId="177" formatCode="_([$€-2]* #,##0.00_);_([$€-2]* \(#,##0.00\);_([$€-2]* &quot;-&quot;??_)"/>
    <numFmt numFmtId="178" formatCode="0_);[Red]\(0\)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&quot;Warning&quot;;&quot;Warning&quot;;&quot;OK&quot;"/>
    <numFmt numFmtId="190" formatCode="_-* #,##0_-;[Red]\(#,##0\)_-;_-* &quot;-&quot;??_-;_-@_-"/>
    <numFmt numFmtId="191" formatCode="_(#,##0.000_);\(#,##0.000\);_(&quot;-&quot;_)"/>
  </numFmts>
  <fonts count="9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3"/>
      <color indexed="9"/>
      <name val="Arial"/>
      <family val="2"/>
    </font>
    <font>
      <sz val="10"/>
      <color indexed="55"/>
      <name val="Arial"/>
      <family val="2"/>
    </font>
    <font>
      <b/>
      <sz val="10"/>
      <color theme="1"/>
      <name val="Arial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sz val="10"/>
      <color indexed="16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color theme="5" tint="-0.499984740745262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theme="1" tint="0.34998626667073579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23"/>
        <bgColor auto="1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69">
    <xf numFmtId="0" fontId="0" fillId="0" borderId="0"/>
    <xf numFmtId="166" fontId="3" fillId="0" borderId="1">
      <alignment horizontal="right" vertical="center"/>
      <protection locked="0"/>
    </xf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172" fontId="37" fillId="9" borderId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3" fillId="0" borderId="0"/>
    <xf numFmtId="173" fontId="3" fillId="0" borderId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0" borderId="0"/>
    <xf numFmtId="42" fontId="42" fillId="0" borderId="0" applyFont="0" applyFill="0" applyBorder="0" applyAlignment="0" applyProtection="0"/>
    <xf numFmtId="0" fontId="43" fillId="31" borderId="0" applyNumberFormat="0" applyBorder="0" applyAlignment="0" applyProtection="0"/>
    <xf numFmtId="0" fontId="44" fillId="0" borderId="0" applyNumberFormat="0" applyFill="0" applyBorder="0" applyAlignment="0"/>
    <xf numFmtId="174" fontId="2" fillId="7" borderId="0" applyNumberFormat="0" applyFont="0" applyBorder="0" applyAlignment="0">
      <alignment horizontal="right"/>
    </xf>
    <xf numFmtId="174" fontId="2" fillId="7" borderId="0" applyNumberFormat="0" applyFont="0" applyBorder="0" applyAlignment="0">
      <alignment horizontal="right"/>
    </xf>
    <xf numFmtId="0" fontId="45" fillId="0" borderId="0" applyNumberFormat="0" applyFill="0" applyBorder="0" applyAlignment="0">
      <protection locked="0"/>
    </xf>
    <xf numFmtId="0" fontId="46" fillId="15" borderId="8" applyNumberFormat="0" applyAlignment="0" applyProtection="0"/>
    <xf numFmtId="0" fontId="47" fillId="32" borderId="9" applyNumberFormat="0" applyAlignment="0" applyProtection="0"/>
    <xf numFmtId="41" fontId="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177" fontId="1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52" fillId="0" borderId="0"/>
    <xf numFmtId="0" fontId="53" fillId="0" borderId="0"/>
    <xf numFmtId="0" fontId="54" fillId="36" borderId="0" applyNumberFormat="0" applyBorder="0" applyAlignment="0" applyProtection="0"/>
    <xf numFmtId="0" fontId="27" fillId="0" borderId="0" applyFill="0" applyBorder="0">
      <alignment vertical="center"/>
    </xf>
    <xf numFmtId="0" fontId="55" fillId="0" borderId="10" applyNumberFormat="0" applyFill="0" applyAlignment="0" applyProtection="0"/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56" fillId="0" borderId="11" applyNumberFormat="0" applyFill="0" applyAlignment="0" applyProtection="0"/>
    <xf numFmtId="0" fontId="28" fillId="0" borderId="0" applyFill="0" applyBorder="0">
      <alignment vertical="center"/>
    </xf>
    <xf numFmtId="0" fontId="38" fillId="0" borderId="0" applyFill="0" applyBorder="0">
      <alignment vertical="center"/>
    </xf>
    <xf numFmtId="0" fontId="57" fillId="0" borderId="12" applyNumberFormat="0" applyFill="0" applyAlignment="0" applyProtection="0"/>
    <xf numFmtId="0" fontId="38" fillId="0" borderId="0" applyFill="0" applyBorder="0">
      <alignment vertical="center"/>
    </xf>
    <xf numFmtId="0" fontId="3" fillId="0" borderId="0" applyFill="0" applyBorder="0">
      <alignment vertical="center"/>
    </xf>
    <xf numFmtId="0" fontId="57" fillId="0" borderId="0" applyNumberFormat="0" applyFill="0" applyBorder="0" applyAlignment="0" applyProtection="0"/>
    <xf numFmtId="0" fontId="3" fillId="0" borderId="0" applyFill="0" applyBorder="0">
      <alignment vertical="center"/>
    </xf>
    <xf numFmtId="168" fontId="58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13" borderId="8" applyNumberFormat="0" applyAlignment="0" applyProtection="0"/>
    <xf numFmtId="174" fontId="2" fillId="37" borderId="0" applyFont="0" applyBorder="0" applyAlignment="0">
      <alignment horizontal="right"/>
      <protection locked="0"/>
    </xf>
    <xf numFmtId="174" fontId="2" fillId="37" borderId="0" applyFont="0" applyBorder="0" applyAlignment="0">
      <alignment horizontal="right"/>
      <protection locked="0"/>
    </xf>
    <xf numFmtId="179" fontId="2" fillId="8" borderId="0" applyFont="0" applyBorder="0">
      <alignment horizontal="right"/>
      <protection locked="0"/>
    </xf>
    <xf numFmtId="179" fontId="2" fillId="8" borderId="0" applyFont="0" applyBorder="0">
      <alignment horizontal="right"/>
      <protection locked="0"/>
    </xf>
    <xf numFmtId="174" fontId="2" fillId="11" borderId="0" applyFont="0" applyBorder="0">
      <alignment horizontal="right"/>
      <protection locked="0"/>
    </xf>
    <xf numFmtId="174" fontId="2" fillId="11" borderId="0" applyFont="0" applyBorder="0">
      <alignment horizontal="right"/>
      <protection locked="0"/>
    </xf>
    <xf numFmtId="0" fontId="3" fillId="7" borderId="0"/>
    <xf numFmtId="0" fontId="63" fillId="0" borderId="13" applyNumberFormat="0" applyFill="0" applyAlignment="0" applyProtection="0"/>
    <xf numFmtId="180" fontId="64" fillId="0" borderId="0"/>
    <xf numFmtId="0" fontId="31" fillId="0" borderId="0" applyFill="0" applyBorder="0">
      <alignment horizontal="left" vertical="center"/>
    </xf>
    <xf numFmtId="0" fontId="65" fillId="16" borderId="0" applyNumberFormat="0" applyBorder="0" applyAlignment="0" applyProtection="0"/>
    <xf numFmtId="181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42" fillId="0" borderId="0"/>
    <xf numFmtId="0" fontId="2" fillId="6" borderId="0"/>
    <xf numFmtId="0" fontId="1" fillId="0" borderId="0"/>
    <xf numFmtId="0" fontId="2" fillId="0" borderId="0"/>
    <xf numFmtId="0" fontId="2" fillId="0" borderId="0"/>
    <xf numFmtId="0" fontId="2" fillId="14" borderId="14" applyNumberFormat="0" applyFont="0" applyAlignment="0" applyProtection="0"/>
    <xf numFmtId="0" fontId="67" fillId="15" borderId="15" applyNumberFormat="0" applyAlignment="0" applyProtection="0"/>
    <xf numFmtId="182" fontId="2" fillId="0" borderId="0" applyFill="0" applyBorder="0"/>
    <xf numFmtId="182" fontId="2" fillId="0" borderId="0" applyFill="0" applyBorder="0"/>
    <xf numFmtId="182" fontId="2" fillId="0" borderId="0" applyFill="0" applyBorder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68" fillId="0" borderId="0"/>
    <xf numFmtId="0" fontId="38" fillId="0" borderId="0" applyFill="0" applyBorder="0">
      <alignment vertic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183" fontId="69" fillId="0" borderId="16"/>
    <xf numFmtId="0" fontId="70" fillId="0" borderId="17">
      <alignment horizontal="center"/>
    </xf>
    <xf numFmtId="3" fontId="48" fillId="0" borderId="0" applyFont="0" applyFill="0" applyBorder="0" applyAlignment="0" applyProtection="0"/>
    <xf numFmtId="0" fontId="48" fillId="38" borderId="0" applyNumberFormat="0" applyFont="0" applyBorder="0" applyAlignment="0" applyProtection="0"/>
    <xf numFmtId="184" fontId="2" fillId="0" borderId="0"/>
    <xf numFmtId="184" fontId="2" fillId="0" borderId="0"/>
    <xf numFmtId="184" fontId="2" fillId="0" borderId="0"/>
    <xf numFmtId="185" fontId="3" fillId="0" borderId="0" applyFill="0" applyBorder="0">
      <alignment horizontal="right" vertical="center"/>
    </xf>
    <xf numFmtId="186" fontId="3" fillId="0" borderId="0" applyFill="0" applyBorder="0">
      <alignment horizontal="right" vertical="center"/>
    </xf>
    <xf numFmtId="187" fontId="3" fillId="0" borderId="0" applyFill="0" applyBorder="0">
      <alignment horizontal="right" vertical="center"/>
    </xf>
    <xf numFmtId="0" fontId="2" fillId="14" borderId="0" applyNumberFormat="0" applyFont="0" applyBorder="0" applyAlignment="0" applyProtection="0"/>
    <xf numFmtId="0" fontId="2" fillId="14" borderId="0" applyNumberFormat="0" applyFont="0" applyBorder="0" applyAlignment="0" applyProtection="0"/>
    <xf numFmtId="0" fontId="2" fillId="15" borderId="0" applyNumberFormat="0" applyFont="0" applyBorder="0" applyAlignment="0" applyProtection="0"/>
    <xf numFmtId="0" fontId="2" fillId="15" borderId="0" applyNumberFormat="0" applyFont="0" applyBorder="0" applyAlignment="0" applyProtection="0"/>
    <xf numFmtId="0" fontId="2" fillId="17" borderId="0" applyNumberFormat="0" applyFont="0" applyBorder="0" applyAlignment="0" applyProtection="0"/>
    <xf numFmtId="0" fontId="2" fillId="17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17" borderId="0" applyNumberFormat="0" applyFont="0" applyBorder="0" applyAlignment="0" applyProtection="0"/>
    <xf numFmtId="0" fontId="2" fillId="17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1" fillId="0" borderId="0"/>
    <xf numFmtId="0" fontId="30" fillId="0" borderId="0"/>
    <xf numFmtId="15" fontId="2" fillId="0" borderId="0"/>
    <xf numFmtId="15" fontId="2" fillId="0" borderId="0"/>
    <xf numFmtId="15" fontId="2" fillId="0" borderId="0"/>
    <xf numFmtId="10" fontId="2" fillId="0" borderId="0"/>
    <xf numFmtId="10" fontId="2" fillId="0" borderId="0"/>
    <xf numFmtId="10" fontId="2" fillId="0" borderId="0"/>
    <xf numFmtId="0" fontId="72" fillId="10" borderId="6" applyBorder="0" applyProtection="0">
      <alignment horizontal="centerContinuous" vertical="center"/>
    </xf>
    <xf numFmtId="0" fontId="73" fillId="0" borderId="0" applyBorder="0" applyProtection="0">
      <alignment vertical="center"/>
    </xf>
    <xf numFmtId="0" fontId="74" fillId="0" borderId="0">
      <alignment horizontal="left"/>
    </xf>
    <xf numFmtId="0" fontId="74" fillId="0" borderId="5" applyFill="0" applyBorder="0" applyProtection="0">
      <alignment horizontal="left" vertical="top"/>
    </xf>
    <xf numFmtId="49" fontId="2" fillId="0" borderId="0" applyFont="0" applyFill="0" applyBorder="0" applyAlignment="0" applyProtection="0"/>
    <xf numFmtId="0" fontId="75" fillId="0" borderId="0"/>
    <xf numFmtId="49" fontId="2" fillId="0" borderId="0" applyFont="0" applyFill="0" applyBorder="0" applyAlignment="0" applyProtection="0"/>
    <xf numFmtId="0" fontId="76" fillId="0" borderId="0"/>
    <xf numFmtId="0" fontId="76" fillId="0" borderId="0"/>
    <xf numFmtId="0" fontId="75" fillId="0" borderId="0"/>
    <xf numFmtId="180" fontId="77" fillId="0" borderId="0"/>
    <xf numFmtId="0" fontId="71" fillId="0" borderId="0" applyNumberFormat="0" applyFill="0" applyBorder="0" applyAlignment="0" applyProtection="0"/>
    <xf numFmtId="0" fontId="78" fillId="0" borderId="0" applyFill="0" applyBorder="0">
      <alignment horizontal="left" vertical="center"/>
      <protection locked="0"/>
    </xf>
    <xf numFmtId="0" fontId="75" fillId="0" borderId="0"/>
    <xf numFmtId="0" fontId="79" fillId="0" borderId="0" applyFill="0" applyBorder="0">
      <alignment horizontal="left" vertical="center"/>
      <protection locked="0"/>
    </xf>
    <xf numFmtId="0" fontId="4" fillId="0" borderId="18" applyNumberFormat="0" applyFill="0" applyAlignment="0" applyProtection="0"/>
    <xf numFmtId="0" fontId="80" fillId="0" borderId="0" applyNumberFormat="0" applyFill="0" applyBorder="0" applyAlignment="0" applyProtection="0"/>
    <xf numFmtId="188" fontId="2" fillId="0" borderId="6" applyBorder="0" applyProtection="0">
      <alignment horizontal="right"/>
    </xf>
    <xf numFmtId="188" fontId="2" fillId="0" borderId="6" applyBorder="0" applyProtection="0">
      <alignment horizontal="right"/>
    </xf>
    <xf numFmtId="188" fontId="2" fillId="0" borderId="6" applyBorder="0" applyProtection="0">
      <alignment horizontal="right"/>
    </xf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1" fillId="4" borderId="0"/>
    <xf numFmtId="189" fontId="82" fillId="0" borderId="19">
      <alignment horizontal="center"/>
    </xf>
    <xf numFmtId="0" fontId="83" fillId="40" borderId="7">
      <alignment horizontal="center" vertical="center"/>
    </xf>
    <xf numFmtId="0" fontId="2" fillId="41" borderId="8"/>
    <xf numFmtId="0" fontId="84" fillId="0" borderId="0" applyFill="0" applyBorder="0"/>
    <xf numFmtId="0" fontId="85" fillId="0" borderId="0" applyNumberFormat="0" applyFill="0"/>
    <xf numFmtId="0" fontId="86" fillId="0" borderId="0" applyFill="0"/>
    <xf numFmtId="0" fontId="87" fillId="0" borderId="0" applyFill="0"/>
    <xf numFmtId="0" fontId="88" fillId="0" borderId="0" applyFill="0"/>
    <xf numFmtId="0" fontId="81" fillId="42" borderId="0"/>
    <xf numFmtId="0" fontId="2" fillId="39" borderId="20" applyNumberFormat="0" applyFont="0" applyAlignment="0"/>
    <xf numFmtId="0" fontId="89" fillId="9" borderId="21" applyNumberFormat="0"/>
    <xf numFmtId="0" fontId="90" fillId="5" borderId="0"/>
    <xf numFmtId="0" fontId="91" fillId="5" borderId="0" applyNumberFormat="0"/>
    <xf numFmtId="0" fontId="92" fillId="5" borderId="0"/>
    <xf numFmtId="0" fontId="93" fillId="43" borderId="7" applyNumberFormat="0">
      <alignment horizontal="center" vertical="center"/>
    </xf>
    <xf numFmtId="0" fontId="35" fillId="44" borderId="8" applyNumberFormat="0" applyAlignment="0">
      <alignment horizontal="right"/>
    </xf>
    <xf numFmtId="0" fontId="27" fillId="39" borderId="20" applyNumberFormat="0" applyAlignment="0"/>
    <xf numFmtId="0" fontId="82" fillId="0" borderId="0" applyNumberFormat="0" applyFill="0" applyBorder="0"/>
    <xf numFmtId="0" fontId="94" fillId="45" borderId="20" applyNumberFormat="0">
      <protection locked="0"/>
    </xf>
    <xf numFmtId="190" fontId="16" fillId="46" borderId="22" applyBorder="0">
      <alignment horizontal="right"/>
      <protection locked="0"/>
    </xf>
  </cellStyleXfs>
  <cellXfs count="106">
    <xf numFmtId="0" fontId="0" fillId="0" borderId="0" xfId="0"/>
    <xf numFmtId="0" fontId="6" fillId="0" borderId="0" xfId="3"/>
    <xf numFmtId="0" fontId="4" fillId="0" borderId="0" xfId="3" applyFont="1"/>
    <xf numFmtId="0" fontId="9" fillId="0" borderId="0" xfId="3" applyFont="1"/>
    <xf numFmtId="0" fontId="9" fillId="0" borderId="0" xfId="3" applyNumberFormat="1" applyFont="1"/>
    <xf numFmtId="0" fontId="10" fillId="0" borderId="0" xfId="3" applyFont="1"/>
    <xf numFmtId="0" fontId="11" fillId="0" borderId="0" xfId="3" applyFont="1"/>
    <xf numFmtId="0" fontId="10" fillId="0" borderId="0" xfId="3" applyFont="1" applyAlignment="1">
      <alignment wrapText="1"/>
    </xf>
    <xf numFmtId="9" fontId="9" fillId="0" borderId="0" xfId="3" applyNumberFormat="1" applyFont="1"/>
    <xf numFmtId="0" fontId="4" fillId="0" borderId="0" xfId="3" applyFont="1" applyAlignment="1">
      <alignment horizontal="left" vertical="top" wrapText="1"/>
    </xf>
    <xf numFmtId="0" fontId="9" fillId="0" borderId="0" xfId="3" applyFont="1" applyAlignment="1">
      <alignment horizontal="left" vertical="top" wrapText="1"/>
    </xf>
    <xf numFmtId="0" fontId="11" fillId="0" borderId="0" xfId="3" applyFont="1" applyAlignment="1">
      <alignment horizontal="left" vertical="top" wrapText="1"/>
    </xf>
    <xf numFmtId="0" fontId="6" fillId="0" borderId="0" xfId="3" applyAlignment="1">
      <alignment horizontal="left" vertical="top" wrapText="1"/>
    </xf>
    <xf numFmtId="0" fontId="14" fillId="0" borderId="0" xfId="3" applyFont="1" applyAlignment="1">
      <alignment horizontal="left" vertical="top"/>
    </xf>
    <xf numFmtId="0" fontId="7" fillId="0" borderId="0" xfId="0" applyFont="1"/>
    <xf numFmtId="0" fontId="0" fillId="0" borderId="0" xfId="0" applyAlignment="1"/>
    <xf numFmtId="0" fontId="17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165" fontId="18" fillId="0" borderId="0" xfId="0" applyNumberFormat="1" applyFont="1" applyAlignment="1">
      <alignment horizontal="left" vertical="center"/>
    </xf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165" fontId="15" fillId="0" borderId="0" xfId="0" applyNumberFormat="1" applyFont="1"/>
    <xf numFmtId="165" fontId="15" fillId="0" borderId="0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 vertical="center"/>
    </xf>
    <xf numFmtId="3" fontId="16" fillId="3" borderId="0" xfId="0" applyNumberFormat="1" applyFont="1" applyFill="1" applyBorder="1" applyAlignment="1">
      <alignment horizontal="center" vertical="center"/>
    </xf>
    <xf numFmtId="0" fontId="17" fillId="0" borderId="0" xfId="0" applyFont="1" applyBorder="1"/>
    <xf numFmtId="165" fontId="19" fillId="0" borderId="0" xfId="0" applyNumberFormat="1" applyFont="1" applyFill="1" applyAlignment="1">
      <alignment horizontal="left" vertical="center"/>
    </xf>
    <xf numFmtId="0" fontId="9" fillId="2" borderId="0" xfId="3" applyFont="1" applyFill="1" applyAlignment="1" applyProtection="1">
      <alignment horizontal="center"/>
      <protection locked="0"/>
    </xf>
    <xf numFmtId="168" fontId="10" fillId="2" borderId="0" xfId="4" applyNumberFormat="1" applyFont="1" applyFill="1" applyAlignment="1" applyProtection="1">
      <alignment horizontal="center"/>
      <protection locked="0"/>
    </xf>
    <xf numFmtId="0" fontId="22" fillId="0" borderId="0" xfId="0" applyFont="1"/>
    <xf numFmtId="0" fontId="23" fillId="0" borderId="0" xfId="0" applyFont="1"/>
    <xf numFmtId="0" fontId="24" fillId="0" borderId="0" xfId="3" applyFont="1"/>
    <xf numFmtId="0" fontId="22" fillId="0" borderId="0" xfId="0" applyFont="1" applyAlignment="1">
      <alignment horizontal="center"/>
    </xf>
    <xf numFmtId="167" fontId="23" fillId="0" borderId="0" xfId="0" applyNumberFormat="1" applyFont="1"/>
    <xf numFmtId="165" fontId="25" fillId="0" borderId="0" xfId="0" applyNumberFormat="1" applyFont="1" applyAlignment="1">
      <alignment horizontal="left" vertical="center"/>
    </xf>
    <xf numFmtId="164" fontId="23" fillId="0" borderId="0" xfId="0" applyNumberFormat="1" applyFont="1"/>
    <xf numFmtId="0" fontId="23" fillId="0" borderId="0" xfId="0" applyFont="1" applyFill="1"/>
    <xf numFmtId="3" fontId="23" fillId="0" borderId="0" xfId="0" applyNumberFormat="1" applyFont="1" applyFill="1"/>
    <xf numFmtId="0" fontId="26" fillId="0" borderId="0" xfId="0" applyFont="1"/>
    <xf numFmtId="169" fontId="9" fillId="0" borderId="0" xfId="3" applyNumberFormat="1" applyFont="1"/>
    <xf numFmtId="170" fontId="9" fillId="0" borderId="0" xfId="5" applyNumberFormat="1" applyFont="1"/>
    <xf numFmtId="0" fontId="2" fillId="0" borderId="0" xfId="0" applyFont="1"/>
    <xf numFmtId="0" fontId="9" fillId="0" borderId="0" xfId="3" applyFont="1" applyAlignment="1">
      <alignment vertical="top"/>
    </xf>
    <xf numFmtId="0" fontId="11" fillId="0" borderId="0" xfId="3" applyFont="1" applyAlignment="1">
      <alignment horizontal="left" vertical="top"/>
    </xf>
    <xf numFmtId="0" fontId="11" fillId="0" borderId="0" xfId="3" applyFont="1" applyFill="1" applyAlignment="1">
      <alignment horizontal="center" vertical="top"/>
    </xf>
    <xf numFmtId="0" fontId="11" fillId="0" borderId="0" xfId="3" applyFont="1" applyAlignment="1">
      <alignment horizontal="center" vertical="top" wrapText="1"/>
    </xf>
    <xf numFmtId="0" fontId="11" fillId="0" borderId="0" xfId="3" applyFont="1" applyAlignment="1">
      <alignment horizontal="center" vertical="top"/>
    </xf>
    <xf numFmtId="0" fontId="8" fillId="0" borderId="0" xfId="3" applyFont="1" applyAlignment="1">
      <alignment horizontal="center" vertical="top"/>
    </xf>
    <xf numFmtId="49" fontId="15" fillId="0" borderId="0" xfId="0" applyNumberFormat="1" applyFont="1" applyBorder="1" applyAlignment="1">
      <alignment horizontal="center"/>
    </xf>
    <xf numFmtId="0" fontId="27" fillId="0" borderId="0" xfId="0" applyFont="1"/>
    <xf numFmtId="165" fontId="0" fillId="0" borderId="0" xfId="5" applyNumberFormat="1" applyFont="1"/>
    <xf numFmtId="0" fontId="29" fillId="0" borderId="0" xfId="0" applyFont="1"/>
    <xf numFmtId="165" fontId="16" fillId="3" borderId="0" xfId="5" applyNumberFormat="1" applyFont="1" applyFill="1" applyBorder="1" applyAlignment="1" applyProtection="1">
      <alignment horizontal="right" vertical="center"/>
    </xf>
    <xf numFmtId="9" fontId="16" fillId="3" borderId="0" xfId="4" applyFont="1" applyFill="1" applyBorder="1" applyAlignment="1" applyProtection="1">
      <alignment horizontal="right" vertical="center"/>
    </xf>
    <xf numFmtId="43" fontId="16" fillId="3" borderId="0" xfId="5" applyFont="1" applyFill="1" applyBorder="1" applyAlignment="1" applyProtection="1">
      <alignment horizontal="right" vertical="center"/>
    </xf>
    <xf numFmtId="0" fontId="32" fillId="0" borderId="0" xfId="0" applyFont="1"/>
    <xf numFmtId="165" fontId="19" fillId="0" borderId="0" xfId="0" applyNumberFormat="1" applyFont="1" applyAlignment="1">
      <alignment horizontal="left" vertical="center"/>
    </xf>
    <xf numFmtId="0" fontId="33" fillId="0" borderId="0" xfId="0" applyFont="1"/>
    <xf numFmtId="0" fontId="34" fillId="0" borderId="0" xfId="0" applyFont="1"/>
    <xf numFmtId="0" fontId="12" fillId="0" borderId="2" xfId="0" applyFont="1" applyFill="1" applyBorder="1" applyAlignment="1">
      <alignment horizontal="right" vertical="center" wrapText="1"/>
    </xf>
    <xf numFmtId="0" fontId="13" fillId="0" borderId="4" xfId="0" applyFont="1" applyFill="1" applyBorder="1"/>
    <xf numFmtId="0" fontId="13" fillId="0" borderId="0" xfId="0" applyFont="1" applyFill="1" applyBorder="1"/>
    <xf numFmtId="0" fontId="13" fillId="0" borderId="3" xfId="0" applyFont="1" applyFill="1" applyBorder="1"/>
    <xf numFmtId="171" fontId="16" fillId="3" borderId="0" xfId="5" applyNumberFormat="1" applyFont="1" applyFill="1" applyBorder="1" applyAlignment="1">
      <alignment horizontal="center" vertical="center"/>
    </xf>
    <xf numFmtId="171" fontId="16" fillId="3" borderId="3" xfId="5" applyNumberFormat="1" applyFont="1" applyFill="1" applyBorder="1" applyAlignment="1">
      <alignment horizontal="center" vertical="center"/>
    </xf>
    <xf numFmtId="0" fontId="35" fillId="0" borderId="0" xfId="0" applyFont="1"/>
    <xf numFmtId="0" fontId="12" fillId="0" borderId="2" xfId="0" applyFont="1" applyFill="1" applyBorder="1" applyAlignment="1">
      <alignment horizontal="centerContinuous" vertical="center" wrapText="1"/>
    </xf>
    <xf numFmtId="10" fontId="23" fillId="0" borderId="0" xfId="0" applyNumberFormat="1" applyFont="1" applyFill="1" applyBorder="1"/>
    <xf numFmtId="0" fontId="23" fillId="0" borderId="0" xfId="0" applyFont="1" applyFill="1" applyBorder="1"/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3" fontId="23" fillId="0" borderId="0" xfId="0" applyNumberFormat="1" applyFont="1" applyFill="1" applyBorder="1"/>
    <xf numFmtId="0" fontId="17" fillId="0" borderId="0" xfId="0" applyFont="1" applyBorder="1" applyAlignment="1">
      <alignment horizontal="left"/>
    </xf>
    <xf numFmtId="165" fontId="95" fillId="0" borderId="0" xfId="0" applyNumberFormat="1" applyFont="1" applyProtection="1"/>
    <xf numFmtId="165" fontId="96" fillId="0" borderId="0" xfId="0" applyNumberFormat="1" applyFont="1" applyAlignment="1" applyProtection="1">
      <alignment horizontal="center"/>
    </xf>
    <xf numFmtId="165" fontId="37" fillId="0" borderId="0" xfId="0" applyNumberFormat="1" applyFont="1" applyProtection="1"/>
    <xf numFmtId="165" fontId="95" fillId="0" borderId="6" xfId="0" applyNumberFormat="1" applyFont="1" applyBorder="1" applyAlignment="1" applyProtection="1">
      <alignment horizontal="center"/>
    </xf>
    <xf numFmtId="165" fontId="95" fillId="0" borderId="0" xfId="0" applyNumberFormat="1" applyFont="1" applyBorder="1" applyAlignment="1" applyProtection="1">
      <alignment horizontal="center"/>
    </xf>
    <xf numFmtId="165" fontId="37" fillId="0" borderId="0" xfId="0" applyNumberFormat="1" applyFont="1" applyAlignment="1" applyProtection="1">
      <alignment horizontal="left" indent="1"/>
    </xf>
    <xf numFmtId="165" fontId="96" fillId="0" borderId="0" xfId="5" applyNumberFormat="1" applyFont="1" applyAlignment="1" applyProtection="1">
      <alignment horizontal="center"/>
    </xf>
    <xf numFmtId="191" fontId="3" fillId="0" borderId="0" xfId="1" applyNumberFormat="1" applyFont="1" applyFill="1" applyBorder="1" applyAlignment="1" applyProtection="1">
      <alignment horizontal="center" vertical="center"/>
    </xf>
    <xf numFmtId="43" fontId="0" fillId="0" borderId="0" xfId="5" applyNumberFormat="1" applyFont="1"/>
    <xf numFmtId="165" fontId="96" fillId="0" borderId="0" xfId="0" applyNumberFormat="1" applyFont="1" applyProtection="1"/>
    <xf numFmtId="165" fontId="0" fillId="47" borderId="23" xfId="5" applyNumberFormat="1" applyFont="1" applyFill="1" applyBorder="1"/>
    <xf numFmtId="165" fontId="27" fillId="47" borderId="23" xfId="5" applyNumberFormat="1" applyFont="1" applyFill="1" applyBorder="1"/>
    <xf numFmtId="0" fontId="27" fillId="0" borderId="6" xfId="0" applyFont="1" applyBorder="1"/>
    <xf numFmtId="0" fontId="0" fillId="0" borderId="6" xfId="0" applyBorder="1"/>
    <xf numFmtId="165" fontId="0" fillId="0" borderId="6" xfId="5" applyNumberFormat="1" applyFont="1" applyBorder="1"/>
    <xf numFmtId="0" fontId="30" fillId="0" borderId="0" xfId="0" applyFont="1"/>
    <xf numFmtId="0" fontId="31" fillId="0" borderId="6" xfId="0" applyFont="1" applyBorder="1"/>
    <xf numFmtId="0" fontId="97" fillId="0" borderId="0" xfId="0" applyFont="1"/>
    <xf numFmtId="191" fontId="3" fillId="3" borderId="0" xfId="1" applyNumberFormat="1" applyFont="1" applyFill="1" applyBorder="1" applyAlignment="1" applyProtection="1">
      <alignment horizontal="center" vertical="center"/>
    </xf>
    <xf numFmtId="0" fontId="0" fillId="3" borderId="0" xfId="0" applyFill="1"/>
    <xf numFmtId="9" fontId="0" fillId="47" borderId="23" xfId="4" applyFont="1" applyFill="1" applyBorder="1"/>
    <xf numFmtId="43" fontId="0" fillId="47" borderId="23" xfId="5" applyFont="1" applyFill="1" applyBorder="1"/>
    <xf numFmtId="10" fontId="0" fillId="47" borderId="23" xfId="4" applyNumberFormat="1" applyFont="1" applyFill="1" applyBorder="1"/>
    <xf numFmtId="9" fontId="0" fillId="47" borderId="23" xfId="4" applyNumberFormat="1" applyFont="1" applyFill="1" applyBorder="1"/>
    <xf numFmtId="43" fontId="0" fillId="47" borderId="23" xfId="5" applyNumberFormat="1" applyFont="1" applyFill="1" applyBorder="1"/>
    <xf numFmtId="10" fontId="27" fillId="47" borderId="23" xfId="4" applyNumberFormat="1" applyFont="1" applyFill="1" applyBorder="1"/>
    <xf numFmtId="171" fontId="0" fillId="47" borderId="23" xfId="5" applyNumberFormat="1" applyFont="1" applyFill="1" applyBorder="1"/>
    <xf numFmtId="170" fontId="0" fillId="47" borderId="23" xfId="5" applyNumberFormat="1" applyFont="1" applyFill="1" applyBorder="1"/>
    <xf numFmtId="191" fontId="2" fillId="0" borderId="0" xfId="0" applyNumberFormat="1" applyFont="1"/>
    <xf numFmtId="43" fontId="0" fillId="0" borderId="0" xfId="5" applyFont="1"/>
    <xf numFmtId="43" fontId="0" fillId="0" borderId="0" xfId="0" applyNumberFormat="1"/>
    <xf numFmtId="165" fontId="0" fillId="0" borderId="0" xfId="0" applyNumberFormat="1"/>
  </cellXfs>
  <cellStyles count="269">
    <cellStyle name=" 1" xfId="14"/>
    <cellStyle name=" 1 2" xfId="15"/>
    <cellStyle name=" 1_29(d) - Gas extensions -tariffs" xfId="16"/>
    <cellStyle name="_Capex" xfId="17"/>
    <cellStyle name="_Capex 2" xfId="18"/>
    <cellStyle name="_Capex_29(d) - Gas extensions -tariffs" xfId="19"/>
    <cellStyle name="_UED AMP 2009-14 Final 250309 Less PU" xfId="20"/>
    <cellStyle name="_UED AMP 2009-14 Final 250309 Less PU_1011 monthly" xfId="21"/>
    <cellStyle name="20% - Accent1 2" xfId="22"/>
    <cellStyle name="20% - Accent2 2" xfId="23"/>
    <cellStyle name="20% - Accent3 2" xfId="24"/>
    <cellStyle name="20% - Accent4 2" xfId="25"/>
    <cellStyle name="20% - Accent5 2" xfId="26"/>
    <cellStyle name="20% - Accent6 2" xfId="27"/>
    <cellStyle name="40% - Accent1 2" xfId="28"/>
    <cellStyle name="40% - Accent2 2" xfId="29"/>
    <cellStyle name="40% - Accent3 2" xfId="30"/>
    <cellStyle name="40% - Accent4 2" xfId="31"/>
    <cellStyle name="40% - Accent5 2" xfId="32"/>
    <cellStyle name="40% - Accent6 2" xfId="33"/>
    <cellStyle name="60% - Accent1 2" xfId="34"/>
    <cellStyle name="60% - Accent2 2" xfId="35"/>
    <cellStyle name="60% - Accent3 2" xfId="36"/>
    <cellStyle name="60% - Accent4 2" xfId="37"/>
    <cellStyle name="60% - Accent5 2" xfId="38"/>
    <cellStyle name="60% - Accent6 2" xfId="39"/>
    <cellStyle name="Accent1 - 20%" xfId="40"/>
    <cellStyle name="Accent1 - 40%" xfId="41"/>
    <cellStyle name="Accent1 - 60%" xfId="42"/>
    <cellStyle name="Accent1 2" xfId="43"/>
    <cellStyle name="Accent2 - 20%" xfId="44"/>
    <cellStyle name="Accent2 - 40%" xfId="45"/>
    <cellStyle name="Accent2 - 60%" xfId="46"/>
    <cellStyle name="Accent2 2" xfId="47"/>
    <cellStyle name="Accent3 - 20%" xfId="48"/>
    <cellStyle name="Accent3 - 40%" xfId="49"/>
    <cellStyle name="Accent3 - 60%" xfId="50"/>
    <cellStyle name="Accent3 2" xfId="51"/>
    <cellStyle name="Accent4 - 20%" xfId="52"/>
    <cellStyle name="Accent4 - 40%" xfId="53"/>
    <cellStyle name="Accent4 - 60%" xfId="54"/>
    <cellStyle name="Accent4 2" xfId="55"/>
    <cellStyle name="Accent5 - 20%" xfId="56"/>
    <cellStyle name="Accent5 - 40%" xfId="57"/>
    <cellStyle name="Accent5 - 60%" xfId="58"/>
    <cellStyle name="Accent5 2" xfId="59"/>
    <cellStyle name="Accent6 - 20%" xfId="60"/>
    <cellStyle name="Accent6 - 40%" xfId="61"/>
    <cellStyle name="Accent6 - 60%" xfId="62"/>
    <cellStyle name="Accent6 2" xfId="63"/>
    <cellStyle name="Agara" xfId="64"/>
    <cellStyle name="Assumptions Right Number" xfId="1"/>
    <cellStyle name="B79812_.wvu.PrintTitlest" xfId="65"/>
    <cellStyle name="Bad 2" xfId="66"/>
    <cellStyle name="Black" xfId="67"/>
    <cellStyle name="Blockout" xfId="68"/>
    <cellStyle name="Blockout 2" xfId="69"/>
    <cellStyle name="Blue" xfId="70"/>
    <cellStyle name="Calcs_Divider" xfId="248"/>
    <cellStyle name="Calculation 2" xfId="71"/>
    <cellStyle name="Check" xfId="249"/>
    <cellStyle name="Check Cell 2" xfId="72"/>
    <cellStyle name="Column_Heading_1" xfId="250"/>
    <cellStyle name="Comma" xfId="5" builtinId="3"/>
    <cellStyle name="Comma [0]7Z_87C" xfId="73"/>
    <cellStyle name="Comma 0" xfId="74"/>
    <cellStyle name="Comma 1" xfId="75"/>
    <cellStyle name="Comma 1 2" xfId="76"/>
    <cellStyle name="Comma 2" xfId="12"/>
    <cellStyle name="Comma 2 2" xfId="77"/>
    <cellStyle name="Comma 2 3" xfId="78"/>
    <cellStyle name="Comma 2 3 2" xfId="79"/>
    <cellStyle name="Comma 2 4" xfId="80"/>
    <cellStyle name="Comma 2 5" xfId="81"/>
    <cellStyle name="Comma 3" xfId="82"/>
    <cellStyle name="Comma 3 2" xfId="83"/>
    <cellStyle name="Comma 3 3" xfId="84"/>
    <cellStyle name="Comma 4" xfId="85"/>
    <cellStyle name="Comma 5" xfId="86"/>
    <cellStyle name="Comma 6" xfId="87"/>
    <cellStyle name="Comma 7" xfId="88"/>
    <cellStyle name="Comma 8" xfId="89"/>
    <cellStyle name="Comma 9" xfId="10"/>
    <cellStyle name="Comma0" xfId="90"/>
    <cellStyle name="Currency 11" xfId="91"/>
    <cellStyle name="Currency 11 2" xfId="92"/>
    <cellStyle name="Currency 2" xfId="93"/>
    <cellStyle name="Currency 2 2" xfId="94"/>
    <cellStyle name="Currency 3" xfId="95"/>
    <cellStyle name="Currency 3 2" xfId="96"/>
    <cellStyle name="Currency 4" xfId="97"/>
    <cellStyle name="Currency 4 2" xfId="98"/>
    <cellStyle name="Currency 5" xfId="247"/>
    <cellStyle name="D4_B8B1_005004B79812_.wvu.PrintTitlest" xfId="99"/>
    <cellStyle name="Date" xfId="100"/>
    <cellStyle name="Date 2" xfId="101"/>
    <cellStyle name="dms_NUM" xfId="268"/>
    <cellStyle name="Emphasis 1" xfId="102"/>
    <cellStyle name="Emphasis 2" xfId="103"/>
    <cellStyle name="Emphasis 3" xfId="104"/>
    <cellStyle name="Empty_Cell" xfId="251"/>
    <cellStyle name="Euro" xfId="105"/>
    <cellStyle name="Explanatory Text 2" xfId="106"/>
    <cellStyle name="Fixed" xfId="107"/>
    <cellStyle name="Fixed 2" xfId="108"/>
    <cellStyle name="Gilsans" xfId="109"/>
    <cellStyle name="Gilsansl" xfId="110"/>
    <cellStyle name="Good 2" xfId="111"/>
    <cellStyle name="Header1" xfId="252"/>
    <cellStyle name="Header2" xfId="253"/>
    <cellStyle name="Header3" xfId="254"/>
    <cellStyle name="Header4" xfId="255"/>
    <cellStyle name="Header5" xfId="256"/>
    <cellStyle name="Heading 1 2" xfId="112"/>
    <cellStyle name="Heading 1 2 2" xfId="113"/>
    <cellStyle name="Heading 1 3" xfId="114"/>
    <cellStyle name="Heading 2 2" xfId="115"/>
    <cellStyle name="Heading 2 2 2" xfId="116"/>
    <cellStyle name="Heading 2 3" xfId="117"/>
    <cellStyle name="Heading 3 2" xfId="118"/>
    <cellStyle name="Heading 3 2 2" xfId="119"/>
    <cellStyle name="Heading 3 3" xfId="120"/>
    <cellStyle name="Heading 4 2" xfId="121"/>
    <cellStyle name="Heading 4 2 2" xfId="122"/>
    <cellStyle name="Heading 4 3" xfId="123"/>
    <cellStyle name="Heading(4)" xfId="124"/>
    <cellStyle name="Hyperlink 2" xfId="125"/>
    <cellStyle name="Hyperlink Arrow" xfId="126"/>
    <cellStyle name="Hyperlink Text" xfId="127"/>
    <cellStyle name="Input 2" xfId="128"/>
    <cellStyle name="Input|Date" xfId="7"/>
    <cellStyle name="Input1" xfId="129"/>
    <cellStyle name="Input1 2" xfId="130"/>
    <cellStyle name="Input2" xfId="131"/>
    <cellStyle name="Input2 2" xfId="132"/>
    <cellStyle name="Input3" xfId="133"/>
    <cellStyle name="Input3 2" xfId="134"/>
    <cellStyle name="Inputs_Divider" xfId="257"/>
    <cellStyle name="InSheet" xfId="258"/>
    <cellStyle name="Lines" xfId="135"/>
    <cellStyle name="Linked Cell 2" xfId="136"/>
    <cellStyle name="Mine" xfId="137"/>
    <cellStyle name="Model Name" xfId="138"/>
    <cellStyle name="Neutral 2" xfId="139"/>
    <cellStyle name="Normal" xfId="0" builtinId="0"/>
    <cellStyle name="Normal - Style1" xfId="140"/>
    <cellStyle name="Normal 10" xfId="245"/>
    <cellStyle name="Normal 11" xfId="6"/>
    <cellStyle name="Normal 13" xfId="141"/>
    <cellStyle name="Normal 13 2" xfId="11"/>
    <cellStyle name="Normal 13_29(d) - Gas extensions -tariffs" xfId="142"/>
    <cellStyle name="Normal 15" xfId="143"/>
    <cellStyle name="Normal 16" xfId="144"/>
    <cellStyle name="Normal 2" xfId="2"/>
    <cellStyle name="Normal 2 2" xfId="146"/>
    <cellStyle name="Normal 2 2 2" xfId="147"/>
    <cellStyle name="Normal 2 3" xfId="148"/>
    <cellStyle name="Normal 2 3 2" xfId="149"/>
    <cellStyle name="Normal 2 3_29(d) - Gas extensions -tariffs" xfId="150"/>
    <cellStyle name="Normal 2 4" xfId="151"/>
    <cellStyle name="Normal 2 5" xfId="152"/>
    <cellStyle name="Normal 2 6" xfId="145"/>
    <cellStyle name="Normal 2_29(d) - Gas extensions -tariffs" xfId="153"/>
    <cellStyle name="Normal 3" xfId="3"/>
    <cellStyle name="Normal 3 2" xfId="155"/>
    <cellStyle name="Normal 3 3" xfId="154"/>
    <cellStyle name="Normal 3_29(d) - Gas extensions -tariffs" xfId="156"/>
    <cellStyle name="Normal 38" xfId="157"/>
    <cellStyle name="Normal 38 2" xfId="158"/>
    <cellStyle name="Normal 38_29(d) - Gas extensions -tariffs" xfId="159"/>
    <cellStyle name="Normal 4" xfId="160"/>
    <cellStyle name="Normal 4 2" xfId="161"/>
    <cellStyle name="Normal 4 3" xfId="162"/>
    <cellStyle name="Normal 4_29(d) - Gas extensions -tariffs" xfId="163"/>
    <cellStyle name="Normal 40" xfId="164"/>
    <cellStyle name="Normal 40 2" xfId="165"/>
    <cellStyle name="Normal 40_29(d) - Gas extensions -tariffs" xfId="166"/>
    <cellStyle name="Normal 5" xfId="167"/>
    <cellStyle name="Normal 5 2" xfId="168"/>
    <cellStyle name="Normal 6" xfId="169"/>
    <cellStyle name="Normal 6 2" xfId="170"/>
    <cellStyle name="Normal 7" xfId="13"/>
    <cellStyle name="Normal 7 2" xfId="171"/>
    <cellStyle name="Normal 8" xfId="172"/>
    <cellStyle name="Normal 9" xfId="173"/>
    <cellStyle name="Note 2" xfId="174"/>
    <cellStyle name="OffSheet" xfId="259"/>
    <cellStyle name="Output 2" xfId="175"/>
    <cellStyle name="Percent" xfId="4" builtinId="5"/>
    <cellStyle name="Percent [2]" xfId="176"/>
    <cellStyle name="Percent [2] 2" xfId="177"/>
    <cellStyle name="Percent [2]_29(d) - Gas extensions -tariffs" xfId="178"/>
    <cellStyle name="Percent 2" xfId="9"/>
    <cellStyle name="Percent 2 2" xfId="179"/>
    <cellStyle name="Percent 3" xfId="180"/>
    <cellStyle name="Percent 3 2" xfId="181"/>
    <cellStyle name="Percent 4" xfId="182"/>
    <cellStyle name="Percent 5" xfId="246"/>
    <cellStyle name="Percent 6" xfId="8"/>
    <cellStyle name="Percent 7" xfId="183"/>
    <cellStyle name="Percentage" xfId="184"/>
    <cellStyle name="Period Title" xfId="185"/>
    <cellStyle name="PSChar" xfId="186"/>
    <cellStyle name="PSDate" xfId="187"/>
    <cellStyle name="PSDec" xfId="188"/>
    <cellStyle name="PSDetail" xfId="189"/>
    <cellStyle name="PSHeading" xfId="190"/>
    <cellStyle name="PSInt" xfId="191"/>
    <cellStyle name="PSSpacer" xfId="192"/>
    <cellStyle name="Ratio" xfId="193"/>
    <cellStyle name="Ratio 2" xfId="194"/>
    <cellStyle name="Ratio_29(d) - Gas extensions -tariffs" xfId="195"/>
    <cellStyle name="Right Date" xfId="196"/>
    <cellStyle name="Right Number" xfId="197"/>
    <cellStyle name="Right Year" xfId="198"/>
    <cellStyle name="SAPError" xfId="199"/>
    <cellStyle name="SAPError 2" xfId="200"/>
    <cellStyle name="SAPKey" xfId="201"/>
    <cellStyle name="SAPKey 2" xfId="202"/>
    <cellStyle name="SAPLocked" xfId="203"/>
    <cellStyle name="SAPLocked 2" xfId="204"/>
    <cellStyle name="SAPOutput" xfId="205"/>
    <cellStyle name="SAPOutput 2" xfId="206"/>
    <cellStyle name="SAPSpace" xfId="207"/>
    <cellStyle name="SAPSpace 2" xfId="208"/>
    <cellStyle name="SAPText" xfId="209"/>
    <cellStyle name="SAPText 2" xfId="210"/>
    <cellStyle name="SAPUnLocked" xfId="211"/>
    <cellStyle name="SAPUnLocked 2" xfId="212"/>
    <cellStyle name="Sheet Title" xfId="213"/>
    <cellStyle name="SheetHeader1" xfId="260"/>
    <cellStyle name="SheetHeader2" xfId="261"/>
    <cellStyle name="SheetHeader3" xfId="262"/>
    <cellStyle name="Style 1" xfId="214"/>
    <cellStyle name="Style 1 2" xfId="215"/>
    <cellStyle name="Style 1_29(d) - Gas extensions -tariffs" xfId="216"/>
    <cellStyle name="Style2" xfId="217"/>
    <cellStyle name="Style3" xfId="218"/>
    <cellStyle name="Style4" xfId="219"/>
    <cellStyle name="Style4 2" xfId="220"/>
    <cellStyle name="Style4_29(d) - Gas extensions -tariffs" xfId="221"/>
    <cellStyle name="Style5" xfId="222"/>
    <cellStyle name="Style5 2" xfId="223"/>
    <cellStyle name="Style5_29(d) - Gas extensions -tariffs" xfId="224"/>
    <cellStyle name="Table Head Green" xfId="225"/>
    <cellStyle name="Table Head_pldt" xfId="226"/>
    <cellStyle name="Table Source" xfId="227"/>
    <cellStyle name="Table Units" xfId="228"/>
    <cellStyle name="Table_Heading" xfId="263"/>
    <cellStyle name="Technical_Input" xfId="264"/>
    <cellStyle name="Text" xfId="229"/>
    <cellStyle name="Text 2" xfId="230"/>
    <cellStyle name="Text 3" xfId="231"/>
    <cellStyle name="Text Head 1" xfId="232"/>
    <cellStyle name="Text Head 2" xfId="233"/>
    <cellStyle name="Text Indent 2" xfId="234"/>
    <cellStyle name="Theirs" xfId="235"/>
    <cellStyle name="Title 2" xfId="236"/>
    <cellStyle name="TOC 1" xfId="237"/>
    <cellStyle name="TOC 2" xfId="238"/>
    <cellStyle name="TOC 3" xfId="239"/>
    <cellStyle name="Total 2" xfId="240"/>
    <cellStyle name="Totals" xfId="265"/>
    <cellStyle name="unit" xfId="266"/>
    <cellStyle name="User_Input" xfId="267"/>
    <cellStyle name="Warning Text 2" xfId="241"/>
    <cellStyle name="year" xfId="242"/>
    <cellStyle name="year 2" xfId="243"/>
    <cellStyle name="year_29(d) - Gas extensions -tariffs" xfId="24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7110841</xdr:colOff>
      <xdr:row>15</xdr:row>
      <xdr:rowOff>3070860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0841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6"/>
  <sheetViews>
    <sheetView showGridLines="0" tabSelected="1" workbookViewId="0">
      <selection activeCell="A16" sqref="A16"/>
    </sheetView>
  </sheetViews>
  <sheetFormatPr defaultColWidth="0" defaultRowHeight="13.2" zeroHeight="1"/>
  <cols>
    <col min="1" max="1" width="105.88671875" customWidth="1"/>
    <col min="2" max="2" width="11.6640625" customWidth="1"/>
    <col min="3" max="9" width="8.88671875" customWidth="1"/>
    <col min="10" max="16384" width="8.88671875" hidden="1"/>
  </cols>
  <sheetData>
    <row r="1" spans="2:2"/>
    <row r="2" spans="2:2"/>
    <row r="3" spans="2:2"/>
    <row r="4" spans="2:2">
      <c r="B4" s="50" t="s">
        <v>123</v>
      </c>
    </row>
    <row r="5" spans="2:2"/>
    <row r="6" spans="2:2">
      <c r="B6" s="52"/>
    </row>
    <row r="7" spans="2:2"/>
    <row r="8" spans="2:2">
      <c r="B8" s="42" t="s">
        <v>122</v>
      </c>
    </row>
    <row r="9" spans="2:2"/>
    <row r="10" spans="2:2"/>
    <row r="11" spans="2:2" ht="14.4">
      <c r="B11" s="25" t="s">
        <v>80</v>
      </c>
    </row>
    <row r="12" spans="2:2">
      <c r="B12" s="84" t="s">
        <v>81</v>
      </c>
    </row>
    <row r="13" spans="2:2" ht="14.4">
      <c r="B13" s="28" t="s">
        <v>82</v>
      </c>
    </row>
    <row r="14" spans="2:2" ht="216.6" customHeight="1"/>
    <row r="15" spans="2:2" ht="159.6" customHeight="1"/>
    <row r="16" spans="2:2" ht="349.2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50"/>
  <sheetViews>
    <sheetView showGridLines="0" zoomScale="70" zoomScaleNormal="70" zoomScalePageLayoutView="150" workbookViewId="0">
      <pane xSplit="6" ySplit="5" topLeftCell="G9" activePane="bottomRight" state="frozen"/>
      <selection pane="topRight" activeCell="G1" sqref="G1"/>
      <selection pane="bottomLeft" activeCell="A6" sqref="A6"/>
      <selection pane="bottomRight" activeCell="Q38" sqref="Q38"/>
    </sheetView>
  </sheetViews>
  <sheetFormatPr defaultColWidth="0" defaultRowHeight="13.2" zeroHeight="1"/>
  <cols>
    <col min="1" max="3" width="3.6640625" customWidth="1"/>
    <col min="4" max="4" width="28" customWidth="1"/>
    <col min="5" max="5" width="8.6640625" customWidth="1"/>
    <col min="6" max="6" width="67.88671875" bestFit="1" customWidth="1"/>
    <col min="7" max="12" width="12.6640625" customWidth="1"/>
    <col min="13" max="13" width="13.5546875" bestFit="1" customWidth="1"/>
    <col min="14" max="15" width="13.109375" bestFit="1" customWidth="1"/>
    <col min="16" max="16" width="12.88671875" bestFit="1" customWidth="1"/>
    <col min="17" max="17" width="12.5546875" customWidth="1"/>
    <col min="18" max="18" width="11.5546875" customWidth="1"/>
    <col min="19" max="23" width="11.5546875" hidden="1" customWidth="1"/>
    <col min="24" max="25" width="8.6640625" hidden="1" customWidth="1"/>
    <col min="26" max="26" width="44.44140625" hidden="1" customWidth="1"/>
    <col min="27" max="27" width="16.88671875" hidden="1" customWidth="1"/>
    <col min="28" max="28" width="32" hidden="1" customWidth="1"/>
    <col min="29" max="16384" width="8.88671875" hidden="1"/>
  </cols>
  <sheetData>
    <row r="1" spans="4:26" s="17" customFormat="1" ht="14.4">
      <c r="D1" s="1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4:26" s="17" customFormat="1" ht="14.4">
      <c r="D2" s="16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4:26" s="17" customFormat="1" ht="14.4">
      <c r="D3" s="16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4:26" s="18" customFormat="1" ht="14.4">
      <c r="D4" s="22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0"/>
    </row>
    <row r="5" spans="4:26" s="17" customFormat="1" ht="14.4">
      <c r="D5" s="56" t="s">
        <v>76</v>
      </c>
      <c r="E5" s="56" t="s">
        <v>9</v>
      </c>
      <c r="F5" s="56" t="s">
        <v>74</v>
      </c>
      <c r="G5" s="49">
        <v>2006</v>
      </c>
      <c r="H5" s="49">
        <v>2007</v>
      </c>
      <c r="I5" s="49">
        <v>2008</v>
      </c>
      <c r="J5" s="49">
        <v>2009</v>
      </c>
      <c r="K5" s="49">
        <v>2010</v>
      </c>
      <c r="L5" s="49">
        <v>2011</v>
      </c>
      <c r="M5" s="49">
        <v>2012</v>
      </c>
      <c r="N5" s="49">
        <v>2013</v>
      </c>
      <c r="O5" s="49">
        <v>2014</v>
      </c>
      <c r="P5" s="49">
        <v>2015</v>
      </c>
      <c r="Q5" s="49">
        <v>2016</v>
      </c>
      <c r="R5"/>
      <c r="S5"/>
      <c r="T5"/>
      <c r="U5"/>
      <c r="V5"/>
      <c r="W5"/>
      <c r="X5" s="23"/>
      <c r="Y5" s="20"/>
    </row>
    <row r="6" spans="4:26" s="17" customFormat="1" ht="14.4"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4:26" s="17" customFormat="1" ht="14.4">
      <c r="D7" s="50" t="s">
        <v>77</v>
      </c>
      <c r="E7" s="5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4:26" s="17" customFormat="1" ht="14.4">
      <c r="D8" s="19" t="s">
        <v>10</v>
      </c>
      <c r="E8" s="24" t="s">
        <v>11</v>
      </c>
      <c r="F8" s="57" t="s">
        <v>79</v>
      </c>
      <c r="G8" s="53">
        <v>1546194.5</v>
      </c>
      <c r="H8" s="53">
        <v>1561614</v>
      </c>
      <c r="I8" s="53">
        <v>1574318</v>
      </c>
      <c r="J8" s="53">
        <v>1586138</v>
      </c>
      <c r="K8" s="53">
        <v>1596897.5</v>
      </c>
      <c r="L8" s="53">
        <v>1608734.5</v>
      </c>
      <c r="M8" s="53">
        <v>1621658.5</v>
      </c>
      <c r="N8" s="53">
        <v>1635052.5</v>
      </c>
      <c r="O8" s="53">
        <v>1651159.5</v>
      </c>
      <c r="P8" s="53">
        <v>1669558.4999999998</v>
      </c>
      <c r="Q8" s="53">
        <v>1688281.7206584653</v>
      </c>
      <c r="R8"/>
      <c r="S8"/>
      <c r="T8"/>
      <c r="U8"/>
      <c r="V8"/>
      <c r="W8"/>
      <c r="X8"/>
      <c r="Y8"/>
    </row>
    <row r="9" spans="4:26" s="17" customFormat="1" ht="14.4">
      <c r="D9" s="19" t="s">
        <v>14</v>
      </c>
      <c r="E9" s="24" t="s">
        <v>12</v>
      </c>
      <c r="F9" s="57" t="s">
        <v>79</v>
      </c>
      <c r="G9" s="53">
        <v>38742.394999999997</v>
      </c>
      <c r="H9" s="53">
        <v>38874.940199999997</v>
      </c>
      <c r="I9" s="53">
        <v>39223.906199999998</v>
      </c>
      <c r="J9" s="53">
        <v>39462.306199999992</v>
      </c>
      <c r="K9" s="53">
        <v>39745.275499999996</v>
      </c>
      <c r="L9" s="53">
        <v>40272.423000000003</v>
      </c>
      <c r="M9" s="53">
        <v>40626.292999999998</v>
      </c>
      <c r="N9" s="53">
        <v>40963.506000000001</v>
      </c>
      <c r="O9" s="53">
        <v>41271.487999999998</v>
      </c>
      <c r="P9" s="53">
        <v>41370.329480349785</v>
      </c>
      <c r="Q9" s="53">
        <v>41453.210735954468</v>
      </c>
      <c r="R9"/>
      <c r="S9"/>
      <c r="T9"/>
      <c r="U9"/>
      <c r="V9"/>
      <c r="W9"/>
      <c r="X9"/>
      <c r="Y9"/>
    </row>
    <row r="10" spans="4:26" s="17" customFormat="1" ht="14.4">
      <c r="D10" s="19" t="s">
        <v>62</v>
      </c>
      <c r="E10" s="24" t="s">
        <v>16</v>
      </c>
      <c r="F10" s="57" t="s">
        <v>79</v>
      </c>
      <c r="G10" s="53">
        <v>6109.7635599999994</v>
      </c>
      <c r="H10" s="53">
        <v>6019.4088400000019</v>
      </c>
      <c r="I10" s="53">
        <v>6280.2569099999992</v>
      </c>
      <c r="J10" s="53">
        <v>6372.643</v>
      </c>
      <c r="K10" s="53">
        <v>6305.1046800000004</v>
      </c>
      <c r="L10" s="53">
        <v>6555.2656999999999</v>
      </c>
      <c r="M10" s="53">
        <v>5958.1553700000004</v>
      </c>
      <c r="N10" s="53">
        <v>6004.7919040678617</v>
      </c>
      <c r="O10" s="53">
        <v>5165.4497899999997</v>
      </c>
      <c r="P10" s="53">
        <v>5367.3402900000001</v>
      </c>
      <c r="Q10" s="53">
        <v>5798.3421600000001</v>
      </c>
      <c r="R10"/>
      <c r="S10"/>
      <c r="T10"/>
      <c r="U10"/>
      <c r="V10"/>
      <c r="W10"/>
      <c r="X10"/>
      <c r="Y10"/>
    </row>
    <row r="11" spans="4:26" s="17" customFormat="1" ht="14.4">
      <c r="D11" s="19" t="s">
        <v>15</v>
      </c>
      <c r="E11" s="24" t="s">
        <v>16</v>
      </c>
      <c r="F11" s="57" t="s">
        <v>79</v>
      </c>
      <c r="G11" s="53">
        <v>6109.7635599999994</v>
      </c>
      <c r="H11" s="53">
        <v>6109.7635599999994</v>
      </c>
      <c r="I11" s="53">
        <v>6280.2569099999992</v>
      </c>
      <c r="J11" s="53">
        <v>6372.643</v>
      </c>
      <c r="K11" s="53">
        <v>6372.643</v>
      </c>
      <c r="L11" s="53">
        <v>6555.2656999999999</v>
      </c>
      <c r="M11" s="53">
        <v>6555.2656999999999</v>
      </c>
      <c r="N11" s="53">
        <v>6555.2656999999999</v>
      </c>
      <c r="O11" s="53">
        <v>6555.2656999999999</v>
      </c>
      <c r="P11" s="53">
        <v>6555.2656999999999</v>
      </c>
      <c r="Q11" s="53">
        <v>6555.2656999999999</v>
      </c>
      <c r="R11"/>
      <c r="S11"/>
      <c r="T11"/>
      <c r="U11"/>
      <c r="V11"/>
      <c r="W11"/>
      <c r="X11"/>
      <c r="Y11"/>
    </row>
    <row r="12" spans="4:26" s="17" customFormat="1" ht="14.4">
      <c r="D12" s="19" t="s">
        <v>18</v>
      </c>
      <c r="E12" s="24" t="s">
        <v>19</v>
      </c>
      <c r="F12" s="57" t="s">
        <v>79</v>
      </c>
      <c r="G12" s="54">
        <v>0.32609225629959121</v>
      </c>
      <c r="H12" s="54">
        <v>0.33415974746631255</v>
      </c>
      <c r="I12" s="54">
        <v>0.33749331676710981</v>
      </c>
      <c r="J12" s="54">
        <v>0.34281590466195311</v>
      </c>
      <c r="K12" s="54">
        <v>0.34667203401319996</v>
      </c>
      <c r="L12" s="54">
        <v>0.35095288406163194</v>
      </c>
      <c r="M12" s="54">
        <v>0.35793551235403143</v>
      </c>
      <c r="N12" s="54">
        <v>0.36353348270531338</v>
      </c>
      <c r="O12" s="54">
        <v>0.36895660267931218</v>
      </c>
      <c r="P12" s="54">
        <v>0.37139074473836958</v>
      </c>
      <c r="Q12" s="54">
        <v>0.37437986122575578</v>
      </c>
      <c r="R12"/>
      <c r="S12"/>
      <c r="T12"/>
      <c r="U12"/>
      <c r="V12"/>
      <c r="W12"/>
      <c r="X12"/>
      <c r="Y12"/>
    </row>
    <row r="13" spans="4:26" s="17" customFormat="1" ht="14.4">
      <c r="D13" s="19" t="s">
        <v>31</v>
      </c>
      <c r="E13" s="24" t="s">
        <v>64</v>
      </c>
      <c r="F13" s="57" t="s">
        <v>79</v>
      </c>
      <c r="G13" s="53">
        <v>357834.49621930806</v>
      </c>
      <c r="H13" s="53">
        <v>316522.99188389262</v>
      </c>
      <c r="I13" s="53">
        <v>467809.122173907</v>
      </c>
      <c r="J13" s="53">
        <v>441027.33814656845</v>
      </c>
      <c r="K13" s="53">
        <v>511184.26885726338</v>
      </c>
      <c r="L13" s="53">
        <v>506684.85404769256</v>
      </c>
      <c r="M13" s="53">
        <v>577601.09550643899</v>
      </c>
      <c r="N13" s="53">
        <v>471121.68333051458</v>
      </c>
      <c r="O13" s="53">
        <v>539569.59182207973</v>
      </c>
      <c r="P13" s="53">
        <v>647227.97580349469</v>
      </c>
      <c r="Q13" s="53">
        <v>588178.8664672653</v>
      </c>
      <c r="R13"/>
      <c r="S13"/>
      <c r="T13"/>
      <c r="U13"/>
      <c r="V13"/>
      <c r="W13"/>
      <c r="X13"/>
      <c r="Y13"/>
      <c r="Z13" s="20"/>
    </row>
    <row r="14" spans="4:26" s="17" customFormat="1" ht="14.4">
      <c r="D14" s="19" t="s">
        <v>32</v>
      </c>
      <c r="E14" s="24" t="s">
        <v>63</v>
      </c>
      <c r="F14" s="57" t="s">
        <v>79</v>
      </c>
      <c r="G14" s="55">
        <v>1</v>
      </c>
      <c r="H14" s="55">
        <v>1.0453031706310059</v>
      </c>
      <c r="I14" s="55">
        <v>1.0869127291238869</v>
      </c>
      <c r="J14" s="55">
        <v>1.1314150307773592</v>
      </c>
      <c r="K14" s="55">
        <v>1.157184416610997</v>
      </c>
      <c r="L14" s="55">
        <v>1.2000498549749401</v>
      </c>
      <c r="M14" s="55">
        <v>1.2390479353613724</v>
      </c>
      <c r="N14" s="55">
        <v>1.2792011471296834</v>
      </c>
      <c r="O14" s="55">
        <v>1.314246043793176</v>
      </c>
      <c r="P14" s="55">
        <v>1.3436258076376568</v>
      </c>
      <c r="Q14" s="55">
        <v>1.36676309884876</v>
      </c>
      <c r="R14"/>
      <c r="S14"/>
      <c r="T14"/>
      <c r="U14"/>
      <c r="V14"/>
      <c r="W14"/>
      <c r="X14"/>
      <c r="Y14"/>
      <c r="Z14" s="20"/>
    </row>
    <row r="15" spans="4:26" s="17" customFormat="1" ht="14.4">
      <c r="D15"/>
      <c r="E15"/>
      <c r="F15" s="58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 s="20"/>
    </row>
    <row r="16" spans="4:26" s="17" customFormat="1" ht="14.4">
      <c r="D16" s="19"/>
      <c r="E16" s="24"/>
      <c r="F16" s="5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 s="20"/>
    </row>
    <row r="17" spans="1:26" s="17" customFormat="1" ht="14.4">
      <c r="D17" s="50" t="s">
        <v>78</v>
      </c>
      <c r="E17" s="59"/>
      <c r="F17" s="58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 s="20"/>
    </row>
    <row r="18" spans="1:26" s="17" customFormat="1" ht="14.4">
      <c r="D18" s="19" t="s">
        <v>10</v>
      </c>
      <c r="E18" s="24" t="s">
        <v>11</v>
      </c>
      <c r="F18" s="58"/>
      <c r="G18" s="84">
        <f t="shared" ref="G18:Q18" si="0">G8</f>
        <v>1546194.5</v>
      </c>
      <c r="H18" s="84">
        <f t="shared" si="0"/>
        <v>1561614</v>
      </c>
      <c r="I18" s="84">
        <f t="shared" si="0"/>
        <v>1574318</v>
      </c>
      <c r="J18" s="84">
        <f t="shared" si="0"/>
        <v>1586138</v>
      </c>
      <c r="K18" s="84">
        <f t="shared" si="0"/>
        <v>1596897.5</v>
      </c>
      <c r="L18" s="84">
        <f t="shared" si="0"/>
        <v>1608734.5</v>
      </c>
      <c r="M18" s="84">
        <f t="shared" si="0"/>
        <v>1621658.5</v>
      </c>
      <c r="N18" s="84">
        <f t="shared" si="0"/>
        <v>1635052.5</v>
      </c>
      <c r="O18" s="84">
        <f t="shared" si="0"/>
        <v>1651159.5</v>
      </c>
      <c r="P18" s="84">
        <f t="shared" si="0"/>
        <v>1669558.4999999998</v>
      </c>
      <c r="Q18" s="84">
        <f t="shared" si="0"/>
        <v>1688281.7206584653</v>
      </c>
      <c r="R18"/>
      <c r="S18"/>
      <c r="T18"/>
      <c r="U18"/>
      <c r="V18"/>
      <c r="W18"/>
      <c r="X18"/>
      <c r="Y18"/>
      <c r="Z18" s="20"/>
    </row>
    <row r="19" spans="1:26" s="17" customFormat="1" ht="14.4">
      <c r="D19" s="19" t="s">
        <v>14</v>
      </c>
      <c r="E19" s="24" t="s">
        <v>12</v>
      </c>
      <c r="F19" s="58"/>
      <c r="G19" s="84">
        <f t="shared" ref="G19:Q19" si="1">G9</f>
        <v>38742.394999999997</v>
      </c>
      <c r="H19" s="84">
        <f t="shared" si="1"/>
        <v>38874.940199999997</v>
      </c>
      <c r="I19" s="84">
        <f t="shared" si="1"/>
        <v>39223.906199999998</v>
      </c>
      <c r="J19" s="84">
        <f t="shared" si="1"/>
        <v>39462.306199999992</v>
      </c>
      <c r="K19" s="84">
        <f t="shared" si="1"/>
        <v>39745.275499999996</v>
      </c>
      <c r="L19" s="84">
        <f t="shared" si="1"/>
        <v>40272.423000000003</v>
      </c>
      <c r="M19" s="84">
        <f t="shared" si="1"/>
        <v>40626.292999999998</v>
      </c>
      <c r="N19" s="84">
        <f t="shared" si="1"/>
        <v>40963.506000000001</v>
      </c>
      <c r="O19" s="84">
        <f t="shared" si="1"/>
        <v>41271.487999999998</v>
      </c>
      <c r="P19" s="84">
        <f t="shared" si="1"/>
        <v>41370.329480349785</v>
      </c>
      <c r="Q19" s="84">
        <f t="shared" si="1"/>
        <v>41453.210735954468</v>
      </c>
      <c r="R19"/>
      <c r="S19"/>
      <c r="T19"/>
      <c r="U19"/>
      <c r="V19"/>
      <c r="W19"/>
      <c r="X19"/>
      <c r="Y19"/>
      <c r="Z19" s="20"/>
    </row>
    <row r="20" spans="1:26" s="17" customFormat="1" ht="14.4">
      <c r="D20" s="19" t="s">
        <v>62</v>
      </c>
      <c r="E20" s="24" t="s">
        <v>16</v>
      </c>
      <c r="F20" s="58"/>
      <c r="G20" s="84">
        <f t="shared" ref="G20:Q20" si="2">G10</f>
        <v>6109.7635599999994</v>
      </c>
      <c r="H20" s="84">
        <f t="shared" si="2"/>
        <v>6019.4088400000019</v>
      </c>
      <c r="I20" s="84">
        <f t="shared" si="2"/>
        <v>6280.2569099999992</v>
      </c>
      <c r="J20" s="84">
        <f t="shared" si="2"/>
        <v>6372.643</v>
      </c>
      <c r="K20" s="84">
        <f t="shared" si="2"/>
        <v>6305.1046800000004</v>
      </c>
      <c r="L20" s="84">
        <f t="shared" si="2"/>
        <v>6555.2656999999999</v>
      </c>
      <c r="M20" s="84">
        <f t="shared" si="2"/>
        <v>5958.1553700000004</v>
      </c>
      <c r="N20" s="84">
        <f t="shared" si="2"/>
        <v>6004.7919040678617</v>
      </c>
      <c r="O20" s="84">
        <f t="shared" si="2"/>
        <v>5165.4497899999997</v>
      </c>
      <c r="P20" s="84">
        <f t="shared" si="2"/>
        <v>5367.3402900000001</v>
      </c>
      <c r="Q20" s="84">
        <f t="shared" si="2"/>
        <v>5798.3421600000001</v>
      </c>
      <c r="R20"/>
      <c r="S20"/>
      <c r="T20"/>
      <c r="U20"/>
      <c r="V20"/>
      <c r="W20"/>
      <c r="X20"/>
      <c r="Y20"/>
      <c r="Z20" s="20"/>
    </row>
    <row r="21" spans="1:26" ht="14.4">
      <c r="A21" s="17"/>
      <c r="B21" s="17"/>
      <c r="C21" s="17"/>
      <c r="D21" s="19" t="s">
        <v>15</v>
      </c>
      <c r="E21" s="24" t="s">
        <v>16</v>
      </c>
      <c r="F21" s="58"/>
      <c r="G21" s="84">
        <f t="shared" ref="G21:Q21" si="3">G11</f>
        <v>6109.7635599999994</v>
      </c>
      <c r="H21" s="84">
        <f t="shared" si="3"/>
        <v>6109.7635599999994</v>
      </c>
      <c r="I21" s="84">
        <f t="shared" si="3"/>
        <v>6280.2569099999992</v>
      </c>
      <c r="J21" s="84">
        <f t="shared" si="3"/>
        <v>6372.643</v>
      </c>
      <c r="K21" s="84">
        <f t="shared" si="3"/>
        <v>6372.643</v>
      </c>
      <c r="L21" s="84">
        <f t="shared" si="3"/>
        <v>6555.2656999999999</v>
      </c>
      <c r="M21" s="84">
        <f t="shared" si="3"/>
        <v>6555.2656999999999</v>
      </c>
      <c r="N21" s="84">
        <f t="shared" si="3"/>
        <v>6555.2656999999999</v>
      </c>
      <c r="O21" s="84">
        <f t="shared" si="3"/>
        <v>6555.2656999999999</v>
      </c>
      <c r="P21" s="84">
        <f t="shared" si="3"/>
        <v>6555.2656999999999</v>
      </c>
      <c r="Q21" s="84">
        <f t="shared" si="3"/>
        <v>6555.2656999999999</v>
      </c>
    </row>
    <row r="22" spans="1:26" ht="14.4">
      <c r="A22" s="17"/>
      <c r="B22" s="17"/>
      <c r="C22" s="17"/>
      <c r="D22" s="19" t="s">
        <v>17</v>
      </c>
      <c r="E22" s="24" t="s">
        <v>12</v>
      </c>
      <c r="F22" s="58"/>
      <c r="G22" s="84">
        <f t="shared" ref="G22:Q22" si="4">G19*G23</f>
        <v>12633.594999999999</v>
      </c>
      <c r="H22" s="84">
        <f t="shared" si="4"/>
        <v>12990.440200000001</v>
      </c>
      <c r="I22" s="84">
        <f t="shared" si="4"/>
        <v>13237.806200000001</v>
      </c>
      <c r="J22" s="84">
        <f t="shared" si="4"/>
        <v>13528.306199999999</v>
      </c>
      <c r="K22" s="84">
        <f t="shared" si="4"/>
        <v>13778.575500000001</v>
      </c>
      <c r="L22" s="84">
        <f t="shared" si="4"/>
        <v>14133.723</v>
      </c>
      <c r="M22" s="84">
        <f t="shared" si="4"/>
        <v>14541.592999999999</v>
      </c>
      <c r="N22" s="84">
        <f t="shared" si="4"/>
        <v>14891.606000000002</v>
      </c>
      <c r="O22" s="84">
        <f t="shared" si="4"/>
        <v>15227.387999999999</v>
      </c>
      <c r="P22" s="84">
        <f t="shared" si="4"/>
        <v>15364.557475778833</v>
      </c>
      <c r="Q22" s="84">
        <f t="shared" si="4"/>
        <v>15519.247282688644</v>
      </c>
    </row>
    <row r="23" spans="1:26" ht="14.4">
      <c r="A23" s="17"/>
      <c r="B23" s="17"/>
      <c r="C23" s="17"/>
      <c r="D23" s="19" t="s">
        <v>18</v>
      </c>
      <c r="E23" s="24" t="s">
        <v>19</v>
      </c>
      <c r="F23" s="58"/>
      <c r="G23" s="94">
        <f t="shared" ref="G23:Q23" si="5">G12</f>
        <v>0.32609225629959121</v>
      </c>
      <c r="H23" s="94">
        <f t="shared" si="5"/>
        <v>0.33415974746631255</v>
      </c>
      <c r="I23" s="94">
        <f t="shared" si="5"/>
        <v>0.33749331676710981</v>
      </c>
      <c r="J23" s="94">
        <f t="shared" si="5"/>
        <v>0.34281590466195311</v>
      </c>
      <c r="K23" s="94">
        <f t="shared" si="5"/>
        <v>0.34667203401319996</v>
      </c>
      <c r="L23" s="94">
        <f t="shared" si="5"/>
        <v>0.35095288406163194</v>
      </c>
      <c r="M23" s="94">
        <f t="shared" si="5"/>
        <v>0.35793551235403143</v>
      </c>
      <c r="N23" s="94">
        <f t="shared" si="5"/>
        <v>0.36353348270531338</v>
      </c>
      <c r="O23" s="94">
        <f t="shared" si="5"/>
        <v>0.36895660267931218</v>
      </c>
      <c r="P23" s="94">
        <f t="shared" si="5"/>
        <v>0.37139074473836958</v>
      </c>
      <c r="Q23" s="94">
        <f t="shared" si="5"/>
        <v>0.37437986122575578</v>
      </c>
    </row>
    <row r="24" spans="1:26" ht="14.4">
      <c r="A24" s="17"/>
      <c r="B24" s="17"/>
      <c r="C24" s="17"/>
      <c r="D24" s="19" t="s">
        <v>31</v>
      </c>
      <c r="E24" s="24" t="s">
        <v>64</v>
      </c>
      <c r="F24" s="58"/>
      <c r="G24" s="84">
        <f t="shared" ref="G24:Q24" si="6">G13</f>
        <v>357834.49621930806</v>
      </c>
      <c r="H24" s="84">
        <f t="shared" si="6"/>
        <v>316522.99188389262</v>
      </c>
      <c r="I24" s="84">
        <f t="shared" si="6"/>
        <v>467809.122173907</v>
      </c>
      <c r="J24" s="84">
        <f t="shared" si="6"/>
        <v>441027.33814656845</v>
      </c>
      <c r="K24" s="84">
        <f t="shared" si="6"/>
        <v>511184.26885726338</v>
      </c>
      <c r="L24" s="84">
        <f t="shared" si="6"/>
        <v>506684.85404769256</v>
      </c>
      <c r="M24" s="84">
        <f t="shared" si="6"/>
        <v>577601.09550643899</v>
      </c>
      <c r="N24" s="84">
        <f t="shared" si="6"/>
        <v>471121.68333051458</v>
      </c>
      <c r="O24" s="84">
        <f t="shared" si="6"/>
        <v>539569.59182207973</v>
      </c>
      <c r="P24" s="84">
        <f t="shared" si="6"/>
        <v>647227.97580349469</v>
      </c>
      <c r="Q24" s="84">
        <f t="shared" si="6"/>
        <v>588178.8664672653</v>
      </c>
    </row>
    <row r="25" spans="1:26" ht="14.4">
      <c r="A25" s="17"/>
      <c r="B25" s="17"/>
      <c r="C25" s="17"/>
      <c r="D25" s="19" t="s">
        <v>32</v>
      </c>
      <c r="E25" s="24" t="s">
        <v>63</v>
      </c>
      <c r="F25" s="58"/>
      <c r="G25" s="95">
        <f t="shared" ref="G25:Q25" si="7">G14</f>
        <v>1</v>
      </c>
      <c r="H25" s="95">
        <f t="shared" si="7"/>
        <v>1.0453031706310059</v>
      </c>
      <c r="I25" s="95">
        <f t="shared" si="7"/>
        <v>1.0869127291238869</v>
      </c>
      <c r="J25" s="95">
        <f t="shared" si="7"/>
        <v>1.1314150307773592</v>
      </c>
      <c r="K25" s="95">
        <f t="shared" si="7"/>
        <v>1.157184416610997</v>
      </c>
      <c r="L25" s="95">
        <f t="shared" si="7"/>
        <v>1.2000498549749401</v>
      </c>
      <c r="M25" s="95">
        <f t="shared" si="7"/>
        <v>1.2390479353613724</v>
      </c>
      <c r="N25" s="95">
        <f t="shared" si="7"/>
        <v>1.2792011471296834</v>
      </c>
      <c r="O25" s="95">
        <f t="shared" si="7"/>
        <v>1.314246043793176</v>
      </c>
      <c r="P25" s="95">
        <f t="shared" si="7"/>
        <v>1.3436258076376568</v>
      </c>
      <c r="Q25" s="98">
        <f t="shared" si="7"/>
        <v>1.36676309884876</v>
      </c>
    </row>
    <row r="26" spans="1:26" s="17" customFormat="1" ht="14.4" hidden="1">
      <c r="D26" s="19" t="s">
        <v>31</v>
      </c>
      <c r="E26" s="24" t="s">
        <v>67</v>
      </c>
      <c r="F26" s="58"/>
      <c r="G26" s="84">
        <f t="shared" ref="G26:Q26" si="8">G24*$Q$25/G25</f>
        <v>489074.9849276864</v>
      </c>
      <c r="H26" s="84">
        <f t="shared" si="8"/>
        <v>413862.65477694885</v>
      </c>
      <c r="I26" s="84">
        <f t="shared" si="8"/>
        <v>588257.20626853558</v>
      </c>
      <c r="J26" s="84">
        <f t="shared" si="8"/>
        <v>532766.38100527355</v>
      </c>
      <c r="K26" s="84">
        <f t="shared" si="8"/>
        <v>603765.2990802048</v>
      </c>
      <c r="L26" s="84">
        <f t="shared" si="8"/>
        <v>577074.49268632045</v>
      </c>
      <c r="M26" s="84">
        <f t="shared" si="8"/>
        <v>637137.4671332431</v>
      </c>
      <c r="N26" s="84">
        <f t="shared" si="8"/>
        <v>503370.19575732108</v>
      </c>
      <c r="O26" s="84">
        <f t="shared" si="8"/>
        <v>561130.70368074975</v>
      </c>
      <c r="P26" s="84">
        <f t="shared" si="8"/>
        <v>658373.26794585644</v>
      </c>
      <c r="Q26" s="84">
        <f t="shared" si="8"/>
        <v>588178.8664672653</v>
      </c>
      <c r="R26" s="20"/>
      <c r="S26" s="20"/>
      <c r="T26" s="20"/>
      <c r="U26" s="20"/>
      <c r="V26" s="20"/>
      <c r="W26" s="20"/>
      <c r="X26" s="20"/>
      <c r="Y26" s="20"/>
      <c r="Z26" s="20"/>
    </row>
    <row r="27" spans="1:26" s="17" customFormat="1" ht="14.4" hidden="1">
      <c r="D27" s="19"/>
      <c r="E27" s="20"/>
      <c r="F27" s="20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17" customFormat="1" ht="14.4" hidden="1">
      <c r="D28" s="1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</row>
    <row r="29" spans="1:26" s="17" customFormat="1" ht="14.4" hidden="1"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</row>
    <row r="30" spans="1:26" hidden="1"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</row>
    <row r="31" spans="1:26" hidden="1">
      <c r="D31" s="15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</row>
    <row r="32" spans="1:26" ht="14.4">
      <c r="D32" s="19" t="s">
        <v>31</v>
      </c>
      <c r="E32" s="58" t="s">
        <v>83</v>
      </c>
      <c r="G32" s="84">
        <f>G24*$Q$25/G25</f>
        <v>489074.9849276864</v>
      </c>
      <c r="H32" s="84">
        <f t="shared" ref="H32:Q32" si="9">H24*$Q$25/H25</f>
        <v>413862.65477694885</v>
      </c>
      <c r="I32" s="84">
        <f t="shared" si="9"/>
        <v>588257.20626853558</v>
      </c>
      <c r="J32" s="84">
        <f t="shared" si="9"/>
        <v>532766.38100527355</v>
      </c>
      <c r="K32" s="84">
        <f t="shared" si="9"/>
        <v>603765.2990802048</v>
      </c>
      <c r="L32" s="84">
        <f t="shared" si="9"/>
        <v>577074.49268632045</v>
      </c>
      <c r="M32" s="84">
        <f t="shared" si="9"/>
        <v>637137.4671332431</v>
      </c>
      <c r="N32" s="84">
        <f t="shared" si="9"/>
        <v>503370.19575732108</v>
      </c>
      <c r="O32" s="84">
        <f t="shared" si="9"/>
        <v>561130.70368074975</v>
      </c>
      <c r="P32" s="84">
        <f t="shared" si="9"/>
        <v>658373.26794585644</v>
      </c>
      <c r="Q32" s="84">
        <f t="shared" si="9"/>
        <v>588178.8664672653</v>
      </c>
    </row>
    <row r="33" spans="4:17"/>
    <row r="34" spans="4:17"/>
    <row r="35" spans="4:17"/>
    <row r="36" spans="4:17"/>
    <row r="37" spans="4:17" ht="14.4">
      <c r="D37" s="22" t="s">
        <v>13</v>
      </c>
      <c r="E37" s="20"/>
      <c r="G37" s="73" t="s">
        <v>33</v>
      </c>
      <c r="H37" s="20"/>
      <c r="I37" s="20"/>
      <c r="J37" s="20"/>
      <c r="K37" s="26"/>
      <c r="L37" s="17"/>
      <c r="M37" s="20"/>
      <c r="N37" s="26"/>
      <c r="Q37" s="21" t="s">
        <v>124</v>
      </c>
    </row>
    <row r="38" spans="4:17" ht="14.4">
      <c r="D38" s="19" t="s">
        <v>10</v>
      </c>
      <c r="E38" s="24" t="s">
        <v>11</v>
      </c>
      <c r="G38" s="84">
        <f>AVERAGE(G18:Q18)</f>
        <v>1612691.565514406</v>
      </c>
      <c r="Q38" s="96">
        <f>LN(Q18/G38)</f>
        <v>4.5806715422236959E-2</v>
      </c>
    </row>
    <row r="39" spans="4:17" ht="14.4">
      <c r="D39" s="19" t="s">
        <v>14</v>
      </c>
      <c r="E39" s="24" t="s">
        <v>12</v>
      </c>
      <c r="G39" s="84">
        <f t="shared" ref="G39" si="10">AVERAGE(G19:Q19)</f>
        <v>40182.370301482202</v>
      </c>
      <c r="Q39" s="96">
        <f>LN(Q19/G39)</f>
        <v>3.1136989319130452E-2</v>
      </c>
    </row>
    <row r="40" spans="4:17" ht="14.4">
      <c r="D40" s="19" t="s">
        <v>15</v>
      </c>
      <c r="E40" s="24" t="s">
        <v>16</v>
      </c>
      <c r="G40" s="84">
        <f>AVERAGE(G21:Q21)</f>
        <v>6416.0603845454552</v>
      </c>
      <c r="Q40" s="96">
        <f>LN(Q21/G40)</f>
        <v>2.1464368261478177E-2</v>
      </c>
    </row>
    <row r="41" spans="4:17" ht="14.4">
      <c r="D41" s="19" t="s">
        <v>18</v>
      </c>
      <c r="E41" s="24" t="s">
        <v>19</v>
      </c>
      <c r="G41" s="94">
        <f>AVERAGE(G23:Q23)</f>
        <v>0.35221657699750736</v>
      </c>
      <c r="Q41" s="96">
        <f>LN(Q23/G41)</f>
        <v>6.1024691740815581E-2</v>
      </c>
    </row>
    <row r="42" spans="4:17" ht="14.4">
      <c r="D42" s="19" t="s">
        <v>31</v>
      </c>
      <c r="E42" s="58" t="s">
        <v>83</v>
      </c>
      <c r="G42" s="84">
        <f>AVERAGE(G32:Q32)</f>
        <v>559362.8654299461</v>
      </c>
    </row>
    <row r="43" spans="4:17"/>
    <row r="44" spans="4:17" hidden="1"/>
    <row r="45" spans="4:17" hidden="1"/>
    <row r="46" spans="4:17" hidden="1"/>
    <row r="47" spans="4:17" hidden="1"/>
    <row r="48" spans="4:17" ht="14.4" hidden="1">
      <c r="D48" s="27"/>
    </row>
    <row r="49" spans="4:4" ht="14.4" hidden="1">
      <c r="D49" s="27"/>
    </row>
    <row r="50" spans="4:4" ht="14.4" hidden="1">
      <c r="D50" s="27"/>
    </row>
  </sheetData>
  <phoneticPr fontId="3" type="noConversion"/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56"/>
  <sheetViews>
    <sheetView showGridLines="0" zoomScale="70" zoomScaleNormal="70" workbookViewId="0">
      <selection activeCell="B21" sqref="B21"/>
    </sheetView>
  </sheetViews>
  <sheetFormatPr defaultColWidth="0" defaultRowHeight="14.4" zeroHeight="1"/>
  <cols>
    <col min="1" max="1" width="26.88671875" style="3" customWidth="1"/>
    <col min="2" max="2" width="10.33203125" style="3" customWidth="1"/>
    <col min="3" max="3" width="11.109375" style="3" customWidth="1"/>
    <col min="4" max="6" width="9.109375" style="3" customWidth="1"/>
    <col min="7" max="7" width="12.88671875" style="4" customWidth="1"/>
    <col min="8" max="8" width="9.109375" style="3" customWidth="1"/>
    <col min="9" max="9" width="11.109375" style="3" hidden="1" customWidth="1"/>
    <col min="10" max="11" width="9.109375" style="3" hidden="1" customWidth="1"/>
    <col min="12" max="12" width="23.6640625" style="3" hidden="1" customWidth="1"/>
    <col min="13" max="16" width="9.109375" style="3" hidden="1" customWidth="1"/>
    <col min="17" max="19" width="9.109375" style="1" hidden="1" customWidth="1"/>
    <col min="20" max="20" width="13" style="1" hidden="1" customWidth="1"/>
    <col min="21" max="16384" width="9.109375" style="1" hidden="1"/>
  </cols>
  <sheetData>
    <row r="1" spans="1:16">
      <c r="A1" s="2" t="s">
        <v>53</v>
      </c>
    </row>
    <row r="2" spans="1:16">
      <c r="A2" s="2" t="s">
        <v>54</v>
      </c>
    </row>
    <row r="3" spans="1:16">
      <c r="G3" s="3"/>
    </row>
    <row r="4" spans="1:16">
      <c r="A4" s="5" t="s">
        <v>70</v>
      </c>
      <c r="I4" s="1"/>
      <c r="J4" s="1"/>
      <c r="K4" s="1"/>
      <c r="L4" s="1"/>
      <c r="M4" s="1"/>
      <c r="N4" s="1"/>
      <c r="O4" s="1"/>
      <c r="P4" s="1"/>
    </row>
    <row r="5" spans="1:16">
      <c r="A5" s="43" t="s">
        <v>119</v>
      </c>
      <c r="B5" s="43"/>
      <c r="C5" s="43"/>
      <c r="D5" s="43"/>
      <c r="I5" s="1"/>
      <c r="J5" s="1"/>
      <c r="K5" s="1"/>
      <c r="L5" s="1"/>
      <c r="M5" s="1"/>
      <c r="N5" s="1"/>
      <c r="O5" s="1"/>
      <c r="P5" s="1"/>
    </row>
    <row r="6" spans="1:16" ht="15" thickBot="1">
      <c r="I6" s="1"/>
      <c r="J6" s="1"/>
      <c r="K6" s="1"/>
      <c r="L6" s="1"/>
      <c r="M6" s="1"/>
      <c r="N6" s="1"/>
      <c r="O6" s="1"/>
      <c r="P6" s="1"/>
    </row>
    <row r="7" spans="1:16" ht="15" thickBot="1">
      <c r="A7" s="67" t="s">
        <v>7</v>
      </c>
      <c r="B7" s="67"/>
      <c r="C7" s="60" t="s">
        <v>8</v>
      </c>
      <c r="I7" s="1"/>
      <c r="J7" s="1"/>
      <c r="K7" s="1"/>
      <c r="L7" s="1"/>
      <c r="M7" s="1"/>
      <c r="N7" s="1"/>
      <c r="O7" s="1"/>
      <c r="P7" s="1"/>
    </row>
    <row r="8" spans="1:16">
      <c r="A8" s="35" t="s">
        <v>10</v>
      </c>
      <c r="B8" s="61" t="s">
        <v>20</v>
      </c>
      <c r="C8" s="64">
        <v>0.76900000000000002</v>
      </c>
      <c r="D8" s="41"/>
      <c r="I8" s="1"/>
      <c r="J8" s="1"/>
      <c r="K8" s="1"/>
      <c r="L8" s="1"/>
      <c r="M8" s="1"/>
      <c r="N8" s="1"/>
      <c r="O8" s="1"/>
      <c r="P8" s="1"/>
    </row>
    <row r="9" spans="1:16">
      <c r="A9" s="35" t="s">
        <v>14</v>
      </c>
      <c r="B9" s="62" t="s">
        <v>21</v>
      </c>
      <c r="C9" s="64">
        <v>9.7000000000000003E-2</v>
      </c>
      <c r="D9" s="41"/>
      <c r="I9" s="1"/>
      <c r="J9" s="1"/>
      <c r="K9" s="1"/>
      <c r="L9" s="1"/>
      <c r="M9" s="1"/>
      <c r="N9" s="1"/>
      <c r="O9" s="1"/>
      <c r="P9" s="1"/>
    </row>
    <row r="10" spans="1:16">
      <c r="A10" s="35" t="s">
        <v>15</v>
      </c>
      <c r="B10" s="62" t="s">
        <v>22</v>
      </c>
      <c r="C10" s="64">
        <v>0.13100000000000001</v>
      </c>
      <c r="D10" s="41"/>
      <c r="I10" s="1"/>
      <c r="J10" s="1"/>
      <c r="K10" s="1"/>
      <c r="L10" s="1"/>
      <c r="M10" s="1"/>
      <c r="N10" s="1"/>
      <c r="O10" s="1"/>
      <c r="P10" s="1"/>
    </row>
    <row r="11" spans="1:16">
      <c r="A11" s="35" t="s">
        <v>18</v>
      </c>
      <c r="B11" s="62" t="s">
        <v>23</v>
      </c>
      <c r="C11" s="64">
        <v>-0.14399999999999999</v>
      </c>
      <c r="D11" s="41"/>
      <c r="I11" s="1"/>
      <c r="J11" s="1"/>
      <c r="K11" s="1"/>
      <c r="L11" s="1"/>
      <c r="M11" s="1"/>
      <c r="N11" s="1"/>
      <c r="O11" s="1"/>
      <c r="P11" s="1"/>
    </row>
    <row r="12" spans="1:16">
      <c r="A12" s="35" t="s">
        <v>0</v>
      </c>
      <c r="B12" s="62" t="s">
        <v>24</v>
      </c>
      <c r="C12" s="64">
        <v>1.7999999999999999E-2</v>
      </c>
      <c r="D12" s="41"/>
      <c r="I12" s="1"/>
      <c r="J12" s="1"/>
      <c r="K12" s="1"/>
      <c r="L12" s="1"/>
      <c r="M12" s="1"/>
      <c r="N12" s="1"/>
      <c r="O12" s="1"/>
      <c r="P12" s="1"/>
    </row>
    <row r="13" spans="1:16">
      <c r="B13" s="62" t="s">
        <v>25</v>
      </c>
      <c r="C13" s="64">
        <v>9.1999999999999998E-2</v>
      </c>
      <c r="D13" s="41"/>
      <c r="I13" s="1"/>
      <c r="J13" s="1"/>
      <c r="K13" s="1"/>
      <c r="L13" s="1"/>
      <c r="M13" s="1"/>
      <c r="N13" s="1"/>
      <c r="O13" s="1"/>
      <c r="P13" s="1"/>
    </row>
    <row r="14" spans="1:16">
      <c r="B14" s="62" t="s">
        <v>26</v>
      </c>
      <c r="C14" s="64">
        <v>0.251</v>
      </c>
      <c r="D14" s="41"/>
      <c r="I14" s="1"/>
      <c r="J14" s="1"/>
      <c r="K14" s="1"/>
      <c r="L14" s="1"/>
      <c r="M14" s="1"/>
      <c r="N14" s="1"/>
      <c r="O14" s="1"/>
      <c r="P14" s="1"/>
    </row>
    <row r="15" spans="1:16" ht="15" thickBot="1">
      <c r="A15" s="63"/>
      <c r="B15" s="63" t="s">
        <v>27</v>
      </c>
      <c r="C15" s="65">
        <v>-27.832000000000001</v>
      </c>
      <c r="D15" s="41"/>
      <c r="I15" s="1"/>
      <c r="J15" s="1"/>
      <c r="K15" s="1"/>
      <c r="L15" s="1"/>
      <c r="M15" s="1"/>
      <c r="N15" s="1"/>
      <c r="O15" s="1"/>
      <c r="P15" s="1"/>
    </row>
    <row r="16" spans="1:16">
      <c r="I16" s="1"/>
      <c r="J16" s="1"/>
      <c r="K16" s="1"/>
      <c r="L16" s="1"/>
      <c r="M16" s="1"/>
      <c r="N16" s="1"/>
      <c r="O16" s="1"/>
      <c r="P16" s="1"/>
    </row>
    <row r="17" spans="1:16">
      <c r="A17" s="2" t="s">
        <v>55</v>
      </c>
      <c r="I17" s="1"/>
      <c r="J17" s="1"/>
      <c r="K17" s="1"/>
      <c r="L17" s="1"/>
      <c r="M17" s="1"/>
      <c r="N17" s="1"/>
      <c r="O17" s="1"/>
      <c r="P17" s="1"/>
    </row>
    <row r="18" spans="1:16" ht="14.4" customHeight="1">
      <c r="A18" s="43" t="s">
        <v>72</v>
      </c>
      <c r="B18" s="43"/>
      <c r="C18" s="43"/>
      <c r="D18" s="43"/>
      <c r="I18" s="1"/>
      <c r="J18" s="1"/>
      <c r="K18" s="1"/>
      <c r="L18" s="1"/>
      <c r="M18" s="1"/>
      <c r="N18" s="1"/>
      <c r="O18" s="1"/>
      <c r="P18" s="1"/>
    </row>
    <row r="19" spans="1:16">
      <c r="G19" s="3"/>
      <c r="I19" s="1"/>
      <c r="J19" s="1"/>
      <c r="K19" s="1"/>
      <c r="L19" s="1"/>
      <c r="M19" s="1"/>
      <c r="N19" s="1"/>
      <c r="O19" s="1"/>
      <c r="P19" s="1"/>
    </row>
    <row r="20" spans="1:16">
      <c r="A20" s="6" t="s">
        <v>52</v>
      </c>
      <c r="B20" s="6" t="s">
        <v>38</v>
      </c>
      <c r="G20" s="3"/>
      <c r="I20" s="1"/>
      <c r="J20" s="1"/>
      <c r="K20" s="1"/>
      <c r="L20" s="1"/>
      <c r="M20" s="1"/>
      <c r="N20" s="1"/>
      <c r="O20" s="1"/>
      <c r="P20" s="1"/>
    </row>
    <row r="21" spans="1:16">
      <c r="A21" s="5" t="s">
        <v>39</v>
      </c>
      <c r="B21" s="64">
        <v>0.44781369999999998</v>
      </c>
      <c r="C21" s="4"/>
      <c r="D21" s="40"/>
      <c r="G21" s="3"/>
      <c r="I21" s="1"/>
      <c r="J21" s="1"/>
      <c r="K21" s="1"/>
      <c r="L21" s="1"/>
      <c r="M21" s="1"/>
      <c r="N21" s="1"/>
      <c r="O21" s="1"/>
      <c r="P21" s="1"/>
    </row>
    <row r="22" spans="1:16">
      <c r="A22" s="5" t="s">
        <v>40</v>
      </c>
      <c r="B22" s="64">
        <v>0.44586029999999999</v>
      </c>
      <c r="C22" s="4"/>
      <c r="D22" s="40"/>
      <c r="G22" s="3"/>
      <c r="I22" s="1"/>
      <c r="J22" s="1"/>
      <c r="K22" s="1"/>
      <c r="L22" s="1"/>
      <c r="M22" s="1"/>
      <c r="N22" s="1"/>
      <c r="O22" s="1"/>
      <c r="P22" s="1"/>
    </row>
    <row r="23" spans="1:16">
      <c r="A23" s="5" t="s">
        <v>41</v>
      </c>
      <c r="B23" s="64">
        <v>0.8974318</v>
      </c>
      <c r="C23" s="4"/>
      <c r="D23" s="40"/>
    </row>
    <row r="24" spans="1:16">
      <c r="A24" s="5" t="s">
        <v>42</v>
      </c>
      <c r="B24" s="64">
        <v>0.57447740000000003</v>
      </c>
      <c r="C24" s="4"/>
      <c r="D24" s="40"/>
    </row>
    <row r="25" spans="1:16">
      <c r="A25" s="5" t="s">
        <v>43</v>
      </c>
      <c r="B25" s="64">
        <v>0.61896499999999999</v>
      </c>
      <c r="C25" s="4"/>
      <c r="D25" s="40"/>
    </row>
    <row r="26" spans="1:16">
      <c r="A26" s="5" t="s">
        <v>44</v>
      </c>
      <c r="B26" s="64">
        <v>0.50981560000000004</v>
      </c>
      <c r="C26" s="4"/>
      <c r="D26" s="40"/>
      <c r="E26"/>
      <c r="F26"/>
      <c r="G26"/>
    </row>
    <row r="27" spans="1:16">
      <c r="A27" s="5" t="s">
        <v>45</v>
      </c>
      <c r="B27" s="64">
        <v>0.57531049999999995</v>
      </c>
      <c r="C27" s="4"/>
      <c r="D27" s="40"/>
      <c r="E27"/>
      <c r="F27"/>
      <c r="G27"/>
    </row>
    <row r="28" spans="1:16">
      <c r="A28" s="5" t="s">
        <v>46</v>
      </c>
      <c r="B28" s="64">
        <v>0.70165489999999997</v>
      </c>
      <c r="C28" s="4"/>
      <c r="D28" s="40"/>
      <c r="E28"/>
      <c r="F28"/>
      <c r="G28"/>
    </row>
    <row r="29" spans="1:16">
      <c r="A29" s="5" t="s">
        <v>47</v>
      </c>
      <c r="B29" s="64">
        <v>0.95825610000000006</v>
      </c>
      <c r="C29" s="4"/>
      <c r="D29" s="40"/>
      <c r="E29"/>
      <c r="F29"/>
      <c r="G29"/>
    </row>
    <row r="30" spans="1:16">
      <c r="A30" s="5" t="s">
        <v>48</v>
      </c>
      <c r="B30" s="64">
        <v>0.79754440000000004</v>
      </c>
      <c r="C30" s="4"/>
      <c r="D30" s="40"/>
      <c r="E30"/>
      <c r="F30"/>
      <c r="G30"/>
    </row>
    <row r="31" spans="1:16">
      <c r="A31" s="5" t="s">
        <v>73</v>
      </c>
      <c r="B31" s="64">
        <v>0.74790509999999999</v>
      </c>
      <c r="C31" s="4"/>
      <c r="D31" s="40"/>
      <c r="E31"/>
      <c r="F31"/>
      <c r="G31"/>
    </row>
    <row r="32" spans="1:16">
      <c r="A32" s="5" t="s">
        <v>49</v>
      </c>
      <c r="B32" s="64">
        <v>0.74562700000000004</v>
      </c>
      <c r="C32" s="4"/>
      <c r="D32" s="40"/>
      <c r="E32"/>
      <c r="F32"/>
      <c r="G32"/>
    </row>
    <row r="33" spans="1:7">
      <c r="A33" s="5" t="s">
        <v>50</v>
      </c>
      <c r="B33" s="64">
        <v>0.84520649999999997</v>
      </c>
      <c r="C33" s="4"/>
      <c r="D33" s="40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 hidden="1">
      <c r="A36"/>
      <c r="B36"/>
      <c r="C36"/>
      <c r="D36"/>
      <c r="E36"/>
      <c r="F36"/>
      <c r="G36"/>
    </row>
    <row r="37" spans="1:7" hidden="1">
      <c r="A37"/>
      <c r="B37"/>
      <c r="C37"/>
      <c r="D37"/>
      <c r="E37"/>
      <c r="F37"/>
      <c r="G37"/>
    </row>
    <row r="38" spans="1:7" hidden="1">
      <c r="A38"/>
      <c r="B38"/>
      <c r="C38"/>
      <c r="D38"/>
      <c r="E38"/>
      <c r="F38"/>
      <c r="G38"/>
    </row>
    <row r="39" spans="1:7" hidden="1">
      <c r="A39"/>
      <c r="B39"/>
      <c r="C39"/>
      <c r="D39"/>
      <c r="E39"/>
      <c r="F39"/>
      <c r="G39"/>
    </row>
    <row r="40" spans="1:7" hidden="1">
      <c r="A40"/>
      <c r="B40"/>
      <c r="C40"/>
      <c r="D40"/>
      <c r="E40"/>
      <c r="F40"/>
      <c r="G40"/>
    </row>
    <row r="41" spans="1:7" hidden="1">
      <c r="A41"/>
      <c r="B41"/>
      <c r="C41"/>
      <c r="D41"/>
      <c r="E41"/>
      <c r="F41"/>
      <c r="G41"/>
    </row>
    <row r="42" spans="1:7" hidden="1"/>
    <row r="43" spans="1:7" hidden="1">
      <c r="A43" s="1"/>
      <c r="B43" s="1"/>
      <c r="C43" s="1"/>
    </row>
    <row r="44" spans="1:7" hidden="1">
      <c r="A44" s="1"/>
      <c r="B44" s="1"/>
      <c r="C44" s="1"/>
    </row>
    <row r="45" spans="1:7" hidden="1">
      <c r="A45" s="1"/>
      <c r="B45" s="1"/>
      <c r="C45" s="1"/>
    </row>
    <row r="46" spans="1:7" hidden="1">
      <c r="A46" s="1"/>
      <c r="B46" s="1"/>
      <c r="C46" s="1"/>
    </row>
    <row r="47" spans="1:7" hidden="1">
      <c r="A47" s="1"/>
      <c r="B47" s="1"/>
      <c r="C47" s="1"/>
    </row>
    <row r="48" spans="1:7" hidden="1">
      <c r="A48" s="1"/>
      <c r="B48" s="1"/>
      <c r="C48" s="1"/>
    </row>
    <row r="49" spans="1:3" hidden="1">
      <c r="A49" s="1"/>
      <c r="B49" s="1"/>
      <c r="C49" s="1"/>
    </row>
    <row r="50" spans="1:3" hidden="1">
      <c r="A50" s="1"/>
      <c r="B50" s="1"/>
      <c r="C50" s="1"/>
    </row>
    <row r="51" spans="1:3" hidden="1">
      <c r="A51" s="1"/>
      <c r="B51" s="1"/>
      <c r="C51" s="1"/>
    </row>
    <row r="52" spans="1:3" hidden="1">
      <c r="A52" s="1"/>
      <c r="B52" s="1"/>
      <c r="C52" s="1"/>
    </row>
    <row r="53" spans="1:3" hidden="1">
      <c r="A53" s="1"/>
      <c r="B53" s="1"/>
      <c r="C53" s="1"/>
    </row>
    <row r="54" spans="1:3"/>
    <row r="55" spans="1:3"/>
    <row r="56" spans="1: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0070C0"/>
  </sheetPr>
  <dimension ref="A1:U36"/>
  <sheetViews>
    <sheetView showGridLines="0" zoomScale="85" zoomScaleNormal="85" workbookViewId="0"/>
  </sheetViews>
  <sheetFormatPr defaultColWidth="0" defaultRowHeight="14.4" zeroHeight="1"/>
  <cols>
    <col min="1" max="1" width="5.88671875" style="3" customWidth="1"/>
    <col min="2" max="2" width="15.33203125" style="3" bestFit="1" customWidth="1"/>
    <col min="3" max="3" width="12.88671875" style="4" customWidth="1"/>
    <col min="4" max="4" width="11.109375" style="3" customWidth="1"/>
    <col min="5" max="5" width="21.33203125" style="3" bestFit="1" customWidth="1"/>
    <col min="6" max="7" width="9.109375" style="3" customWidth="1"/>
    <col min="8" max="8" width="11.5546875" style="3" customWidth="1"/>
    <col min="9" max="9" width="10.44140625" style="3" customWidth="1"/>
    <col min="10" max="10" width="17.6640625" style="1" customWidth="1"/>
    <col min="11" max="11" width="18.88671875" style="1" bestFit="1" customWidth="1"/>
    <col min="12" max="12" width="44.5546875" style="1" bestFit="1" customWidth="1"/>
    <col min="13" max="13" width="29.44140625" style="1" customWidth="1"/>
    <col min="14" max="14" width="18.88671875" style="1" hidden="1" customWidth="1"/>
    <col min="15" max="15" width="26.5546875" style="1" hidden="1" customWidth="1"/>
    <col min="16" max="16" width="44.5546875" style="1" hidden="1" customWidth="1"/>
    <col min="17" max="16384" width="9.109375" style="1" hidden="1"/>
  </cols>
  <sheetData>
    <row r="1" spans="1:21">
      <c r="A1" s="2" t="s">
        <v>60</v>
      </c>
    </row>
    <row r="2" spans="1:21"/>
    <row r="3" spans="1:21">
      <c r="A3" s="2"/>
      <c r="C3" s="3"/>
      <c r="E3" s="2" t="s">
        <v>56</v>
      </c>
    </row>
    <row r="4" spans="1:21" s="12" customFormat="1">
      <c r="A4" s="9"/>
      <c r="B4" s="10"/>
      <c r="C4" s="10"/>
      <c r="E4" s="9"/>
      <c r="F4" s="44" t="s">
        <v>57</v>
      </c>
    </row>
    <row r="5" spans="1:21" s="12" customFormat="1">
      <c r="A5" s="46" t="s">
        <v>52</v>
      </c>
      <c r="B5" s="45" t="s">
        <v>29</v>
      </c>
      <c r="C5" s="45" t="s">
        <v>75</v>
      </c>
      <c r="E5" s="11" t="s">
        <v>52</v>
      </c>
      <c r="F5" s="13" t="s">
        <v>58</v>
      </c>
    </row>
    <row r="6" spans="1:21">
      <c r="A6" s="5" t="s">
        <v>39</v>
      </c>
      <c r="B6" s="98">
        <f t="shared" ref="B6:B18" si="0">INDEX(input.efficiencyscore,
              MATCH(A6,system.dnsp,0))</f>
        <v>0.44781369999999998</v>
      </c>
      <c r="C6" s="84">
        <f t="shared" ref="C6:C15" si="1">_xlfn.RANK.AVG(B6,$B$6:$B$18)</f>
        <v>12</v>
      </c>
      <c r="E6" s="5" t="s">
        <v>39</v>
      </c>
      <c r="F6" s="28">
        <v>0</v>
      </c>
      <c r="I6" s="12"/>
      <c r="J6" s="47" t="s">
        <v>59</v>
      </c>
      <c r="K6" s="47" t="s">
        <v>30</v>
      </c>
      <c r="L6" s="48" t="s">
        <v>61</v>
      </c>
    </row>
    <row r="7" spans="1:21">
      <c r="A7" s="5" t="s">
        <v>40</v>
      </c>
      <c r="B7" s="98">
        <f t="shared" si="0"/>
        <v>0.44586029999999999</v>
      </c>
      <c r="C7" s="84">
        <f t="shared" si="1"/>
        <v>13</v>
      </c>
      <c r="E7" s="5" t="s">
        <v>40</v>
      </c>
      <c r="F7" s="28">
        <v>0</v>
      </c>
      <c r="I7" s="5" t="s">
        <v>40</v>
      </c>
      <c r="J7" s="29">
        <v>0.11700000000000001</v>
      </c>
      <c r="K7" s="97">
        <f>F19/(1+J7)</f>
        <v>0.66956589077887196</v>
      </c>
      <c r="L7" s="97">
        <f>MAX((1- B7/$K7),0)</f>
        <v>0.33410541644922598</v>
      </c>
    </row>
    <row r="8" spans="1:21">
      <c r="A8" s="5" t="s">
        <v>41</v>
      </c>
      <c r="B8" s="98">
        <f t="shared" si="0"/>
        <v>0.8974318</v>
      </c>
      <c r="C8" s="84">
        <f t="shared" si="1"/>
        <v>2</v>
      </c>
      <c r="E8" s="5" t="s">
        <v>41</v>
      </c>
      <c r="F8" s="28">
        <v>0</v>
      </c>
      <c r="J8" s="3"/>
      <c r="K8" s="3"/>
      <c r="L8" s="3"/>
      <c r="M8" s="3"/>
    </row>
    <row r="9" spans="1:21">
      <c r="A9" s="5" t="s">
        <v>42</v>
      </c>
      <c r="B9" s="98">
        <f t="shared" si="0"/>
        <v>0.57447740000000003</v>
      </c>
      <c r="C9" s="84">
        <f t="shared" si="1"/>
        <v>10</v>
      </c>
      <c r="E9" s="5" t="s">
        <v>42</v>
      </c>
      <c r="F9" s="28">
        <v>0</v>
      </c>
    </row>
    <row r="10" spans="1:21">
      <c r="A10" s="5" t="s">
        <v>43</v>
      </c>
      <c r="B10" s="98">
        <f t="shared" si="0"/>
        <v>0.61896499999999999</v>
      </c>
      <c r="C10" s="84">
        <f t="shared" si="1"/>
        <v>8</v>
      </c>
      <c r="E10" s="5" t="s">
        <v>43</v>
      </c>
      <c r="F10" s="28">
        <v>0</v>
      </c>
      <c r="L10" s="12"/>
      <c r="Q10" s="12"/>
      <c r="R10" s="12"/>
      <c r="S10" s="12"/>
      <c r="T10" s="12"/>
      <c r="U10" s="12"/>
    </row>
    <row r="11" spans="1:21">
      <c r="A11" s="5" t="s">
        <v>44</v>
      </c>
      <c r="B11" s="98">
        <f t="shared" si="0"/>
        <v>0.50981560000000004</v>
      </c>
      <c r="C11" s="84">
        <f t="shared" si="1"/>
        <v>11</v>
      </c>
      <c r="E11" s="5" t="s">
        <v>44</v>
      </c>
      <c r="F11" s="28">
        <v>0</v>
      </c>
      <c r="L11" s="12"/>
      <c r="Q11" s="12"/>
      <c r="R11" s="12"/>
      <c r="S11" s="12"/>
      <c r="T11" s="12"/>
      <c r="U11" s="12"/>
    </row>
    <row r="12" spans="1:21">
      <c r="A12" s="5" t="s">
        <v>45</v>
      </c>
      <c r="B12" s="98">
        <f t="shared" si="0"/>
        <v>0.57531049999999995</v>
      </c>
      <c r="C12" s="84">
        <f t="shared" si="1"/>
        <v>9</v>
      </c>
      <c r="E12" s="5" t="s">
        <v>45</v>
      </c>
      <c r="F12" s="28">
        <v>0</v>
      </c>
      <c r="L12" s="12"/>
      <c r="R12" s="12"/>
    </row>
    <row r="13" spans="1:21">
      <c r="A13" s="5" t="s">
        <v>46</v>
      </c>
      <c r="B13" s="98">
        <f t="shared" si="0"/>
        <v>0.70165489999999997</v>
      </c>
      <c r="C13" s="84">
        <f t="shared" si="1"/>
        <v>7</v>
      </c>
      <c r="E13" s="5" t="s">
        <v>46</v>
      </c>
      <c r="F13" s="28">
        <v>0</v>
      </c>
      <c r="L13" s="12"/>
      <c r="R13" s="12"/>
    </row>
    <row r="14" spans="1:21">
      <c r="A14" s="5" t="s">
        <v>47</v>
      </c>
      <c r="B14" s="98">
        <f t="shared" si="0"/>
        <v>0.95825610000000006</v>
      </c>
      <c r="C14" s="84">
        <f t="shared" si="1"/>
        <v>1</v>
      </c>
      <c r="E14" s="5" t="s">
        <v>47</v>
      </c>
      <c r="F14" s="28">
        <v>0</v>
      </c>
      <c r="L14" s="12"/>
    </row>
    <row r="15" spans="1:21">
      <c r="A15" s="5" t="s">
        <v>48</v>
      </c>
      <c r="B15" s="98">
        <f t="shared" si="0"/>
        <v>0.79754440000000004</v>
      </c>
      <c r="C15" s="84">
        <f t="shared" si="1"/>
        <v>4</v>
      </c>
      <c r="E15" s="5" t="s">
        <v>48</v>
      </c>
      <c r="F15" s="28">
        <v>0</v>
      </c>
      <c r="L15" s="12"/>
    </row>
    <row r="16" spans="1:21">
      <c r="A16" s="5" t="s">
        <v>73</v>
      </c>
      <c r="B16" s="98">
        <f t="shared" si="0"/>
        <v>0.74790509999999999</v>
      </c>
      <c r="C16" s="84">
        <f>_xlfn.RANK.AVG(B16,$B$6:$B$18)</f>
        <v>5</v>
      </c>
      <c r="E16" s="5" t="s">
        <v>73</v>
      </c>
      <c r="F16" s="28">
        <v>1</v>
      </c>
      <c r="L16" s="12"/>
    </row>
    <row r="17" spans="1:12">
      <c r="A17" s="5" t="s">
        <v>49</v>
      </c>
      <c r="B17" s="98">
        <f t="shared" si="0"/>
        <v>0.74562700000000004</v>
      </c>
      <c r="C17" s="84">
        <f>_xlfn.RANK.AVG(B17,$B$6:$B$18)</f>
        <v>6</v>
      </c>
      <c r="E17" s="5" t="s">
        <v>49</v>
      </c>
      <c r="F17" s="28">
        <v>0</v>
      </c>
      <c r="L17" s="12"/>
    </row>
    <row r="18" spans="1:12">
      <c r="A18" s="5" t="s">
        <v>50</v>
      </c>
      <c r="B18" s="98">
        <f t="shared" si="0"/>
        <v>0.84520649999999997</v>
      </c>
      <c r="C18" s="84">
        <f>_xlfn.RANK.AVG(B18,$B$6:$B$18)</f>
        <v>3</v>
      </c>
      <c r="E18" s="5" t="s">
        <v>50</v>
      </c>
      <c r="F18" s="28">
        <v>0</v>
      </c>
      <c r="L18" s="12"/>
    </row>
    <row r="19" spans="1:12">
      <c r="A19" s="5"/>
      <c r="C19" s="3"/>
      <c r="E19" s="7"/>
      <c r="F19" s="96">
        <f>SUMPRODUCT(B6:B18,F6:F18)</f>
        <v>0.74790509999999999</v>
      </c>
      <c r="L19" s="12"/>
    </row>
    <row r="20" spans="1:12">
      <c r="C20" s="3"/>
      <c r="D20" s="1"/>
      <c r="L20" s="12"/>
    </row>
    <row r="21" spans="1:12">
      <c r="C21" s="3"/>
    </row>
    <row r="22" spans="1:12" hidden="1">
      <c r="C22" s="3"/>
    </row>
    <row r="23" spans="1:12" hidden="1"/>
    <row r="24" spans="1:12" hidden="1">
      <c r="A24" s="8"/>
    </row>
    <row r="25" spans="1:12" hidden="1">
      <c r="A25" s="8"/>
    </row>
    <row r="26" spans="1:12" hidden="1">
      <c r="A26" s="8"/>
    </row>
    <row r="27" spans="1:12" hidden="1">
      <c r="A27" s="8"/>
    </row>
    <row r="28" spans="1:12" hidden="1">
      <c r="A28" s="8"/>
    </row>
    <row r="29" spans="1:12" hidden="1">
      <c r="A29" s="8"/>
    </row>
    <row r="30" spans="1:12" hidden="1">
      <c r="A30" s="8"/>
    </row>
    <row r="31" spans="1:12" hidden="1">
      <c r="A31" s="8"/>
    </row>
    <row r="32" spans="1:12" hidden="1">
      <c r="A32" s="8"/>
    </row>
    <row r="33" spans="1:1" hidden="1">
      <c r="A33" s="8"/>
    </row>
    <row r="34" spans="1:1" hidden="1">
      <c r="A34" s="8"/>
    </row>
    <row r="35" spans="1:1" hidden="1">
      <c r="A35" s="8"/>
    </row>
    <row r="36" spans="1:1" hidden="1">
      <c r="A36" s="8"/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P39"/>
  <sheetViews>
    <sheetView showGridLines="0" zoomScale="70" zoomScaleNormal="70" workbookViewId="0">
      <selection activeCell="A10" sqref="A10"/>
    </sheetView>
  </sheetViews>
  <sheetFormatPr defaultColWidth="0" defaultRowHeight="13.2" zeroHeight="1"/>
  <cols>
    <col min="1" max="1" width="48" style="39" customWidth="1"/>
    <col min="2" max="2" width="15.6640625" style="39" bestFit="1" customWidth="1"/>
    <col min="3" max="3" width="15.44140625" style="39" bestFit="1" customWidth="1"/>
    <col min="4" max="4" width="11.44140625" style="39" bestFit="1" customWidth="1"/>
    <col min="5" max="5" width="9.6640625" style="39" customWidth="1"/>
    <col min="6" max="6" width="14.6640625" style="39" customWidth="1"/>
    <col min="7" max="7" width="9.6640625" style="39" customWidth="1"/>
    <col min="8" max="10" width="8.6640625" hidden="1" customWidth="1"/>
    <col min="11" max="11" width="10.5546875" hidden="1" customWidth="1"/>
    <col min="12" max="12" width="4.88671875" hidden="1" customWidth="1"/>
    <col min="13" max="14" width="11" hidden="1" customWidth="1"/>
    <col min="15" max="20" width="8.6640625" hidden="1" customWidth="1"/>
    <col min="21" max="21" width="10.44140625" hidden="1" customWidth="1"/>
    <col min="22" max="22" width="4.88671875" hidden="1" customWidth="1"/>
    <col min="23" max="24" width="10.33203125" hidden="1" customWidth="1"/>
    <col min="25" max="30" width="8.6640625" hidden="1" customWidth="1"/>
    <col min="31" max="31" width="10.6640625" hidden="1" customWidth="1"/>
    <col min="32" max="37" width="8.6640625" hidden="1" customWidth="1"/>
    <col min="38" max="38" width="10.6640625" hidden="1" customWidth="1"/>
    <col min="39" max="39" width="8.6640625" hidden="1" customWidth="1"/>
    <col min="40" max="40" width="10.6640625" hidden="1" customWidth="1"/>
    <col min="41" max="41" width="8.6640625" hidden="1" customWidth="1"/>
    <col min="42" max="42" width="10.6640625" hidden="1" customWidth="1"/>
    <col min="43" max="16384" width="8.6640625" hidden="1"/>
  </cols>
  <sheetData>
    <row r="1" spans="1:21" s="31" customFormat="1" ht="14.4">
      <c r="A1" s="30" t="s">
        <v>65</v>
      </c>
    </row>
    <row r="2" spans="1:21" s="31" customFormat="1" ht="14.4">
      <c r="A2" s="30"/>
      <c r="E2" s="32" t="s">
        <v>66</v>
      </c>
    </row>
    <row r="3" spans="1:21" s="31" customFormat="1" ht="14.4">
      <c r="A3" s="30" t="s">
        <v>1</v>
      </c>
      <c r="B3" s="33" t="s">
        <v>28</v>
      </c>
      <c r="C3" s="30" t="s">
        <v>2</v>
      </c>
      <c r="E3" s="31" t="s">
        <v>51</v>
      </c>
      <c r="S3" s="34"/>
    </row>
    <row r="4" spans="1:21" s="31" customFormat="1" ht="14.4">
      <c r="A4" s="35" t="s">
        <v>10</v>
      </c>
      <c r="B4" s="101">
        <f>INDEX(input.RegEstimates,
               MATCH(A4,system.coefficients,0)
)</f>
        <v>0.76900000000000002</v>
      </c>
      <c r="C4" s="100">
        <f>B4/SUM(B$4:B$6)</f>
        <v>0.77131394182547641</v>
      </c>
      <c r="E4" s="31" t="s">
        <v>40</v>
      </c>
      <c r="F4" s="96">
        <f>impliedopexreduction</f>
        <v>0.33410541644922598</v>
      </c>
      <c r="S4" s="34"/>
    </row>
    <row r="5" spans="1:21" s="31" customFormat="1" ht="14.4">
      <c r="A5" s="35" t="s">
        <v>14</v>
      </c>
      <c r="B5" s="101">
        <f>INDEX(input.RegEstimates,
               MATCH(A5,system.coefficients,0)
)</f>
        <v>9.7000000000000003E-2</v>
      </c>
      <c r="C5" s="100">
        <f>B5/SUM(B$4:B$6)</f>
        <v>9.7291875626880645E-2</v>
      </c>
      <c r="S5" s="34"/>
    </row>
    <row r="6" spans="1:21" s="31" customFormat="1" ht="14.4">
      <c r="A6" s="35" t="s">
        <v>15</v>
      </c>
      <c r="B6" s="101">
        <f>INDEX(input.RegEstimates,
               MATCH(A6,system.coefficients,0)
)</f>
        <v>0.13100000000000001</v>
      </c>
      <c r="C6" s="100">
        <f>B6/SUM(B$4:B$6)</f>
        <v>0.13139418254764293</v>
      </c>
      <c r="S6" s="34"/>
    </row>
    <row r="7" spans="1:21" s="31" customFormat="1" ht="12.75" customHeight="1">
      <c r="A7" s="35" t="s">
        <v>18</v>
      </c>
      <c r="B7" s="101">
        <f>INDEX(input.RegEstimates,
               MATCH(A7,system.coefficients,0)
)</f>
        <v>-0.14399999999999999</v>
      </c>
      <c r="S7" s="34"/>
    </row>
    <row r="8" spans="1:21" s="31" customFormat="1" ht="12.75" customHeight="1">
      <c r="A8" s="35" t="s">
        <v>0</v>
      </c>
      <c r="B8" s="101">
        <f>INDEX(input.RegEstimates,
               MATCH(A8,system.coefficients,0)
)</f>
        <v>1.7999999999999999E-2</v>
      </c>
      <c r="S8" s="34"/>
    </row>
    <row r="9" spans="1:21" s="31" customFormat="1" ht="14.4">
      <c r="B9" s="36"/>
      <c r="U9" s="34"/>
    </row>
    <row r="10" spans="1:21" s="31" customFormat="1" ht="14.4">
      <c r="A10" s="30" t="s">
        <v>68</v>
      </c>
      <c r="B10" s="30"/>
      <c r="C10" s="30"/>
      <c r="D10" s="33"/>
      <c r="E10" s="33"/>
      <c r="F10" s="33" t="s">
        <v>71</v>
      </c>
      <c r="G10" s="33"/>
    </row>
    <row r="11" spans="1:21" s="31" customFormat="1" ht="14.4">
      <c r="D11" s="30"/>
      <c r="E11" s="30"/>
      <c r="F11" s="70"/>
      <c r="G11"/>
    </row>
    <row r="12" spans="1:21">
      <c r="A12" s="66" t="s">
        <v>10</v>
      </c>
      <c r="B12" s="66"/>
      <c r="C12" s="66"/>
      <c r="D12" s="66"/>
      <c r="E12" s="66"/>
      <c r="F12" s="96">
        <f>escal.custnum.midto16</f>
        <v>4.5806715422236959E-2</v>
      </c>
      <c r="G12"/>
    </row>
    <row r="13" spans="1:21" ht="12.75" customHeight="1">
      <c r="A13" s="66" t="s">
        <v>14</v>
      </c>
      <c r="B13" s="66"/>
      <c r="C13" s="66"/>
      <c r="D13" s="66"/>
      <c r="E13" s="66"/>
      <c r="F13" s="96">
        <f>escal.circlen.midto16</f>
        <v>3.1136989319130452E-2</v>
      </c>
      <c r="G13"/>
    </row>
    <row r="14" spans="1:21" ht="13.5" customHeight="1">
      <c r="A14" s="66" t="s">
        <v>15</v>
      </c>
      <c r="B14" s="66"/>
      <c r="C14" s="66"/>
      <c r="D14" s="66"/>
      <c r="E14" s="66"/>
      <c r="F14" s="96">
        <f>escal.rmdemand.midto16</f>
        <v>2.1464368261478177E-2</v>
      </c>
      <c r="G14"/>
    </row>
    <row r="15" spans="1:21">
      <c r="A15" s="66" t="s">
        <v>34</v>
      </c>
      <c r="B15" s="66"/>
      <c r="C15" s="66"/>
      <c r="D15" s="66"/>
      <c r="E15" s="66"/>
      <c r="F15" s="99">
        <f>SUMPRODUCT(C4:C6,F12:F14)</f>
        <v>4.1181027448254276E-2</v>
      </c>
      <c r="G15"/>
    </row>
    <row r="16" spans="1:21">
      <c r="A16" s="66" t="s">
        <v>18</v>
      </c>
      <c r="B16" s="66"/>
      <c r="C16" s="66"/>
      <c r="D16" s="66"/>
      <c r="E16" s="66"/>
      <c r="F16" s="96">
        <f>escal.shareugc.midto16</f>
        <v>6.1024691740815581E-2</v>
      </c>
      <c r="G16"/>
    </row>
    <row r="17" spans="1:7" ht="14.4">
      <c r="A17" s="66"/>
      <c r="B17" s="66"/>
      <c r="C17" s="66"/>
      <c r="D17" s="66"/>
      <c r="E17" s="66"/>
      <c r="F17" s="69"/>
      <c r="G17"/>
    </row>
    <row r="18" spans="1:7" ht="14.4">
      <c r="A18" s="66" t="s">
        <v>6</v>
      </c>
      <c r="B18" s="66"/>
      <c r="C18" s="66"/>
      <c r="D18" s="66"/>
      <c r="E18" s="66"/>
      <c r="F18" s="69"/>
      <c r="G18"/>
    </row>
    <row r="19" spans="1:7" ht="14.4">
      <c r="A19" s="66"/>
      <c r="B19" s="66"/>
      <c r="C19" s="66"/>
      <c r="D19" s="66"/>
      <c r="E19" s="66"/>
      <c r="F19" s="71"/>
      <c r="G19"/>
    </row>
    <row r="20" spans="1:7">
      <c r="A20" s="66" t="s">
        <v>3</v>
      </c>
      <c r="B20" s="66"/>
      <c r="C20" s="66"/>
      <c r="D20" s="66"/>
      <c r="E20" s="66"/>
      <c r="F20" s="96">
        <f>-$B8*(11/2)</f>
        <v>-9.8999999999999991E-2</v>
      </c>
      <c r="G20"/>
    </row>
    <row r="21" spans="1:7">
      <c r="A21" s="66" t="s">
        <v>4</v>
      </c>
      <c r="B21" s="66"/>
      <c r="C21" s="66"/>
      <c r="D21" s="66"/>
      <c r="E21" s="66"/>
      <c r="F21" s="96">
        <f>(1-$B4-$B5-$B6)*F15</f>
        <v>1.2354308234476181E-4</v>
      </c>
      <c r="G21"/>
    </row>
    <row r="22" spans="1:7">
      <c r="A22" s="66" t="s">
        <v>5</v>
      </c>
      <c r="B22" s="66"/>
      <c r="C22" s="66"/>
      <c r="D22" s="66"/>
      <c r="E22" s="66"/>
      <c r="F22" s="96">
        <f>$B7*F16</f>
        <v>-8.7875556106774434E-3</v>
      </c>
      <c r="G22"/>
    </row>
    <row r="23" spans="1:7" ht="14.4">
      <c r="A23" s="66"/>
      <c r="B23" s="66"/>
      <c r="C23" s="66"/>
      <c r="D23" s="66"/>
      <c r="E23" s="66"/>
      <c r="F23" s="68"/>
      <c r="G23"/>
    </row>
    <row r="24" spans="1:7">
      <c r="A24" s="66" t="s">
        <v>36</v>
      </c>
      <c r="B24" s="66"/>
      <c r="C24" s="66"/>
      <c r="D24" s="66"/>
      <c r="E24" s="66"/>
      <c r="F24" s="99">
        <f>F20+F21-F22</f>
        <v>-9.0088901306977789E-2</v>
      </c>
      <c r="G24"/>
    </row>
    <row r="25" spans="1:7" ht="14.4">
      <c r="A25" s="66"/>
      <c r="B25" s="66"/>
      <c r="C25" s="66"/>
      <c r="D25" s="66"/>
      <c r="E25" s="66"/>
      <c r="F25" s="69"/>
      <c r="G25"/>
    </row>
    <row r="26" spans="1:7">
      <c r="A26" s="66" t="s">
        <v>35</v>
      </c>
      <c r="B26" s="66"/>
      <c r="C26" s="66"/>
      <c r="D26" s="66"/>
      <c r="E26" s="66"/>
      <c r="F26" s="96">
        <v>0</v>
      </c>
      <c r="G26"/>
    </row>
    <row r="27" spans="1:7" ht="14.4">
      <c r="A27" s="66"/>
      <c r="B27" s="66"/>
      <c r="C27" s="66"/>
      <c r="D27" s="66"/>
      <c r="E27" s="66"/>
      <c r="F27" s="69"/>
      <c r="G27"/>
    </row>
    <row r="28" spans="1:7">
      <c r="A28" s="66" t="s">
        <v>37</v>
      </c>
      <c r="B28" s="66"/>
      <c r="C28" s="66"/>
      <c r="D28" s="66"/>
      <c r="E28" s="66"/>
      <c r="F28" s="99">
        <f>(1+F15)*(1+F26)*(1-F24)-1</f>
        <v>0.13497988227273794</v>
      </c>
      <c r="G28"/>
    </row>
    <row r="29" spans="1:7" ht="14.4">
      <c r="A29" s="66"/>
      <c r="B29" s="66"/>
      <c r="C29" s="66"/>
      <c r="D29" s="66"/>
      <c r="E29" s="66"/>
      <c r="F29" s="69"/>
      <c r="G29"/>
    </row>
    <row r="30" spans="1:7">
      <c r="A30" s="66" t="s">
        <v>69</v>
      </c>
      <c r="B30" s="66"/>
      <c r="C30" s="66"/>
      <c r="D30" s="85">
        <f>averageopex.ry2016*(1-F4)</f>
        <v>372476.70232924161</v>
      </c>
      <c r="E30" s="66"/>
      <c r="F30" s="85">
        <f>$D30*(1+F28)</f>
        <v>422753.56375898031</v>
      </c>
      <c r="G30"/>
    </row>
    <row r="31" spans="1:7" ht="14.4">
      <c r="A31"/>
      <c r="B31"/>
      <c r="C31"/>
      <c r="D31"/>
      <c r="E31"/>
      <c r="F31" s="72"/>
      <c r="G31" s="38"/>
    </row>
    <row r="32" spans="1:7" hidden="1">
      <c r="B32"/>
      <c r="C32"/>
      <c r="D32"/>
      <c r="E32"/>
      <c r="F32"/>
      <c r="G32"/>
    </row>
    <row r="33" spans="1:7" hidden="1">
      <c r="A33"/>
      <c r="B33"/>
      <c r="C33"/>
      <c r="D33"/>
      <c r="E33"/>
      <c r="F33"/>
      <c r="G33"/>
    </row>
    <row r="34" spans="1:7" ht="14.4" hidden="1">
      <c r="A34"/>
      <c r="B34" s="37"/>
      <c r="C34" s="37"/>
      <c r="D34" s="37"/>
      <c r="E34" s="37"/>
      <c r="F34" s="37"/>
      <c r="G34" s="37"/>
    </row>
    <row r="35" spans="1:7" ht="14.4" hidden="1">
      <c r="A35" s="17"/>
      <c r="B35" s="31"/>
      <c r="C35" s="31"/>
      <c r="D35" s="31"/>
      <c r="E35" s="31"/>
      <c r="F35" s="31"/>
      <c r="G35" s="31"/>
    </row>
    <row r="36" spans="1:7" ht="14.4" hidden="1">
      <c r="A36" s="31"/>
      <c r="B36" s="16"/>
      <c r="C36" s="16"/>
      <c r="D36" s="31"/>
      <c r="E36" s="31"/>
      <c r="F36" s="31"/>
      <c r="G36" s="31"/>
    </row>
    <row r="37" spans="1:7" ht="14.4" hidden="1">
      <c r="A37" s="16"/>
      <c r="B37" s="31"/>
      <c r="C37" s="31"/>
      <c r="D37" s="31"/>
      <c r="E37" s="31"/>
      <c r="F37" s="31"/>
      <c r="G37" s="31"/>
    </row>
    <row r="38" spans="1:7" hidden="1"/>
    <row r="39" spans="1:7" hidden="1">
      <c r="F39" s="42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46"/>
  <sheetViews>
    <sheetView showGridLines="0" topLeftCell="E1" zoomScale="70" zoomScaleNormal="70" workbookViewId="0">
      <selection activeCell="E1" sqref="E1"/>
    </sheetView>
  </sheetViews>
  <sheetFormatPr defaultColWidth="0" defaultRowHeight="13.2" zeroHeight="1"/>
  <cols>
    <col min="1" max="3" width="3" customWidth="1"/>
    <col min="4" max="4" width="8.88671875" customWidth="1"/>
    <col min="5" max="5" width="44.88671875" customWidth="1"/>
    <col min="6" max="6" width="27.44140625" customWidth="1"/>
    <col min="7" max="7" width="13.88671875" bestFit="1" customWidth="1"/>
    <col min="8" max="9" width="11.44140625" bestFit="1" customWidth="1"/>
    <col min="10" max="10" width="11.5546875" bestFit="1" customWidth="1"/>
    <col min="11" max="11" width="13.109375" bestFit="1" customWidth="1"/>
    <col min="12" max="12" width="14.33203125" bestFit="1" customWidth="1"/>
    <col min="13" max="16" width="8.109375" customWidth="1"/>
    <col min="17" max="27" width="8.88671875" customWidth="1"/>
    <col min="28" max="16384" width="8.88671875" hidden="1"/>
  </cols>
  <sheetData>
    <row r="1" spans="5:26"/>
    <row r="2" spans="5:26"/>
    <row r="3" spans="5:26" ht="17.399999999999999">
      <c r="E3" s="89" t="s">
        <v>120</v>
      </c>
    </row>
    <row r="4" spans="5:26" ht="15.6">
      <c r="N4" s="90" t="s">
        <v>116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5:26" ht="15.6">
      <c r="E5" s="90" t="s">
        <v>101</v>
      </c>
      <c r="F5" s="87"/>
      <c r="G5" s="87"/>
      <c r="H5" s="87"/>
      <c r="I5" s="87"/>
      <c r="J5" s="87"/>
      <c r="K5" s="87"/>
      <c r="N5" s="74" t="s">
        <v>89</v>
      </c>
      <c r="O5" s="75"/>
      <c r="P5" s="75"/>
      <c r="Q5" s="75"/>
      <c r="R5" s="75"/>
      <c r="S5" s="75"/>
      <c r="T5" s="76"/>
      <c r="U5" s="77" t="s">
        <v>93</v>
      </c>
      <c r="V5" s="77" t="s">
        <v>94</v>
      </c>
      <c r="W5" s="77" t="s">
        <v>95</v>
      </c>
      <c r="X5" s="77" t="s">
        <v>96</v>
      </c>
      <c r="Y5" s="77" t="s">
        <v>97</v>
      </c>
      <c r="Z5" s="77" t="s">
        <v>98</v>
      </c>
    </row>
    <row r="6" spans="5:26">
      <c r="E6" s="91" t="s">
        <v>121</v>
      </c>
      <c r="N6" s="83" t="s">
        <v>109</v>
      </c>
      <c r="O6" s="75"/>
      <c r="P6" s="75"/>
      <c r="Q6" s="75"/>
      <c r="R6" s="75"/>
      <c r="S6" s="75"/>
      <c r="T6" s="76"/>
      <c r="U6" s="78"/>
      <c r="V6" s="78"/>
      <c r="W6" s="78"/>
      <c r="X6" s="78"/>
      <c r="Y6" s="78"/>
      <c r="Z6" s="78"/>
    </row>
    <row r="7" spans="5:26">
      <c r="N7" s="79" t="s">
        <v>99</v>
      </c>
      <c r="O7" s="80" t="s">
        <v>90</v>
      </c>
      <c r="P7" s="75" t="s">
        <v>91</v>
      </c>
      <c r="Q7" s="75"/>
      <c r="R7" s="75"/>
      <c r="S7" s="75"/>
      <c r="T7" s="75"/>
      <c r="U7" s="92">
        <v>1.0301556420233464</v>
      </c>
      <c r="V7" s="92">
        <v>1.0457198443579767</v>
      </c>
      <c r="W7" s="92">
        <v>1.056420233463035</v>
      </c>
      <c r="X7" s="92">
        <v>1.0768482490272373</v>
      </c>
      <c r="Y7" s="92">
        <v>1.0979768334028743</v>
      </c>
      <c r="Z7" s="92">
        <v>1.1225931267736482</v>
      </c>
    </row>
    <row r="8" spans="5:26" ht="13.8">
      <c r="E8" s="50"/>
      <c r="F8" s="50" t="s">
        <v>74</v>
      </c>
      <c r="G8" s="56" t="s">
        <v>103</v>
      </c>
      <c r="H8" s="50"/>
      <c r="I8" s="50">
        <v>2016</v>
      </c>
      <c r="J8" s="50">
        <v>2017</v>
      </c>
      <c r="K8" s="50">
        <v>2018</v>
      </c>
      <c r="N8" s="79" t="s">
        <v>93</v>
      </c>
      <c r="O8" s="80" t="s">
        <v>90</v>
      </c>
      <c r="P8" s="75" t="s">
        <v>91</v>
      </c>
      <c r="Q8" s="75"/>
      <c r="R8" s="75"/>
      <c r="S8" s="75"/>
      <c r="T8" s="75"/>
      <c r="U8" s="92">
        <v>1</v>
      </c>
      <c r="V8" s="92">
        <v>1.0151085930122756</v>
      </c>
      <c r="W8" s="92">
        <v>1.0254957507082152</v>
      </c>
      <c r="X8" s="92">
        <v>1.0453257790368271</v>
      </c>
      <c r="Y8" s="92">
        <v>1.0658358684968412</v>
      </c>
      <c r="Z8" s="92">
        <v>1.089731571598971</v>
      </c>
    </row>
    <row r="9" spans="5:26">
      <c r="E9" s="42" t="s">
        <v>84</v>
      </c>
      <c r="F9" s="58" t="s">
        <v>112</v>
      </c>
      <c r="G9" s="58" t="s">
        <v>125</v>
      </c>
      <c r="H9" s="51"/>
      <c r="I9" s="84">
        <f>subbaseyear.2016</f>
        <v>422753.56375898031</v>
      </c>
      <c r="J9" s="84"/>
      <c r="K9" s="84"/>
      <c r="N9" s="79" t="s">
        <v>94</v>
      </c>
      <c r="O9" s="80" t="s">
        <v>90</v>
      </c>
      <c r="P9" s="75" t="s">
        <v>91</v>
      </c>
      <c r="Q9" s="75"/>
      <c r="R9" s="75"/>
      <c r="S9" s="75"/>
      <c r="T9" s="81"/>
      <c r="U9" s="92">
        <v>0.98511627906976751</v>
      </c>
      <c r="V9" s="92">
        <v>1</v>
      </c>
      <c r="W9" s="92">
        <v>1.0102325581395348</v>
      </c>
      <c r="X9" s="92">
        <v>1.029767441860465</v>
      </c>
      <c r="Y9" s="92">
        <v>1.0499722648727021</v>
      </c>
      <c r="Z9" s="92">
        <v>1.0735123109984284</v>
      </c>
    </row>
    <row r="10" spans="5:26">
      <c r="N10" s="79" t="s">
        <v>95</v>
      </c>
      <c r="O10" s="80" t="s">
        <v>90</v>
      </c>
      <c r="P10" s="75" t="s">
        <v>91</v>
      </c>
      <c r="Q10" s="75"/>
      <c r="R10" s="75"/>
      <c r="S10" s="75"/>
      <c r="T10" s="81"/>
      <c r="U10" s="92">
        <v>0.97513812154696156</v>
      </c>
      <c r="V10" s="92">
        <v>0.98987108655616951</v>
      </c>
      <c r="W10" s="92">
        <v>1</v>
      </c>
      <c r="X10" s="92">
        <v>1.0193370165745856</v>
      </c>
      <c r="Y10" s="92">
        <v>1.0393371866833838</v>
      </c>
      <c r="Z10" s="92">
        <v>1.0626387977194387</v>
      </c>
    </row>
    <row r="11" spans="5:26" ht="15.6">
      <c r="E11" s="90" t="s">
        <v>102</v>
      </c>
      <c r="F11" s="87"/>
      <c r="G11" s="87"/>
      <c r="H11" s="87"/>
      <c r="I11" s="87"/>
      <c r="J11" s="87"/>
      <c r="K11" s="87"/>
      <c r="L11" s="51"/>
      <c r="N11" s="79" t="s">
        <v>96</v>
      </c>
      <c r="O11" s="80" t="s">
        <v>90</v>
      </c>
      <c r="P11" s="75" t="s">
        <v>91</v>
      </c>
      <c r="Q11" s="75"/>
      <c r="R11" s="75"/>
      <c r="S11" s="75"/>
      <c r="T11" s="81"/>
      <c r="U11" s="92">
        <v>0.95663956639566416</v>
      </c>
      <c r="V11" s="92">
        <v>0.97109304426377607</v>
      </c>
      <c r="W11" s="92">
        <v>0.98102981029810299</v>
      </c>
      <c r="X11" s="92">
        <v>1</v>
      </c>
      <c r="Y11" s="92">
        <v>1.0196207630877641</v>
      </c>
      <c r="Z11" s="92">
        <v>1.0424803381421053</v>
      </c>
    </row>
    <row r="12" spans="5:26">
      <c r="E12" s="91" t="s">
        <v>105</v>
      </c>
      <c r="N12" s="79" t="s">
        <v>97</v>
      </c>
      <c r="O12" s="80" t="s">
        <v>90</v>
      </c>
      <c r="P12" s="75" t="s">
        <v>91</v>
      </c>
      <c r="Q12" s="75"/>
      <c r="R12" s="75"/>
      <c r="S12" s="75"/>
      <c r="T12" s="81"/>
      <c r="U12" s="92">
        <v>0.93823076287562923</v>
      </c>
      <c r="V12" s="92">
        <v>0.95240610962351402</v>
      </c>
      <c r="W12" s="92">
        <v>0.96215166051268486</v>
      </c>
      <c r="X12" s="92">
        <v>0.9807568031192837</v>
      </c>
      <c r="Y12" s="92">
        <v>1</v>
      </c>
      <c r="Z12" s="92">
        <v>1.0224196837509609</v>
      </c>
    </row>
    <row r="13" spans="5:26">
      <c r="N13" s="79" t="s">
        <v>98</v>
      </c>
      <c r="O13" s="80" t="s">
        <v>90</v>
      </c>
      <c r="P13" s="75" t="s">
        <v>91</v>
      </c>
      <c r="Q13" s="75"/>
      <c r="R13" s="75"/>
      <c r="S13" s="75"/>
      <c r="T13" s="81"/>
      <c r="U13" s="92">
        <v>0.91765717912778544</v>
      </c>
      <c r="V13" s="92">
        <v>0.93152168797202006</v>
      </c>
      <c r="W13" s="92">
        <v>0.94105353780243139</v>
      </c>
      <c r="X13" s="92">
        <v>0.95925070566048942</v>
      </c>
      <c r="Y13" s="92">
        <v>0.97807193649802437</v>
      </c>
      <c r="Z13" s="92">
        <v>1</v>
      </c>
    </row>
    <row r="14" spans="5:26" ht="13.8">
      <c r="E14" s="50"/>
      <c r="F14" s="50" t="s">
        <v>74</v>
      </c>
      <c r="G14" s="56" t="s">
        <v>103</v>
      </c>
      <c r="H14" s="50"/>
      <c r="I14" s="50">
        <v>2016</v>
      </c>
      <c r="J14" s="50">
        <v>2017</v>
      </c>
      <c r="K14" s="50">
        <v>2018</v>
      </c>
      <c r="N14" s="79"/>
      <c r="O14" s="75"/>
      <c r="P14" s="75"/>
      <c r="Q14" s="75"/>
      <c r="R14" s="75"/>
      <c r="S14" s="75"/>
      <c r="T14" s="75"/>
      <c r="U14" s="81"/>
      <c r="V14" s="81"/>
      <c r="W14" s="81"/>
      <c r="X14" s="81"/>
      <c r="Y14" s="81"/>
      <c r="Z14" s="81"/>
    </row>
    <row r="15" spans="5:26">
      <c r="E15" s="42" t="s">
        <v>84</v>
      </c>
      <c r="F15" s="58" t="s">
        <v>112</v>
      </c>
      <c r="G15" s="58" t="s">
        <v>127</v>
      </c>
      <c r="H15" s="51"/>
      <c r="I15" s="84">
        <f>I9*W22</f>
        <v>441625.78673610522</v>
      </c>
      <c r="J15" s="51"/>
      <c r="K15" s="51"/>
      <c r="N15" s="74" t="s">
        <v>92</v>
      </c>
      <c r="O15" s="75"/>
      <c r="P15" s="75"/>
      <c r="Q15" s="75"/>
      <c r="R15" s="75"/>
      <c r="S15" s="75"/>
      <c r="T15" s="75"/>
      <c r="U15" s="77" t="s">
        <v>93</v>
      </c>
      <c r="V15" s="77" t="s">
        <v>94</v>
      </c>
      <c r="W15" s="77" t="s">
        <v>95</v>
      </c>
      <c r="X15" s="77" t="s">
        <v>96</v>
      </c>
      <c r="Y15" s="77" t="s">
        <v>97</v>
      </c>
      <c r="Z15" s="77" t="s">
        <v>98</v>
      </c>
    </row>
    <row r="16" spans="5:26">
      <c r="N16" s="79" t="s">
        <v>110</v>
      </c>
      <c r="O16" s="75"/>
      <c r="P16" s="75"/>
      <c r="Q16" s="75"/>
      <c r="R16" s="75"/>
      <c r="S16" s="75"/>
      <c r="T16" s="75"/>
      <c r="U16" s="76"/>
      <c r="V16" s="76"/>
      <c r="W16" s="76"/>
      <c r="X16" s="76"/>
      <c r="Y16" s="76"/>
      <c r="Z16" s="76"/>
    </row>
    <row r="17" spans="5:26" ht="15.6">
      <c r="E17" s="90" t="s">
        <v>104</v>
      </c>
      <c r="F17" s="87"/>
      <c r="G17" s="87"/>
      <c r="H17" s="87"/>
      <c r="I17" s="87"/>
      <c r="J17" s="87"/>
      <c r="K17" s="87"/>
      <c r="N17" s="79" t="s">
        <v>99</v>
      </c>
      <c r="O17" s="80" t="s">
        <v>90</v>
      </c>
      <c r="P17" s="75" t="s">
        <v>91</v>
      </c>
      <c r="Q17" s="75"/>
      <c r="R17" s="75"/>
      <c r="S17" s="75"/>
      <c r="T17" s="75"/>
      <c r="U17" s="92">
        <v>0.98525484065733759</v>
      </c>
      <c r="V17" s="92">
        <v>0.96347600342683604</v>
      </c>
      <c r="W17" s="92">
        <v>0.95142370963176837</v>
      </c>
      <c r="X17" s="92">
        <v>0.93757148761740927</v>
      </c>
      <c r="Y17" s="92">
        <v>0.91965758785968899</v>
      </c>
      <c r="Z17" s="92">
        <v>0.90072501076573441</v>
      </c>
    </row>
    <row r="18" spans="5:26">
      <c r="E18" s="91" t="s">
        <v>117</v>
      </c>
      <c r="L18" s="50"/>
      <c r="N18" s="79" t="s">
        <v>93</v>
      </c>
      <c r="O18" s="80" t="s">
        <v>90</v>
      </c>
      <c r="P18" s="75" t="s">
        <v>91</v>
      </c>
      <c r="Q18" s="75"/>
      <c r="R18" s="75"/>
      <c r="S18" s="75"/>
      <c r="T18" s="81"/>
      <c r="U18" s="92">
        <v>1.0149658329339695</v>
      </c>
      <c r="V18" s="92">
        <v>0.99253024088426012</v>
      </c>
      <c r="W18" s="92">
        <v>0.98011450243194831</v>
      </c>
      <c r="X18" s="92">
        <v>0.96584455776929623</v>
      </c>
      <c r="Y18" s="92">
        <v>0.94739045286323997</v>
      </c>
      <c r="Z18" s="92">
        <v>0.92788695175186064</v>
      </c>
    </row>
    <row r="19" spans="5:26">
      <c r="L19" s="51"/>
      <c r="N19" s="79" t="s">
        <v>94</v>
      </c>
      <c r="O19" s="80" t="s">
        <v>90</v>
      </c>
      <c r="P19" s="75" t="s">
        <v>91</v>
      </c>
      <c r="Q19" s="75"/>
      <c r="R19" s="75"/>
      <c r="S19" s="75"/>
      <c r="T19" s="81"/>
      <c r="U19" s="92">
        <v>1.030300538625134</v>
      </c>
      <c r="V19" s="92">
        <v>1.0075259763461564</v>
      </c>
      <c r="W19" s="92">
        <v>0.99492265355462162</v>
      </c>
      <c r="X19" s="92">
        <v>0.98043711010575396</v>
      </c>
      <c r="Y19" s="92">
        <v>0.96170418963926629</v>
      </c>
      <c r="Z19" s="92">
        <v>0.94190601806728058</v>
      </c>
    </row>
    <row r="20" spans="5:26" ht="13.8">
      <c r="E20" s="50"/>
      <c r="F20" s="50" t="s">
        <v>74</v>
      </c>
      <c r="G20" s="56" t="s">
        <v>103</v>
      </c>
      <c r="H20" s="50"/>
      <c r="I20" s="50">
        <v>2016</v>
      </c>
      <c r="J20" s="50">
        <v>2017</v>
      </c>
      <c r="K20" s="50">
        <v>2018</v>
      </c>
      <c r="L20" s="51"/>
      <c r="N20" s="79" t="s">
        <v>95</v>
      </c>
      <c r="O20" s="80" t="s">
        <v>90</v>
      </c>
      <c r="P20" s="75" t="s">
        <v>91</v>
      </c>
      <c r="Q20" s="75"/>
      <c r="R20" s="75"/>
      <c r="S20" s="75"/>
      <c r="T20" s="81"/>
      <c r="U20" s="92">
        <v>1.0408431487878098</v>
      </c>
      <c r="V20" s="92">
        <v>1.0178355444762099</v>
      </c>
      <c r="W20" s="92">
        <v>1.0051032574514596</v>
      </c>
      <c r="X20" s="92">
        <v>0.99046948983706851</v>
      </c>
      <c r="Y20" s="92">
        <v>0.97154488367278424</v>
      </c>
      <c r="Z20" s="92">
        <v>0.95154412615913186</v>
      </c>
    </row>
    <row r="21" spans="5:26">
      <c r="E21" s="42" t="s">
        <v>85</v>
      </c>
      <c r="F21" s="58" t="s">
        <v>112</v>
      </c>
      <c r="G21" s="58" t="s">
        <v>126</v>
      </c>
      <c r="H21" s="51"/>
      <c r="I21" s="51"/>
      <c r="J21" s="84">
        <f>W34*1000</f>
        <v>8196.2778287407073</v>
      </c>
      <c r="K21" s="84">
        <f>X34*1000</f>
        <v>-7226.3671884086143</v>
      </c>
      <c r="L21" s="51"/>
      <c r="N21" s="79" t="s">
        <v>96</v>
      </c>
      <c r="O21" s="80" t="s">
        <v>90</v>
      </c>
      <c r="P21" s="75" t="s">
        <v>91</v>
      </c>
      <c r="Q21" s="75"/>
      <c r="R21" s="75"/>
      <c r="S21" s="75"/>
      <c r="T21" s="81"/>
      <c r="U21" s="92">
        <v>1.0609699500074634</v>
      </c>
      <c r="V21" s="92">
        <v>1.0375174472699489</v>
      </c>
      <c r="W21" s="92">
        <v>1.0245389557999685</v>
      </c>
      <c r="X21" s="92">
        <v>1.0096222147786693</v>
      </c>
      <c r="Y21" s="92">
        <v>0.99033166319131882</v>
      </c>
      <c r="Z21" s="92">
        <v>0.96994415069812046</v>
      </c>
    </row>
    <row r="22" spans="5:26">
      <c r="E22" s="42" t="s">
        <v>106</v>
      </c>
      <c r="F22" s="58" t="s">
        <v>112</v>
      </c>
      <c r="G22" s="58" t="s">
        <v>126</v>
      </c>
      <c r="H22" s="51"/>
      <c r="I22" s="51"/>
      <c r="J22" s="51"/>
      <c r="K22" s="84">
        <f>I15+J21+K21</f>
        <v>442595.69737643731</v>
      </c>
      <c r="N22" s="79" t="s">
        <v>97</v>
      </c>
      <c r="O22" s="80" t="s">
        <v>90</v>
      </c>
      <c r="P22" s="75" t="s">
        <v>91</v>
      </c>
      <c r="Q22" s="75"/>
      <c r="R22" s="75"/>
      <c r="S22" s="75"/>
      <c r="T22" s="81"/>
      <c r="U22" s="92">
        <v>1.0817869900397969</v>
      </c>
      <c r="V22" s="92">
        <v>1.0578743313022543</v>
      </c>
      <c r="W22" s="92">
        <v>1.0446411919259049</v>
      </c>
      <c r="X22" s="92">
        <v>1.0294317730629852</v>
      </c>
      <c r="Y22" s="92">
        <v>1.009762726133107</v>
      </c>
      <c r="Z22" s="92">
        <v>0.98897519508733089</v>
      </c>
    </row>
    <row r="23" spans="5:26">
      <c r="N23" s="79" t="s">
        <v>98</v>
      </c>
      <c r="O23" s="80" t="s">
        <v>90</v>
      </c>
      <c r="P23" s="75" t="s">
        <v>91</v>
      </c>
      <c r="Q23" s="75"/>
      <c r="R23" s="75"/>
      <c r="S23" s="75"/>
      <c r="T23" s="81"/>
      <c r="U23" s="92">
        <v>1.106040312242393</v>
      </c>
      <c r="V23" s="92">
        <v>1.08159153925831</v>
      </c>
      <c r="W23" s="92">
        <v>1.0680617170821105</v>
      </c>
      <c r="X23" s="92">
        <v>1.0525113078582482</v>
      </c>
      <c r="Y23" s="92">
        <v>1.0324012871165194</v>
      </c>
      <c r="Z23" s="92">
        <v>1.0111477061987337</v>
      </c>
    </row>
    <row r="24" spans="5:26" ht="15.6">
      <c r="E24" s="90" t="s">
        <v>107</v>
      </c>
      <c r="F24" s="87"/>
      <c r="G24" s="87"/>
      <c r="H24" s="88"/>
      <c r="I24" s="88"/>
      <c r="J24" s="88"/>
      <c r="K24" s="88"/>
      <c r="L24" s="51"/>
    </row>
    <row r="25" spans="5:26">
      <c r="E25" s="91" t="s">
        <v>118</v>
      </c>
      <c r="L25" s="51"/>
    </row>
    <row r="26" spans="5:26">
      <c r="L26" s="51"/>
    </row>
    <row r="27" spans="5:26" ht="13.8">
      <c r="E27" s="50"/>
      <c r="F27" s="50" t="s">
        <v>74</v>
      </c>
      <c r="G27" s="56" t="s">
        <v>103</v>
      </c>
      <c r="H27" s="50"/>
      <c r="I27" s="50">
        <v>2016</v>
      </c>
      <c r="J27" s="50">
        <v>2017</v>
      </c>
      <c r="K27" s="50">
        <v>2018</v>
      </c>
      <c r="L27" s="51"/>
    </row>
    <row r="28" spans="5:26" ht="15.6">
      <c r="E28" s="42" t="s">
        <v>87</v>
      </c>
      <c r="F28" s="58" t="s">
        <v>88</v>
      </c>
      <c r="G28" s="58" t="s">
        <v>128</v>
      </c>
      <c r="H28" s="51"/>
      <c r="I28" s="51"/>
      <c r="J28" s="84">
        <v>1470.7677998920001</v>
      </c>
      <c r="K28" s="51"/>
      <c r="L28" s="51"/>
      <c r="N28" s="90" t="s">
        <v>114</v>
      </c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5:26">
      <c r="E29" s="42" t="s">
        <v>87</v>
      </c>
      <c r="F29" s="58" t="s">
        <v>112</v>
      </c>
      <c r="G29" s="58" t="s">
        <v>127</v>
      </c>
      <c r="H29" s="51"/>
      <c r="I29" s="51"/>
      <c r="J29" s="84">
        <f>J28*X22</f>
        <v>1514.0551040067674</v>
      </c>
      <c r="K29" s="51"/>
      <c r="L29" s="51"/>
      <c r="N29" s="50"/>
      <c r="R29" s="50" t="s">
        <v>9</v>
      </c>
      <c r="U29" s="50">
        <v>2015</v>
      </c>
      <c r="V29" s="50">
        <v>2016</v>
      </c>
      <c r="W29" s="50">
        <v>2017</v>
      </c>
      <c r="X29" s="50">
        <v>2018</v>
      </c>
      <c r="Y29" s="50">
        <v>2019</v>
      </c>
    </row>
    <row r="30" spans="5:26">
      <c r="F30" s="58"/>
      <c r="G30" s="58"/>
      <c r="L30" s="51"/>
      <c r="N30" s="42" t="s">
        <v>100</v>
      </c>
      <c r="R30" s="42" t="s">
        <v>131</v>
      </c>
      <c r="U30" s="93">
        <v>390.83</v>
      </c>
      <c r="V30" s="93">
        <v>396.62</v>
      </c>
      <c r="W30" s="93">
        <v>404.31</v>
      </c>
      <c r="X30" s="93">
        <v>397.53</v>
      </c>
      <c r="Y30" s="93">
        <v>403.64</v>
      </c>
    </row>
    <row r="31" spans="5:26">
      <c r="E31" s="50" t="s">
        <v>108</v>
      </c>
      <c r="F31" s="58" t="s">
        <v>112</v>
      </c>
      <c r="G31" s="58" t="s">
        <v>127</v>
      </c>
      <c r="K31" s="85">
        <f>K22+J29</f>
        <v>444109.75248044409</v>
      </c>
      <c r="L31" s="51"/>
      <c r="N31" s="42" t="s">
        <v>86</v>
      </c>
      <c r="R31" s="42" t="s">
        <v>131</v>
      </c>
      <c r="V31" s="95">
        <f>V30-U30</f>
        <v>5.7900000000000205</v>
      </c>
      <c r="W31" s="95">
        <f t="shared" ref="W31:Y31" si="0">W30-V30</f>
        <v>7.6899999999999977</v>
      </c>
      <c r="X31" s="95">
        <f t="shared" si="0"/>
        <v>-6.7800000000000296</v>
      </c>
      <c r="Y31" s="95">
        <f t="shared" si="0"/>
        <v>6.1100000000000136</v>
      </c>
    </row>
    <row r="32" spans="5:26">
      <c r="G32" s="58" t="s">
        <v>129</v>
      </c>
      <c r="K32" s="105">
        <f>K31*Z12</f>
        <v>454066.5526817732</v>
      </c>
      <c r="L32" s="51"/>
    </row>
    <row r="33" spans="5:25" ht="15.6">
      <c r="E33" s="90" t="s">
        <v>115</v>
      </c>
      <c r="F33" s="86"/>
      <c r="G33" s="86"/>
      <c r="H33" s="86"/>
      <c r="I33" s="86"/>
      <c r="J33" s="86"/>
      <c r="K33" s="86"/>
      <c r="L33" s="51"/>
      <c r="N33" s="42" t="s">
        <v>100</v>
      </c>
      <c r="R33" s="42" t="s">
        <v>132</v>
      </c>
      <c r="U33" s="95">
        <f>U30*$Y$8</f>
        <v>416.56063248462044</v>
      </c>
      <c r="V33" s="95">
        <f t="shared" ref="V33:Y33" si="1">V30*$Y$8</f>
        <v>422.73182216321715</v>
      </c>
      <c r="W33" s="95">
        <f t="shared" si="1"/>
        <v>430.92809999195788</v>
      </c>
      <c r="X33" s="95">
        <f t="shared" si="1"/>
        <v>423.70173280354925</v>
      </c>
      <c r="Y33" s="95">
        <f t="shared" si="1"/>
        <v>430.21398996006496</v>
      </c>
    </row>
    <row r="34" spans="5:25">
      <c r="N34" s="42" t="s">
        <v>86</v>
      </c>
      <c r="R34" s="42" t="s">
        <v>132</v>
      </c>
      <c r="U34" s="82"/>
      <c r="V34" s="95">
        <f t="shared" ref="V34:Y34" si="2">V31*$Y$8</f>
        <v>6.1711896785967326</v>
      </c>
      <c r="W34" s="95">
        <f t="shared" si="2"/>
        <v>8.1962778287407065</v>
      </c>
      <c r="X34" s="95">
        <f t="shared" si="2"/>
        <v>-7.2263671884086147</v>
      </c>
      <c r="Y34" s="95">
        <f t="shared" si="2"/>
        <v>6.5122571565157141</v>
      </c>
    </row>
    <row r="35" spans="5:25" ht="13.8">
      <c r="E35" s="50"/>
      <c r="F35" s="50" t="s">
        <v>74</v>
      </c>
      <c r="G35" s="56" t="s">
        <v>103</v>
      </c>
      <c r="H35" s="50"/>
      <c r="I35" s="50">
        <v>2016</v>
      </c>
      <c r="J35" s="50">
        <v>2017</v>
      </c>
      <c r="K35" s="50">
        <v>2018</v>
      </c>
    </row>
    <row r="36" spans="5:25">
      <c r="E36" s="42" t="s">
        <v>111</v>
      </c>
      <c r="F36" s="58" t="s">
        <v>113</v>
      </c>
      <c r="G36" s="58" t="s">
        <v>130</v>
      </c>
      <c r="H36" s="51"/>
      <c r="I36" s="51"/>
      <c r="J36" s="51"/>
      <c r="K36" s="84">
        <v>426388.13313699898</v>
      </c>
      <c r="L36" s="103"/>
    </row>
    <row r="37" spans="5:25">
      <c r="E37" s="50" t="s">
        <v>111</v>
      </c>
      <c r="F37" s="58" t="s">
        <v>112</v>
      </c>
      <c r="G37" s="58" t="s">
        <v>127</v>
      </c>
      <c r="K37" s="85">
        <f>K36*Y22</f>
        <v>430550.84370722226</v>
      </c>
      <c r="L37" s="103"/>
    </row>
    <row r="38" spans="5:25">
      <c r="G38" s="58" t="s">
        <v>129</v>
      </c>
      <c r="K38" s="105">
        <f>K37*Z12</f>
        <v>440203.65746184759</v>
      </c>
    </row>
    <row r="39" spans="5:25">
      <c r="K39" s="104"/>
    </row>
    <row r="40" spans="5:25">
      <c r="E40" s="42"/>
      <c r="F40" s="42"/>
      <c r="G40" s="102"/>
      <c r="H40" s="51"/>
      <c r="I40" s="51"/>
      <c r="J40" s="51"/>
      <c r="K40" s="51"/>
    </row>
    <row r="41" spans="5:25" hidden="1">
      <c r="E41" s="42"/>
      <c r="F41" s="58"/>
      <c r="G41" s="42"/>
    </row>
    <row r="42" spans="5:25" hidden="1">
      <c r="G42" s="42"/>
      <c r="H42" s="51"/>
      <c r="I42" s="51"/>
      <c r="J42" s="51"/>
      <c r="K42" s="51"/>
    </row>
    <row r="43" spans="5:25" hidden="1">
      <c r="H43" s="51"/>
      <c r="I43" s="51"/>
      <c r="J43" s="51"/>
      <c r="K43" s="51"/>
    </row>
    <row r="44" spans="5:25" hidden="1">
      <c r="E44" s="42"/>
      <c r="F44" s="42"/>
      <c r="G44" s="42"/>
      <c r="H44" s="51"/>
      <c r="I44" s="51"/>
      <c r="J44" s="51"/>
      <c r="K44" s="51"/>
    </row>
    <row r="45" spans="5:25" hidden="1">
      <c r="H45" s="51"/>
      <c r="I45" s="51"/>
      <c r="J45" s="51"/>
      <c r="K45" s="51"/>
    </row>
    <row r="46" spans="5:25" hidden="1">
      <c r="H46" s="51"/>
      <c r="I46" s="51"/>
      <c r="J46" s="51"/>
      <c r="K46" s="51"/>
    </row>
  </sheetData>
  <dataValidations xWindow="608" yWindow="606" count="1">
    <dataValidation type="custom" operator="greaterThanOrEqual" allowBlank="1" showInputMessage="1" showErrorMessage="1" errorTitle="Opex" error="Must be a number" promptTitle="Opex - standard control" prompt="Enter value in dollars" sqref="J41">
      <formula1>ISNUMBER(J41)</formula1>
    </dataValidation>
  </dataValidations>
  <pageMargins left="0.7" right="0.7" top="0.75" bottom="0.75" header="0.3" footer="0.3"/>
  <pageSetup paperSize="9" scale="4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2E6FB8D9259448822F7DE040EEF48C" ma:contentTypeVersion="4" ma:contentTypeDescription="Create a new document." ma:contentTypeScope="" ma:versionID="c5a062181d31eaced58d38821a4f78f0">
  <xsd:schema xmlns:xsd="http://www.w3.org/2001/XMLSchema" xmlns:xs="http://www.w3.org/2001/XMLSchema" xmlns:p="http://schemas.microsoft.com/office/2006/metadata/properties" xmlns:ns2="a6dfc06d-69d4-4f29-94a7-ced214d015fe" xmlns:ns3="dcbf8a88-e063-4a69-82e9-42d02808f636" targetNamespace="http://schemas.microsoft.com/office/2006/metadata/properties" ma:root="true" ma:fieldsID="92f63581e8b8def333d046022c1efc24" ns2:_="" ns3:_="">
    <xsd:import namespace="a6dfc06d-69d4-4f29-94a7-ced214d015fe"/>
    <xsd:import namespace="dcbf8a88-e063-4a69-82e9-42d02808f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fc06d-69d4-4f29-94a7-ced214d01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f8a88-e063-4a69-82e9-42d02808f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ECE0BB-E819-4D2E-AAB6-025EB5ABE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A9EAF0-0D0C-47A7-9F71-50B58718AD3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6dfc06d-69d4-4f29-94a7-ced214d015fe"/>
    <ds:schemaRef ds:uri="dcbf8a88-e063-4a69-82e9-42d02808f6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9D4C02-F602-4A52-9855-3AEA2D655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dfc06d-69d4-4f29-94a7-ced214d015fe"/>
    <ds:schemaRef ds:uri="dcbf8a88-e063-4a69-82e9-42d02808f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Cover</vt:lpstr>
      <vt:lpstr>Cost Drivers</vt:lpstr>
      <vt:lpstr>Opex Modelling Results</vt:lpstr>
      <vt:lpstr>Efficiency Target Option</vt:lpstr>
      <vt:lpstr>Opex Forecasts</vt:lpstr>
      <vt:lpstr>Base year comparison</vt:lpstr>
      <vt:lpstr>averageopex.ry2016</vt:lpstr>
      <vt:lpstr>escal.circlen.midto16</vt:lpstr>
      <vt:lpstr>escal.custnum.midto16</vt:lpstr>
      <vt:lpstr>escal.rmdemand.midto16</vt:lpstr>
      <vt:lpstr>escal.shareugc.midto16</vt:lpstr>
      <vt:lpstr>impliedopexreduction</vt:lpstr>
      <vt:lpstr>input.efficiencyscore</vt:lpstr>
      <vt:lpstr>input.RegEstimates</vt:lpstr>
      <vt:lpstr>subbaseyear.2016</vt:lpstr>
      <vt:lpstr>system.coefficients</vt:lpstr>
      <vt:lpstr>system.dnsp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2014-11-20T22:09:03Z</dcterms:created>
  <dcterms:modified xsi:type="dcterms:W3CDTF">2018-04-20T01:49:01Z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0x0101008B2E6FB8D9259448822F7DE040EEF48C</vt:lpwstr>
  </property>
</Properties>
</file>