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omments2.xml" ContentType="application/vnd.openxmlformats-officedocument.spreadsheetml.comment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8472"/>
  </bookViews>
  <sheets>
    <sheet name="Cover" sheetId="31" r:id="rId1"/>
    <sheet name="Tables for Chapter" sheetId="30" r:id="rId2"/>
    <sheet name="Summary" sheetId="27" r:id="rId3"/>
    <sheet name="HV" sheetId="28" r:id="rId4"/>
    <sheet name="Assumptions" sheetId="29" r:id="rId5"/>
    <sheet name="Concord SWG" sheetId="3" r:id="rId6"/>
    <sheet name="Leightonfield SWG" sheetId="7" r:id="rId7"/>
    <sheet name="Lidcombe SWG" sheetId="8" r:id="rId8"/>
    <sheet name="Mascot SWG" sheetId="9" r:id="rId9"/>
    <sheet name="St.Ives SWG" sheetId="11" r:id="rId10"/>
    <sheet name="9S6 9S9 Hay-Pyr" sheetId="22" r:id="rId11"/>
  </sheets>
  <externalReferences>
    <externalReference r:id="rId12"/>
    <externalReference r:id="rId13"/>
    <externalReference r:id="rId14"/>
    <externalReference r:id="rId15"/>
  </externalReferences>
  <definedNames>
    <definedName name="DScen" localSheetId="10">[1]Inputs!$E$10</definedName>
    <definedName name="DScen" localSheetId="1">[2]Inputs!$E$10</definedName>
    <definedName name="DScen">[1]Inputs!$E$10</definedName>
    <definedName name="Option_1_Stage_1_Target_Year" localSheetId="1">[3]Summary!$D$32</definedName>
    <definedName name="Option_1_Stage_1_Target_Year">[4]Summary!$D$32</definedName>
    <definedName name="option1_stage1" localSheetId="10">[1]Inputs!$E$23</definedName>
    <definedName name="option1_stage1" localSheetId="1">[2]Inputs!$E$23</definedName>
    <definedName name="option1_stage1">[1]Inputs!$E$23</definedName>
    <definedName name="option1_stage2" localSheetId="10">[1]Inputs!$E$24</definedName>
    <definedName name="option1_stage2" localSheetId="1">[2]Inputs!$E$24</definedName>
    <definedName name="option1_stage2">[1]Inputs!$E$24</definedName>
    <definedName name="option2_stage1" localSheetId="10">[1]Inputs!$E$25</definedName>
    <definedName name="option2_stage1" localSheetId="1">[2]Inputs!$E$25</definedName>
    <definedName name="option2_stage1">[1]Inputs!$E$25</definedName>
    <definedName name="option2_stage2" localSheetId="10">[1]Inputs!$E$26</definedName>
    <definedName name="option2_stage2" localSheetId="1">[2]Inputs!$E$26</definedName>
    <definedName name="option2_stage2">[1]Inputs!$E$26</definedName>
    <definedName name="option3_stage1" localSheetId="10">[1]Inputs!$E$27</definedName>
    <definedName name="option3_stage1" localSheetId="1">[2]Inputs!$E$27</definedName>
    <definedName name="option3_stage1">[1]Inputs!$E$27</definedName>
    <definedName name="staging_option1_npv" localSheetId="10">'[1]Staging calc'!$D$18:$D$200</definedName>
    <definedName name="staging_option1_npv" localSheetId="1">'[2]Staging calc'!$D$18:$D$200</definedName>
    <definedName name="staging_option1_npv">'[1]Staging calc'!$D$18:$D$200</definedName>
    <definedName name="staging_option1_stage1" localSheetId="10">'[1]Staging calc'!$E$18:$E$200</definedName>
    <definedName name="staging_option1_stage1" localSheetId="1">'[2]Staging calc'!$E$18:$E$200</definedName>
    <definedName name="staging_option1_stage1">'[1]Staging calc'!$E$18:$E$200</definedName>
    <definedName name="staging_option1_stage2" localSheetId="10">'[1]Staging calc'!$F$18:$F$200</definedName>
    <definedName name="staging_option1_stage2" localSheetId="1">'[2]Staging calc'!$F$18:$F$200</definedName>
    <definedName name="staging_option1_stage2">'[1]Staging calc'!$F$18:$F$200</definedName>
    <definedName name="staging_option2_npv" localSheetId="10">'[1]Staging calc'!$J$18:$J$200</definedName>
    <definedName name="staging_option2_npv" localSheetId="1">'[2]Staging calc'!$J$18:$J$200</definedName>
    <definedName name="staging_option2_npv">'[1]Staging calc'!$J$18:$J$200</definedName>
    <definedName name="staging_option2_stage1" localSheetId="10">'[1]Staging calc'!$K$18:$K$200</definedName>
    <definedName name="staging_option2_stage1" localSheetId="1">'[2]Staging calc'!$K$18:$K$200</definedName>
    <definedName name="staging_option2_stage1">'[1]Staging calc'!$K$18:$K$200</definedName>
    <definedName name="staging_option2_stage2" localSheetId="10">'[1]Staging calc'!$L$18:$L$200</definedName>
    <definedName name="staging_option2_stage2" localSheetId="1">'[2]Staging calc'!$L$18:$L$200</definedName>
    <definedName name="staging_option2_stage2">'[1]Staging calc'!$L$18:$L$200</definedName>
    <definedName name="staging_option3_npv" localSheetId="10">'[1]Staging calc'!$P$18:$P$200</definedName>
    <definedName name="staging_option3_npv" localSheetId="1">'[2]Staging calc'!$P$18:$P$200</definedName>
    <definedName name="staging_option3_npv">'[1]Staging calc'!$P$18:$P$200</definedName>
    <definedName name="staging_option3_stage1" localSheetId="10">'[1]Staging calc'!$Q$18:$Q$200</definedName>
    <definedName name="staging_option3_stage1" localSheetId="1">'[2]Staging calc'!$Q$18:$Q$200</definedName>
    <definedName name="staging_option3_stage1">'[1]Staging calc'!$Q$18:$Q$200</definedName>
  </definedNames>
  <calcPr calcId="145621"/>
</workbook>
</file>

<file path=xl/calcChain.xml><?xml version="1.0" encoding="utf-8"?>
<calcChain xmlns="http://schemas.openxmlformats.org/spreadsheetml/2006/main">
  <c r="U41" i="30" l="1"/>
  <c r="D39" i="30"/>
  <c r="E37" i="30"/>
  <c r="F37" i="30"/>
  <c r="Q37" i="30" s="1"/>
  <c r="G37" i="30"/>
  <c r="H37" i="30"/>
  <c r="E38" i="30"/>
  <c r="F38" i="30"/>
  <c r="Q38" i="30" s="1"/>
  <c r="G38" i="30"/>
  <c r="H38" i="30"/>
  <c r="S38" i="30" s="1"/>
  <c r="D38" i="30"/>
  <c r="O38" i="30" s="1"/>
  <c r="D37" i="30"/>
  <c r="O37" i="30" s="1"/>
  <c r="E35" i="30"/>
  <c r="F35" i="30"/>
  <c r="Q35" i="30" s="1"/>
  <c r="G35" i="30"/>
  <c r="H35" i="30"/>
  <c r="E36" i="30"/>
  <c r="P36" i="30" s="1"/>
  <c r="F36" i="30"/>
  <c r="Q36" i="30" s="1"/>
  <c r="G36" i="30"/>
  <c r="H36" i="30"/>
  <c r="D36" i="30"/>
  <c r="D35" i="30"/>
  <c r="O35" i="30" s="1"/>
  <c r="E33" i="30"/>
  <c r="F33" i="30"/>
  <c r="G33" i="30"/>
  <c r="H33" i="30"/>
  <c r="S33" i="30" s="1"/>
  <c r="E34" i="30"/>
  <c r="P34" i="30" s="1"/>
  <c r="F34" i="30"/>
  <c r="G34" i="30"/>
  <c r="R34" i="30" s="1"/>
  <c r="H34" i="30"/>
  <c r="D34" i="30"/>
  <c r="D33" i="30"/>
  <c r="O33" i="30" s="1"/>
  <c r="E31" i="30"/>
  <c r="F31" i="30"/>
  <c r="G31" i="30"/>
  <c r="H31" i="30"/>
  <c r="S31" i="30" s="1"/>
  <c r="E32" i="30"/>
  <c r="P32" i="30" s="1"/>
  <c r="F32" i="30"/>
  <c r="G32" i="30"/>
  <c r="R32" i="30" s="1"/>
  <c r="H32" i="30"/>
  <c r="D32" i="30"/>
  <c r="D31" i="30"/>
  <c r="O31" i="30" s="1"/>
  <c r="E29" i="30"/>
  <c r="F29" i="30"/>
  <c r="Q29" i="30" s="1"/>
  <c r="G29" i="30"/>
  <c r="H29" i="30"/>
  <c r="E30" i="30"/>
  <c r="F30" i="30"/>
  <c r="Q30" i="30" s="1"/>
  <c r="G30" i="30"/>
  <c r="H30" i="30"/>
  <c r="S30" i="30" s="1"/>
  <c r="D30" i="30"/>
  <c r="D29" i="30"/>
  <c r="O29" i="30" s="1"/>
  <c r="E27" i="30"/>
  <c r="F27" i="30"/>
  <c r="G27" i="30"/>
  <c r="H27" i="30"/>
  <c r="S27" i="30" s="1"/>
  <c r="E28" i="30"/>
  <c r="P28" i="30" s="1"/>
  <c r="F28" i="30"/>
  <c r="G28" i="30"/>
  <c r="H28" i="30"/>
  <c r="D28" i="30"/>
  <c r="D27" i="30"/>
  <c r="O27" i="30" s="1"/>
  <c r="H26" i="30"/>
  <c r="S26" i="30" s="1"/>
  <c r="G26" i="30"/>
  <c r="F26" i="30"/>
  <c r="E26" i="30"/>
  <c r="H25" i="30"/>
  <c r="S25" i="30" s="1"/>
  <c r="G25" i="30"/>
  <c r="F25" i="30"/>
  <c r="E25" i="30"/>
  <c r="P25" i="30" s="1"/>
  <c r="D26" i="30"/>
  <c r="O26" i="30"/>
  <c r="P26" i="30"/>
  <c r="Q25" i="30"/>
  <c r="Q26" i="30"/>
  <c r="D25" i="30"/>
  <c r="O25" i="30" s="1"/>
  <c r="D20" i="30"/>
  <c r="O20" i="30" s="1"/>
  <c r="E20" i="30"/>
  <c r="P20" i="30" s="1"/>
  <c r="F20" i="30"/>
  <c r="G20" i="30"/>
  <c r="C20" i="30"/>
  <c r="D19" i="30"/>
  <c r="E19" i="30"/>
  <c r="P19" i="30" s="1"/>
  <c r="F19" i="30"/>
  <c r="G19" i="30"/>
  <c r="R19" i="30" s="1"/>
  <c r="C19" i="30"/>
  <c r="N19" i="30" s="1"/>
  <c r="D18" i="30"/>
  <c r="E18" i="30"/>
  <c r="P18" i="30" s="1"/>
  <c r="F18" i="30"/>
  <c r="G18" i="30"/>
  <c r="C18" i="30"/>
  <c r="D17" i="30"/>
  <c r="E17" i="30"/>
  <c r="P17" i="30" s="1"/>
  <c r="F17" i="30"/>
  <c r="G17" i="30"/>
  <c r="R17" i="30" s="1"/>
  <c r="C17" i="30"/>
  <c r="N17" i="30" s="1"/>
  <c r="D16" i="30"/>
  <c r="O16" i="30" s="1"/>
  <c r="E16" i="30"/>
  <c r="P16" i="30" s="1"/>
  <c r="F16" i="30"/>
  <c r="G16" i="30"/>
  <c r="C16" i="30"/>
  <c r="D15" i="30"/>
  <c r="O15" i="30" s="1"/>
  <c r="E15" i="30"/>
  <c r="F15" i="30"/>
  <c r="G15" i="30"/>
  <c r="R15" i="30" s="1"/>
  <c r="C15" i="30"/>
  <c r="N15" i="30" s="1"/>
  <c r="D14" i="30"/>
  <c r="O14" i="30" s="1"/>
  <c r="E14" i="30"/>
  <c r="F14" i="30"/>
  <c r="F21" i="30" s="1"/>
  <c r="Q21" i="30" s="1"/>
  <c r="G14" i="30"/>
  <c r="C14" i="30"/>
  <c r="N14" i="30"/>
  <c r="P38" i="30"/>
  <c r="R38" i="30"/>
  <c r="P37" i="30"/>
  <c r="S37" i="30"/>
  <c r="R37" i="30"/>
  <c r="S36" i="30"/>
  <c r="R36" i="30"/>
  <c r="O36" i="30"/>
  <c r="P35" i="30"/>
  <c r="S35" i="30"/>
  <c r="R35" i="30"/>
  <c r="Q34" i="30"/>
  <c r="S34" i="30"/>
  <c r="O34" i="30"/>
  <c r="Q33" i="30"/>
  <c r="P33" i="30"/>
  <c r="R33" i="30"/>
  <c r="Q32" i="30"/>
  <c r="S32" i="30"/>
  <c r="O32" i="30"/>
  <c r="Q31" i="30"/>
  <c r="P31" i="30"/>
  <c r="R31" i="30"/>
  <c r="P30" i="30"/>
  <c r="R30" i="30"/>
  <c r="O30" i="30"/>
  <c r="P29" i="30"/>
  <c r="S29" i="30"/>
  <c r="R29" i="30"/>
  <c r="Q28" i="30"/>
  <c r="S28" i="30"/>
  <c r="R28" i="30"/>
  <c r="O28" i="30"/>
  <c r="Q27" i="30"/>
  <c r="P27" i="30"/>
  <c r="R27" i="30"/>
  <c r="G40" i="30"/>
  <c r="R40" i="30" s="1"/>
  <c r="G39" i="30"/>
  <c r="R39" i="30" s="1"/>
  <c r="R20" i="30"/>
  <c r="Q20" i="30"/>
  <c r="N20" i="30"/>
  <c r="O19" i="30"/>
  <c r="Q19" i="30"/>
  <c r="O18" i="30"/>
  <c r="R18" i="30"/>
  <c r="Q18" i="30"/>
  <c r="N18" i="30"/>
  <c r="O17" i="30"/>
  <c r="Q17" i="30"/>
  <c r="R16" i="30"/>
  <c r="Q16" i="30"/>
  <c r="N16" i="30"/>
  <c r="P15" i="30"/>
  <c r="Q15" i="30"/>
  <c r="P14" i="30"/>
  <c r="R14" i="30"/>
  <c r="E40" i="30" l="1"/>
  <c r="P40" i="30" s="1"/>
  <c r="E39" i="30"/>
  <c r="P39" i="30" s="1"/>
  <c r="F40" i="30"/>
  <c r="Q40" i="30" s="1"/>
  <c r="F39" i="30"/>
  <c r="Q39" i="30" s="1"/>
  <c r="E21" i="30"/>
  <c r="P21" i="30" s="1"/>
  <c r="D21" i="30"/>
  <c r="O21" i="30" s="1"/>
  <c r="C21" i="30"/>
  <c r="H39" i="30"/>
  <c r="S39" i="30" s="1"/>
  <c r="H40" i="30"/>
  <c r="S40" i="30" s="1"/>
  <c r="Q14" i="30"/>
  <c r="H15" i="30"/>
  <c r="S15" i="30" s="1"/>
  <c r="H16" i="30"/>
  <c r="S16" i="30" s="1"/>
  <c r="H17" i="30"/>
  <c r="S17" i="30" s="1"/>
  <c r="H18" i="30"/>
  <c r="S18" i="30" s="1"/>
  <c r="H19" i="30"/>
  <c r="S19" i="30" s="1"/>
  <c r="H20" i="30"/>
  <c r="S20" i="30" s="1"/>
  <c r="I25" i="30"/>
  <c r="T25" i="30" s="1"/>
  <c r="R25" i="30"/>
  <c r="I26" i="30"/>
  <c r="T26" i="30" s="1"/>
  <c r="R26" i="30"/>
  <c r="I27" i="30"/>
  <c r="T27" i="30" s="1"/>
  <c r="I28" i="30"/>
  <c r="T28" i="30" s="1"/>
  <c r="I29" i="30"/>
  <c r="T29" i="30" s="1"/>
  <c r="I30" i="30"/>
  <c r="T30" i="30" s="1"/>
  <c r="I31" i="30"/>
  <c r="T31" i="30" s="1"/>
  <c r="I32" i="30"/>
  <c r="T32" i="30" s="1"/>
  <c r="I33" i="30"/>
  <c r="T33" i="30" s="1"/>
  <c r="I34" i="30"/>
  <c r="T34" i="30" s="1"/>
  <c r="I35" i="30"/>
  <c r="T35" i="30" s="1"/>
  <c r="I36" i="30"/>
  <c r="T36" i="30" s="1"/>
  <c r="I37" i="30"/>
  <c r="T37" i="30" s="1"/>
  <c r="I38" i="30"/>
  <c r="T38" i="30" s="1"/>
  <c r="G21" i="30"/>
  <c r="R21" i="30" s="1"/>
  <c r="D40" i="30"/>
  <c r="H14" i="30"/>
  <c r="S14" i="30" s="1"/>
  <c r="O40" i="30" l="1"/>
  <c r="I40" i="30"/>
  <c r="T40" i="30" s="1"/>
  <c r="N21" i="30"/>
  <c r="H21" i="30"/>
  <c r="S21" i="30" s="1"/>
  <c r="O39" i="30"/>
  <c r="I39" i="30"/>
  <c r="T39" i="30" s="1"/>
  <c r="B4" i="3" l="1"/>
  <c r="C34" i="27"/>
  <c r="C33" i="27"/>
  <c r="C32" i="27"/>
  <c r="C31" i="27"/>
  <c r="C30" i="27"/>
  <c r="C29" i="27"/>
  <c r="C28" i="27"/>
  <c r="C27" i="27"/>
  <c r="C26" i="27"/>
  <c r="C25" i="27"/>
  <c r="C24" i="27"/>
  <c r="C23" i="27"/>
  <c r="C22" i="27"/>
  <c r="C21" i="27"/>
  <c r="C20" i="27"/>
  <c r="C19" i="27"/>
  <c r="C18" i="27"/>
  <c r="C17" i="27"/>
  <c r="C16" i="27"/>
  <c r="C15" i="27"/>
  <c r="C10" i="27"/>
  <c r="C9" i="27"/>
  <c r="C8" i="27"/>
  <c r="C7" i="27"/>
  <c r="T4" i="27"/>
  <c r="T9" i="27"/>
  <c r="T11" i="27"/>
  <c r="T3" i="27" s="1"/>
  <c r="T12" i="27"/>
  <c r="T13" i="27" s="1"/>
  <c r="T14" i="27"/>
  <c r="T6" i="27" s="1"/>
  <c r="T15" i="27"/>
  <c r="T16" i="27"/>
  <c r="T17" i="27" s="1"/>
  <c r="T18" i="27"/>
  <c r="T19" i="27"/>
  <c r="T20" i="27"/>
  <c r="T21" i="27" s="1"/>
  <c r="T22" i="27"/>
  <c r="T23" i="27"/>
  <c r="T24" i="27"/>
  <c r="T25" i="27" s="1"/>
  <c r="T26" i="27"/>
  <c r="T27" i="27"/>
  <c r="T28" i="27"/>
  <c r="T29" i="27" s="1"/>
  <c r="T30" i="27"/>
  <c r="T31" i="27"/>
  <c r="T32" i="27"/>
  <c r="T33" i="27" s="1"/>
  <c r="T34" i="27"/>
  <c r="T5" i="27" l="1"/>
  <c r="X43" i="3" l="1"/>
  <c r="W43" i="3"/>
  <c r="V43" i="3"/>
  <c r="U43" i="3"/>
  <c r="T43" i="3"/>
  <c r="S43" i="3"/>
  <c r="Q43" i="3"/>
  <c r="C41" i="3"/>
  <c r="X39" i="7"/>
  <c r="W39" i="7"/>
  <c r="V39" i="7"/>
  <c r="U39" i="7"/>
  <c r="T39" i="7"/>
  <c r="S39" i="7"/>
  <c r="Q39" i="7"/>
  <c r="C26" i="7"/>
  <c r="X43" i="8"/>
  <c r="W43" i="8"/>
  <c r="V43" i="8"/>
  <c r="U43" i="8"/>
  <c r="T43" i="8"/>
  <c r="S43" i="8"/>
  <c r="Q43" i="8"/>
  <c r="X42" i="11" l="1"/>
  <c r="W42" i="11"/>
  <c r="V42" i="11"/>
  <c r="U42" i="11"/>
  <c r="T42" i="11"/>
  <c r="S42" i="11"/>
  <c r="Q42" i="11"/>
  <c r="C29" i="11"/>
  <c r="E43" i="22" l="1"/>
  <c r="D43" i="22"/>
  <c r="N43" i="22"/>
  <c r="M43" i="22"/>
  <c r="L43" i="22"/>
  <c r="K43" i="22"/>
  <c r="J43" i="22"/>
  <c r="I43" i="22"/>
  <c r="H43" i="22"/>
  <c r="F43" i="22"/>
  <c r="G43" i="22"/>
  <c r="O6" i="29"/>
  <c r="D15" i="29"/>
  <c r="E15" i="29" s="1"/>
  <c r="F15" i="29" s="1"/>
  <c r="G15" i="29" s="1"/>
  <c r="H15" i="29" s="1"/>
  <c r="I15" i="29" s="1"/>
  <c r="J15" i="29" s="1"/>
  <c r="K15" i="29" s="1"/>
  <c r="L15" i="29" s="1"/>
  <c r="M15" i="29" s="1"/>
  <c r="N15" i="29" s="1"/>
  <c r="O15" i="29" s="1"/>
  <c r="D14" i="29"/>
  <c r="B6" i="29"/>
  <c r="E14" i="29" l="1"/>
  <c r="G44" i="3"/>
  <c r="G44" i="9"/>
  <c r="R43" i="3"/>
  <c r="R43" i="8"/>
  <c r="R39" i="7"/>
  <c r="R42" i="11"/>
  <c r="C6" i="29"/>
  <c r="E43" i="3"/>
  <c r="E39" i="7"/>
  <c r="E43" i="8"/>
  <c r="E42" i="11"/>
  <c r="F14" i="29" l="1"/>
  <c r="H44" i="9"/>
  <c r="H44" i="3"/>
  <c r="D6" i="29"/>
  <c r="F43" i="3"/>
  <c r="F39" i="7"/>
  <c r="F43" i="8"/>
  <c r="F42" i="11"/>
  <c r="G14" i="29" l="1"/>
  <c r="I44" i="8"/>
  <c r="I44" i="3"/>
  <c r="I40" i="7"/>
  <c r="I44" i="9"/>
  <c r="I43" i="11"/>
  <c r="E6" i="29"/>
  <c r="G43" i="8"/>
  <c r="G43" i="3"/>
  <c r="G39" i="7"/>
  <c r="G42" i="11"/>
  <c r="H14" i="29" l="1"/>
  <c r="J44" i="8"/>
  <c r="J44" i="3"/>
  <c r="J40" i="7"/>
  <c r="J44" i="9"/>
  <c r="J43" i="11"/>
  <c r="F6" i="29"/>
  <c r="H43" i="8"/>
  <c r="H43" i="3"/>
  <c r="H39" i="7"/>
  <c r="H43" i="9"/>
  <c r="H42" i="11"/>
  <c r="I14" i="29" l="1"/>
  <c r="K44" i="3"/>
  <c r="C44" i="3" s="1"/>
  <c r="K40" i="7"/>
  <c r="K44" i="9"/>
  <c r="K44" i="8"/>
  <c r="K43" i="11"/>
  <c r="G6" i="29"/>
  <c r="I43" i="3"/>
  <c r="I39" i="7"/>
  <c r="I43" i="9"/>
  <c r="I43" i="8"/>
  <c r="I42" i="11"/>
  <c r="J14" i="29" l="1"/>
  <c r="L40" i="7"/>
  <c r="L44" i="9"/>
  <c r="L44" i="8"/>
  <c r="L43" i="11"/>
  <c r="H6" i="29"/>
  <c r="J43" i="9"/>
  <c r="J43" i="3"/>
  <c r="J43" i="8"/>
  <c r="J39" i="7"/>
  <c r="J42" i="11"/>
  <c r="K14" i="29" l="1"/>
  <c r="M44" i="8"/>
  <c r="M40" i="7"/>
  <c r="M44" i="9"/>
  <c r="M43" i="11"/>
  <c r="I6" i="29"/>
  <c r="K43" i="9"/>
  <c r="K43" i="8"/>
  <c r="K43" i="3"/>
  <c r="K39" i="7"/>
  <c r="K42" i="11"/>
  <c r="L14" i="29" l="1"/>
  <c r="N44" i="8"/>
  <c r="N40" i="7"/>
  <c r="N43" i="11"/>
  <c r="J6" i="29"/>
  <c r="L43" i="8"/>
  <c r="L43" i="3"/>
  <c r="L39" i="7"/>
  <c r="L43" i="9"/>
  <c r="L42" i="11"/>
  <c r="M14" i="29" l="1"/>
  <c r="O40" i="7"/>
  <c r="O44" i="8"/>
  <c r="O43" i="11"/>
  <c r="K6" i="29"/>
  <c r="M43" i="3"/>
  <c r="M39" i="7"/>
  <c r="M43" i="8"/>
  <c r="M43" i="9"/>
  <c r="M42" i="11"/>
  <c r="H7" i="27"/>
  <c r="I7" i="27"/>
  <c r="J7" i="27"/>
  <c r="K7" i="27"/>
  <c r="L7" i="27"/>
  <c r="N14" i="29" l="1"/>
  <c r="P44" i="8"/>
  <c r="P43" i="11"/>
  <c r="L6" i="29"/>
  <c r="N43" i="3"/>
  <c r="N39" i="7"/>
  <c r="N43" i="9"/>
  <c r="N43" i="8"/>
  <c r="N42" i="11"/>
  <c r="Q9" i="27"/>
  <c r="S9" i="27"/>
  <c r="R9" i="27"/>
  <c r="O9" i="27"/>
  <c r="P9" i="27"/>
  <c r="D49" i="28"/>
  <c r="J48" i="28"/>
  <c r="I48" i="28"/>
  <c r="C47" i="28"/>
  <c r="C45" i="28"/>
  <c r="H10" i="28"/>
  <c r="H18" i="28" s="1"/>
  <c r="G10" i="28"/>
  <c r="G18" i="28" s="1"/>
  <c r="F10" i="28"/>
  <c r="F18" i="28" s="1"/>
  <c r="E10" i="28"/>
  <c r="E18" i="28" s="1"/>
  <c r="D10" i="28"/>
  <c r="H9" i="28"/>
  <c r="H17" i="28" s="1"/>
  <c r="G9" i="28"/>
  <c r="G17" i="28" s="1"/>
  <c r="F9" i="28"/>
  <c r="F17" i="28" s="1"/>
  <c r="E9" i="28"/>
  <c r="E17" i="28" s="1"/>
  <c r="D9" i="28"/>
  <c r="D17" i="28" s="1"/>
  <c r="H8" i="28"/>
  <c r="H16" i="28" s="1"/>
  <c r="G8" i="28"/>
  <c r="G16" i="28" s="1"/>
  <c r="F8" i="28"/>
  <c r="F16" i="28" s="1"/>
  <c r="E8" i="28"/>
  <c r="E16" i="28" s="1"/>
  <c r="D8" i="28"/>
  <c r="C6" i="28"/>
  <c r="B4" i="28" s="1"/>
  <c r="O14" i="29" l="1"/>
  <c r="R44" i="8" s="1"/>
  <c r="Q44" i="8"/>
  <c r="Q43" i="11"/>
  <c r="M6" i="29"/>
  <c r="O43" i="8"/>
  <c r="O43" i="3"/>
  <c r="O39" i="7"/>
  <c r="O42" i="11"/>
  <c r="D7" i="27"/>
  <c r="G19" i="28"/>
  <c r="C8" i="28"/>
  <c r="C10" i="28"/>
  <c r="F19" i="28"/>
  <c r="F20" i="28" s="1"/>
  <c r="H19" i="28"/>
  <c r="H20" i="28" s="1"/>
  <c r="C17" i="28"/>
  <c r="E19" i="28"/>
  <c r="E20" i="28" s="1"/>
  <c r="C9" i="28"/>
  <c r="D16" i="28"/>
  <c r="D18" i="28"/>
  <c r="C18" i="28" s="1"/>
  <c r="E31" i="28" l="1"/>
  <c r="G20" i="28"/>
  <c r="P43" i="8"/>
  <c r="P43" i="3"/>
  <c r="C43" i="3" s="1"/>
  <c r="P39" i="7"/>
  <c r="P42" i="11"/>
  <c r="G31" i="28"/>
  <c r="F31" i="28"/>
  <c r="H31" i="28"/>
  <c r="G44" i="28"/>
  <c r="C44" i="28" s="1"/>
  <c r="C16" i="28"/>
  <c r="D19" i="28"/>
  <c r="D20" i="28" s="1"/>
  <c r="H46" i="28"/>
  <c r="F32" i="28"/>
  <c r="G32" i="28"/>
  <c r="H32" i="28"/>
  <c r="F29" i="28"/>
  <c r="E40" i="28"/>
  <c r="E29" i="28"/>
  <c r="D29" i="28"/>
  <c r="F42" i="28"/>
  <c r="F30" i="28"/>
  <c r="E30" i="28"/>
  <c r="D30" i="28"/>
  <c r="G30" i="28"/>
  <c r="G48" i="28"/>
  <c r="I45" i="28" l="1"/>
  <c r="I49" i="28" s="1"/>
  <c r="I52" i="28" s="1"/>
  <c r="M8" i="27" s="1"/>
  <c r="M9" i="27" s="1"/>
  <c r="C31" i="28"/>
  <c r="H33" i="28"/>
  <c r="L10" i="27" s="1"/>
  <c r="C32" i="28"/>
  <c r="G33" i="28"/>
  <c r="K10" i="27" s="1"/>
  <c r="C29" i="28"/>
  <c r="F33" i="28"/>
  <c r="J10" i="27" s="1"/>
  <c r="H48" i="28"/>
  <c r="C46" i="28"/>
  <c r="J47" i="28"/>
  <c r="J49" i="28" s="1"/>
  <c r="J52" i="28" s="1"/>
  <c r="N8" i="27" s="1"/>
  <c r="C42" i="28"/>
  <c r="F48" i="28"/>
  <c r="H43" i="28"/>
  <c r="E48" i="28"/>
  <c r="F41" i="28"/>
  <c r="G41" i="28" s="1"/>
  <c r="G49" i="28" s="1"/>
  <c r="C40" i="28"/>
  <c r="E28" i="28"/>
  <c r="E33" i="28" s="1"/>
  <c r="I10" i="27" s="1"/>
  <c r="C19" i="28"/>
  <c r="C20" i="28" s="1"/>
  <c r="D28" i="28"/>
  <c r="D52" i="28"/>
  <c r="H8" i="27" s="1"/>
  <c r="D38" i="28"/>
  <c r="C30" i="28"/>
  <c r="N9" i="27" l="1"/>
  <c r="H9" i="27"/>
  <c r="G50" i="28"/>
  <c r="G52" i="28"/>
  <c r="K8" i="27" s="1"/>
  <c r="D33" i="28"/>
  <c r="C28" i="28"/>
  <c r="D48" i="28"/>
  <c r="D50" i="28" s="1"/>
  <c r="E39" i="28"/>
  <c r="C38" i="28"/>
  <c r="C48" i="28" s="1"/>
  <c r="H49" i="28"/>
  <c r="C43" i="28"/>
  <c r="C41" i="28"/>
  <c r="K9" i="27" l="1"/>
  <c r="C33" i="28"/>
  <c r="H10" i="27"/>
  <c r="H50" i="28"/>
  <c r="H52" i="28"/>
  <c r="L8" i="27" s="1"/>
  <c r="E49" i="28"/>
  <c r="F39" i="28"/>
  <c r="F49" i="28" s="1"/>
  <c r="L9" i="27" l="1"/>
  <c r="D10" i="27"/>
  <c r="F50" i="28"/>
  <c r="F52" i="28"/>
  <c r="J8" i="27" s="1"/>
  <c r="C39" i="28"/>
  <c r="C49" i="28" s="1"/>
  <c r="E50" i="28"/>
  <c r="E52" i="28"/>
  <c r="I8" i="27" s="1"/>
  <c r="J9" i="27" l="1"/>
  <c r="I9" i="27"/>
  <c r="D8" i="27"/>
  <c r="C50" i="28"/>
  <c r="C52" i="28"/>
  <c r="D9" i="27" l="1"/>
  <c r="F34" i="27" l="1"/>
  <c r="S32" i="27"/>
  <c r="R32" i="27"/>
  <c r="Q32" i="27"/>
  <c r="P32" i="27"/>
  <c r="O32" i="27"/>
  <c r="N32" i="27"/>
  <c r="M32" i="27"/>
  <c r="L32" i="27"/>
  <c r="K32" i="27"/>
  <c r="J32" i="27"/>
  <c r="I32" i="27"/>
  <c r="H32" i="27"/>
  <c r="G32" i="27"/>
  <c r="F32" i="27"/>
  <c r="V38" i="22"/>
  <c r="U38" i="22"/>
  <c r="T38" i="22"/>
  <c r="S38" i="22"/>
  <c r="R38" i="22"/>
  <c r="Q38" i="22"/>
  <c r="P38" i="22"/>
  <c r="O38" i="22"/>
  <c r="N38" i="22"/>
  <c r="M38" i="22"/>
  <c r="L38" i="22"/>
  <c r="K38" i="22"/>
  <c r="J38" i="22"/>
  <c r="I38" i="22"/>
  <c r="H38" i="22"/>
  <c r="G38" i="22"/>
  <c r="F38" i="22"/>
  <c r="E38" i="22"/>
  <c r="V37" i="22"/>
  <c r="U37" i="22"/>
  <c r="T37" i="22"/>
  <c r="S37" i="22"/>
  <c r="R37" i="22"/>
  <c r="Q37" i="22"/>
  <c r="P37" i="22"/>
  <c r="O37" i="22"/>
  <c r="N37" i="22"/>
  <c r="M37" i="22"/>
  <c r="L37" i="22"/>
  <c r="K37" i="22"/>
  <c r="J37" i="22"/>
  <c r="I37" i="22"/>
  <c r="H37" i="22"/>
  <c r="G37" i="22"/>
  <c r="F37" i="22"/>
  <c r="E37" i="22"/>
  <c r="V36" i="22"/>
  <c r="U36" i="22"/>
  <c r="T36" i="22"/>
  <c r="S36" i="22"/>
  <c r="R36" i="22"/>
  <c r="Q36" i="22"/>
  <c r="P36" i="22"/>
  <c r="O36" i="22"/>
  <c r="N36" i="22"/>
  <c r="M36" i="22"/>
  <c r="L36" i="22"/>
  <c r="K36" i="22"/>
  <c r="J36" i="22"/>
  <c r="I36" i="22"/>
  <c r="H36" i="22"/>
  <c r="G36" i="22"/>
  <c r="F36" i="22"/>
  <c r="E36" i="22"/>
  <c r="D38" i="22"/>
  <c r="D37" i="22"/>
  <c r="D36" i="22"/>
  <c r="W46" i="22"/>
  <c r="V46" i="22"/>
  <c r="U46" i="22"/>
  <c r="T46" i="22"/>
  <c r="S46" i="22"/>
  <c r="R46" i="22"/>
  <c r="Q46" i="22"/>
  <c r="P46" i="22"/>
  <c r="O46" i="22"/>
  <c r="K46" i="22"/>
  <c r="J46" i="22"/>
  <c r="G46" i="22"/>
  <c r="F46" i="22"/>
  <c r="E46" i="22"/>
  <c r="S34" i="27"/>
  <c r="R34" i="27"/>
  <c r="Q34" i="27"/>
  <c r="G34" i="27"/>
  <c r="V41" i="22"/>
  <c r="U41" i="22"/>
  <c r="T41" i="22"/>
  <c r="S41" i="22"/>
  <c r="R41" i="22"/>
  <c r="Q41" i="22"/>
  <c r="P41" i="22"/>
  <c r="V40" i="22"/>
  <c r="S31" i="27"/>
  <c r="R31" i="27"/>
  <c r="Q31" i="27"/>
  <c r="P31" i="27"/>
  <c r="O31" i="27"/>
  <c r="N31" i="27"/>
  <c r="M31" i="27"/>
  <c r="L31" i="27"/>
  <c r="K31" i="27"/>
  <c r="J31" i="27"/>
  <c r="I31" i="27"/>
  <c r="H31" i="27"/>
  <c r="G31" i="27"/>
  <c r="F31" i="27"/>
  <c r="E41" i="7"/>
  <c r="F41" i="7"/>
  <c r="G41" i="7"/>
  <c r="H41" i="7"/>
  <c r="I33" i="27" l="1"/>
  <c r="L46" i="22"/>
  <c r="P44" i="22"/>
  <c r="F42" i="22"/>
  <c r="H34" i="27" s="1"/>
  <c r="T44" i="22"/>
  <c r="N46" i="22"/>
  <c r="R44" i="22"/>
  <c r="V44" i="22"/>
  <c r="S44" i="22"/>
  <c r="M46" i="22"/>
  <c r="Q44" i="22"/>
  <c r="U44" i="22"/>
  <c r="E41" i="22"/>
  <c r="E44" i="22" s="1"/>
  <c r="D44" i="22"/>
  <c r="D46" i="22"/>
  <c r="H46" i="22"/>
  <c r="I46" i="22"/>
  <c r="L33" i="27"/>
  <c r="P33" i="27"/>
  <c r="Q33" i="27"/>
  <c r="F33" i="27"/>
  <c r="J33" i="27"/>
  <c r="N33" i="27"/>
  <c r="R33" i="27"/>
  <c r="M33" i="27"/>
  <c r="G33" i="27"/>
  <c r="K33" i="27"/>
  <c r="O33" i="27"/>
  <c r="S33" i="27"/>
  <c r="D31" i="27"/>
  <c r="G42" i="22" l="1"/>
  <c r="F41" i="22"/>
  <c r="F44" i="22" s="1"/>
  <c r="H33" i="27"/>
  <c r="D33" i="27" s="1"/>
  <c r="D32" i="27"/>
  <c r="I34" i="27" l="1"/>
  <c r="G41" i="22"/>
  <c r="G44" i="22" s="1"/>
  <c r="H42" i="22"/>
  <c r="J34" i="27" s="1"/>
  <c r="I42" i="22" l="1"/>
  <c r="K34" i="27" s="1"/>
  <c r="H41" i="22"/>
  <c r="H44" i="22" s="1"/>
  <c r="J42" i="22" l="1"/>
  <c r="L34" i="27" s="1"/>
  <c r="D34" i="27" s="1"/>
  <c r="I41" i="22"/>
  <c r="I44" i="22" s="1"/>
  <c r="J41" i="22" l="1"/>
  <c r="J44" i="22" s="1"/>
  <c r="K42" i="22"/>
  <c r="M34" i="27" s="1"/>
  <c r="K41" i="22" l="1"/>
  <c r="K44" i="22" s="1"/>
  <c r="L42" i="22"/>
  <c r="M42" i="22" l="1"/>
  <c r="O34" i="27" s="1"/>
  <c r="N34" i="27"/>
  <c r="L41" i="22"/>
  <c r="L44" i="22" s="1"/>
  <c r="N42" i="22" l="1"/>
  <c r="P34" i="27" s="1"/>
  <c r="M41" i="22"/>
  <c r="M44" i="22" s="1"/>
  <c r="N41" i="22" l="1"/>
  <c r="N44" i="22" s="1"/>
  <c r="O41" i="22"/>
  <c r="O44" i="22" l="1"/>
  <c r="R30" i="27" l="1"/>
  <c r="Q30" i="27"/>
  <c r="E30" i="27"/>
  <c r="S28" i="27"/>
  <c r="R28" i="27"/>
  <c r="Q28" i="27"/>
  <c r="P28" i="27"/>
  <c r="O28" i="27"/>
  <c r="N28" i="27"/>
  <c r="M28" i="27"/>
  <c r="L28" i="27"/>
  <c r="K28" i="27"/>
  <c r="J28" i="27"/>
  <c r="I28" i="27"/>
  <c r="H28" i="27"/>
  <c r="G28" i="27"/>
  <c r="F28" i="27"/>
  <c r="E28" i="27"/>
  <c r="X44" i="11"/>
  <c r="X47" i="11" s="1"/>
  <c r="W44" i="11"/>
  <c r="W47" i="11" s="1"/>
  <c r="V44" i="11"/>
  <c r="V47" i="11" s="1"/>
  <c r="U44" i="11"/>
  <c r="U47" i="11" s="1"/>
  <c r="T44" i="11"/>
  <c r="T47" i="11" s="1"/>
  <c r="S44" i="11"/>
  <c r="S47" i="11" s="1"/>
  <c r="R44" i="11"/>
  <c r="R47" i="11" s="1"/>
  <c r="H44" i="11"/>
  <c r="H48" i="11" s="1"/>
  <c r="G44" i="11"/>
  <c r="G48" i="11" s="1"/>
  <c r="F44" i="11"/>
  <c r="F47" i="11" s="1"/>
  <c r="E44" i="11"/>
  <c r="E47" i="11" s="1"/>
  <c r="S30" i="27"/>
  <c r="I30" i="27"/>
  <c r="H30" i="27"/>
  <c r="G30" i="27"/>
  <c r="F30" i="27"/>
  <c r="X41" i="11"/>
  <c r="C41" i="11" s="1"/>
  <c r="C40" i="11"/>
  <c r="O37" i="11"/>
  <c r="O39" i="11" s="1"/>
  <c r="N37" i="11"/>
  <c r="N38" i="11" s="1"/>
  <c r="M37" i="11"/>
  <c r="M39" i="11" s="1"/>
  <c r="L37" i="11"/>
  <c r="L38" i="11" s="1"/>
  <c r="K37" i="11"/>
  <c r="K39" i="11" s="1"/>
  <c r="J37" i="11"/>
  <c r="J38" i="11" s="1"/>
  <c r="I37" i="11"/>
  <c r="I39" i="11" s="1"/>
  <c r="H37" i="11"/>
  <c r="H39" i="11" s="1"/>
  <c r="G37" i="11"/>
  <c r="G39" i="11" s="1"/>
  <c r="F37" i="11"/>
  <c r="F38" i="11" s="1"/>
  <c r="E37" i="11"/>
  <c r="E39" i="11" s="1"/>
  <c r="E26" i="27"/>
  <c r="S24" i="27"/>
  <c r="R24" i="27"/>
  <c r="Q24" i="27"/>
  <c r="P24" i="27"/>
  <c r="O24" i="27"/>
  <c r="N24" i="27"/>
  <c r="M24" i="27"/>
  <c r="L24" i="27"/>
  <c r="K24" i="27"/>
  <c r="J24" i="27"/>
  <c r="I24" i="27"/>
  <c r="H24" i="27"/>
  <c r="G24" i="27"/>
  <c r="F24" i="27"/>
  <c r="E24" i="27"/>
  <c r="S23" i="27"/>
  <c r="R23" i="27"/>
  <c r="Q23" i="27"/>
  <c r="P23" i="27"/>
  <c r="O23" i="27"/>
  <c r="N23" i="27"/>
  <c r="M23" i="27"/>
  <c r="L23" i="27"/>
  <c r="K23" i="27"/>
  <c r="J23" i="27"/>
  <c r="I23" i="27"/>
  <c r="H23" i="27"/>
  <c r="G23" i="27"/>
  <c r="F23" i="27"/>
  <c r="E23" i="27"/>
  <c r="I22" i="27"/>
  <c r="H22" i="27"/>
  <c r="G22" i="27"/>
  <c r="F22" i="27"/>
  <c r="E22" i="27"/>
  <c r="S20" i="27"/>
  <c r="S19" i="27"/>
  <c r="S16" i="27"/>
  <c r="S15" i="27"/>
  <c r="S14" i="27"/>
  <c r="S12" i="27"/>
  <c r="S11" i="27"/>
  <c r="R20" i="27"/>
  <c r="Q20" i="27"/>
  <c r="P20" i="27"/>
  <c r="O20" i="27"/>
  <c r="N20" i="27"/>
  <c r="M20" i="27"/>
  <c r="L20" i="27"/>
  <c r="K20" i="27"/>
  <c r="J20" i="27"/>
  <c r="I20" i="27"/>
  <c r="H20" i="27"/>
  <c r="G20" i="27"/>
  <c r="F20" i="27"/>
  <c r="E20" i="27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C30" i="8"/>
  <c r="C41" i="8"/>
  <c r="X45" i="8"/>
  <c r="X48" i="8" s="1"/>
  <c r="W45" i="8"/>
  <c r="W48" i="8" s="1"/>
  <c r="V45" i="8"/>
  <c r="V48" i="8" s="1"/>
  <c r="U45" i="8"/>
  <c r="U48" i="8" s="1"/>
  <c r="T45" i="8"/>
  <c r="T48" i="8" s="1"/>
  <c r="S45" i="8"/>
  <c r="S48" i="8" s="1"/>
  <c r="H45" i="8"/>
  <c r="H48" i="8" s="1"/>
  <c r="G45" i="8"/>
  <c r="G48" i="8" s="1"/>
  <c r="F45" i="8"/>
  <c r="F48" i="8" s="1"/>
  <c r="E45" i="8"/>
  <c r="X42" i="8"/>
  <c r="C42" i="8" s="1"/>
  <c r="R19" i="27"/>
  <c r="Q19" i="27"/>
  <c r="P19" i="27"/>
  <c r="O19" i="27"/>
  <c r="N19" i="27"/>
  <c r="M19" i="27"/>
  <c r="L19" i="27"/>
  <c r="K19" i="27"/>
  <c r="J19" i="27"/>
  <c r="I19" i="27"/>
  <c r="H19" i="27"/>
  <c r="G19" i="27"/>
  <c r="F19" i="27"/>
  <c r="E19" i="27"/>
  <c r="E18" i="27"/>
  <c r="R16" i="27"/>
  <c r="Q16" i="27"/>
  <c r="P16" i="27"/>
  <c r="O16" i="27"/>
  <c r="N16" i="27"/>
  <c r="M16" i="27"/>
  <c r="L16" i="27"/>
  <c r="K16" i="27"/>
  <c r="J16" i="27"/>
  <c r="I16" i="27"/>
  <c r="H16" i="27"/>
  <c r="G16" i="27"/>
  <c r="F16" i="27"/>
  <c r="E16" i="27"/>
  <c r="R15" i="27"/>
  <c r="Q15" i="27"/>
  <c r="P15" i="27"/>
  <c r="O15" i="27"/>
  <c r="N15" i="27"/>
  <c r="M15" i="27"/>
  <c r="L15" i="27"/>
  <c r="K15" i="27"/>
  <c r="J15" i="27"/>
  <c r="I15" i="27"/>
  <c r="H15" i="27"/>
  <c r="G15" i="27"/>
  <c r="F15" i="27"/>
  <c r="E15" i="27"/>
  <c r="R14" i="27"/>
  <c r="Q14" i="27"/>
  <c r="P14" i="27"/>
  <c r="O14" i="27"/>
  <c r="N14" i="27"/>
  <c r="M14" i="27"/>
  <c r="G14" i="27"/>
  <c r="F14" i="27"/>
  <c r="E14" i="27"/>
  <c r="R12" i="27"/>
  <c r="Q12" i="27"/>
  <c r="P12" i="27"/>
  <c r="O12" i="27"/>
  <c r="N12" i="27"/>
  <c r="M12" i="27"/>
  <c r="L12" i="27"/>
  <c r="K12" i="27"/>
  <c r="J12" i="27"/>
  <c r="I12" i="27"/>
  <c r="H12" i="27"/>
  <c r="G12" i="27"/>
  <c r="F12" i="27"/>
  <c r="E12" i="27"/>
  <c r="C12" i="27" s="1"/>
  <c r="R11" i="27"/>
  <c r="Q11" i="27"/>
  <c r="P11" i="27"/>
  <c r="O11" i="27"/>
  <c r="N11" i="27"/>
  <c r="M11" i="27"/>
  <c r="L11" i="27"/>
  <c r="K11" i="27"/>
  <c r="J11" i="27"/>
  <c r="I11" i="27"/>
  <c r="H11" i="27"/>
  <c r="G11" i="27"/>
  <c r="F11" i="27"/>
  <c r="E11" i="27"/>
  <c r="C11" i="27" l="1"/>
  <c r="I14" i="27"/>
  <c r="B41" i="8"/>
  <c r="S22" i="27"/>
  <c r="H14" i="27"/>
  <c r="E6" i="27"/>
  <c r="L17" i="27"/>
  <c r="G38" i="11"/>
  <c r="O38" i="11"/>
  <c r="H38" i="11"/>
  <c r="L39" i="11"/>
  <c r="G47" i="11"/>
  <c r="K38" i="11"/>
  <c r="J30" i="27"/>
  <c r="H47" i="11"/>
  <c r="E38" i="11"/>
  <c r="I38" i="11"/>
  <c r="M38" i="11"/>
  <c r="F39" i="11"/>
  <c r="J39" i="11"/>
  <c r="N39" i="11"/>
  <c r="F17" i="27"/>
  <c r="H25" i="27"/>
  <c r="P17" i="27"/>
  <c r="L25" i="27"/>
  <c r="P25" i="27"/>
  <c r="K17" i="27"/>
  <c r="S13" i="27"/>
  <c r="D24" i="27"/>
  <c r="M25" i="27"/>
  <c r="Q25" i="27"/>
  <c r="P21" i="27"/>
  <c r="S21" i="27"/>
  <c r="F25" i="27"/>
  <c r="J25" i="27"/>
  <c r="N25" i="27"/>
  <c r="R25" i="27"/>
  <c r="G25" i="27"/>
  <c r="K25" i="27"/>
  <c r="O25" i="27"/>
  <c r="S25" i="27"/>
  <c r="O17" i="27"/>
  <c r="L21" i="27"/>
  <c r="E25" i="27"/>
  <c r="I25" i="27"/>
  <c r="D23" i="27"/>
  <c r="F21" i="27"/>
  <c r="J21" i="27"/>
  <c r="N21" i="27"/>
  <c r="R21" i="27"/>
  <c r="S17" i="27"/>
  <c r="G21" i="27"/>
  <c r="K21" i="27"/>
  <c r="O21" i="27"/>
  <c r="I21" i="27"/>
  <c r="M21" i="27"/>
  <c r="Q21" i="27"/>
  <c r="E46" i="8"/>
  <c r="F46" i="8"/>
  <c r="G17" i="27"/>
  <c r="M17" i="27"/>
  <c r="Q17" i="27"/>
  <c r="J17" i="27"/>
  <c r="N17" i="27"/>
  <c r="R17" i="27"/>
  <c r="H21" i="27"/>
  <c r="D20" i="27"/>
  <c r="E21" i="27"/>
  <c r="D19" i="27"/>
  <c r="D15" i="27"/>
  <c r="H17" i="27"/>
  <c r="I17" i="27"/>
  <c r="K13" i="27"/>
  <c r="R13" i="27"/>
  <c r="L13" i="27"/>
  <c r="P13" i="27"/>
  <c r="F13" i="27"/>
  <c r="J13" i="27"/>
  <c r="N13" i="27"/>
  <c r="M13" i="27"/>
  <c r="Q13" i="27"/>
  <c r="G13" i="27"/>
  <c r="O13" i="27"/>
  <c r="D11" i="27"/>
  <c r="H13" i="27"/>
  <c r="I13" i="27"/>
  <c r="J22" i="27" l="1"/>
  <c r="J14" i="27"/>
  <c r="E45" i="11"/>
  <c r="F45" i="11"/>
  <c r="K30" i="27"/>
  <c r="D25" i="27"/>
  <c r="D21" i="27"/>
  <c r="K22" i="27"/>
  <c r="G46" i="8"/>
  <c r="E17" i="27"/>
  <c r="D16" i="27"/>
  <c r="D17" i="27"/>
  <c r="E13" i="27"/>
  <c r="C13" i="27" s="1"/>
  <c r="D12" i="27"/>
  <c r="D13" i="27"/>
  <c r="K14" i="27" l="1"/>
  <c r="L30" i="27"/>
  <c r="H46" i="8"/>
  <c r="C14" i="27" l="1"/>
  <c r="D30" i="27"/>
  <c r="L22" i="27"/>
  <c r="L14" i="27"/>
  <c r="H45" i="11"/>
  <c r="G45" i="11"/>
  <c r="M30" i="27"/>
  <c r="M22" i="27"/>
  <c r="D14" i="27" l="1"/>
  <c r="D22" i="27"/>
  <c r="N30" i="27"/>
  <c r="N22" i="27" l="1"/>
  <c r="O30" i="27"/>
  <c r="O22" i="27"/>
  <c r="P30" i="27" l="1"/>
  <c r="P22" i="27"/>
  <c r="C43" i="11" l="1"/>
  <c r="B43" i="11" s="1"/>
  <c r="R22" i="27"/>
  <c r="Q22" i="27" l="1"/>
  <c r="C44" i="8"/>
  <c r="B44" i="8" s="1"/>
  <c r="C43" i="8" l="1"/>
  <c r="B43" i="8" s="1"/>
  <c r="C42" i="11" l="1"/>
  <c r="B42" i="11" s="1"/>
  <c r="X43" i="9" l="1"/>
  <c r="W43" i="9"/>
  <c r="V43" i="9"/>
  <c r="U43" i="9"/>
  <c r="T43" i="9"/>
  <c r="S43" i="9"/>
  <c r="R43" i="9"/>
  <c r="Q43" i="9"/>
  <c r="P43" i="9"/>
  <c r="C37" i="7"/>
  <c r="O18" i="27"/>
  <c r="O43" i="9" l="1"/>
  <c r="M18" i="27"/>
  <c r="J18" i="27"/>
  <c r="N18" i="27"/>
  <c r="P18" i="27"/>
  <c r="K18" i="27"/>
  <c r="L18" i="27"/>
  <c r="B43" i="3" l="1"/>
  <c r="V29" i="22" l="1"/>
  <c r="V27" i="22"/>
  <c r="U27" i="22"/>
  <c r="T27" i="22"/>
  <c r="S27" i="22"/>
  <c r="R27" i="22"/>
  <c r="Q27" i="22"/>
  <c r="P27" i="22"/>
  <c r="O27" i="22"/>
  <c r="N27" i="22"/>
  <c r="M27" i="22"/>
  <c r="L27" i="22"/>
  <c r="K27" i="22"/>
  <c r="J27" i="22"/>
  <c r="I27" i="22"/>
  <c r="H27" i="22"/>
  <c r="G27" i="22"/>
  <c r="F27" i="22"/>
  <c r="E27" i="22"/>
  <c r="D27" i="22"/>
  <c r="V26" i="22"/>
  <c r="U26" i="22"/>
  <c r="T26" i="22"/>
  <c r="S26" i="22"/>
  <c r="R26" i="22"/>
  <c r="Q26" i="22"/>
  <c r="P26" i="22"/>
  <c r="O26" i="22"/>
  <c r="N26" i="22"/>
  <c r="M26" i="22"/>
  <c r="L26" i="22"/>
  <c r="K26" i="22"/>
  <c r="J26" i="22"/>
  <c r="I26" i="22"/>
  <c r="H26" i="22"/>
  <c r="G26" i="22"/>
  <c r="F26" i="22"/>
  <c r="E26" i="22"/>
  <c r="D26" i="22"/>
  <c r="V25" i="22"/>
  <c r="U25" i="22"/>
  <c r="T25" i="22"/>
  <c r="S25" i="22"/>
  <c r="R25" i="22"/>
  <c r="Q25" i="22"/>
  <c r="P25" i="22"/>
  <c r="O25" i="22"/>
  <c r="N25" i="22"/>
  <c r="M25" i="22"/>
  <c r="L25" i="22"/>
  <c r="K25" i="22"/>
  <c r="J25" i="22"/>
  <c r="I25" i="22"/>
  <c r="H25" i="22"/>
  <c r="G25" i="22"/>
  <c r="F25" i="22"/>
  <c r="E25" i="22"/>
  <c r="D25" i="22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V11" i="22"/>
  <c r="U11" i="22"/>
  <c r="T11" i="22"/>
  <c r="S11" i="22"/>
  <c r="R11" i="22"/>
  <c r="Q11" i="22"/>
  <c r="P11" i="22"/>
  <c r="O11" i="22"/>
  <c r="N11" i="22"/>
  <c r="M11" i="22"/>
  <c r="L11" i="22"/>
  <c r="K11" i="22"/>
  <c r="J11" i="22"/>
  <c r="I11" i="22"/>
  <c r="H11" i="22"/>
  <c r="G11" i="22"/>
  <c r="F11" i="22"/>
  <c r="E11" i="22"/>
  <c r="D11" i="22"/>
  <c r="Q13" i="22" l="1"/>
  <c r="U13" i="22"/>
  <c r="D13" i="22"/>
  <c r="P13" i="22"/>
  <c r="T13" i="22"/>
  <c r="V13" i="22"/>
  <c r="I47" i="22"/>
  <c r="M47" i="22"/>
  <c r="I13" i="22"/>
  <c r="C39" i="22"/>
  <c r="C28" i="22"/>
  <c r="C38" i="22"/>
  <c r="C41" i="22"/>
  <c r="B41" i="22" s="1"/>
  <c r="C29" i="22"/>
  <c r="C40" i="22"/>
  <c r="C37" i="22"/>
  <c r="C36" i="22"/>
  <c r="C43" i="22"/>
  <c r="B43" i="22" s="1"/>
  <c r="C42" i="22"/>
  <c r="B42" i="22" s="1"/>
  <c r="C44" i="22"/>
  <c r="F13" i="22"/>
  <c r="F47" i="22"/>
  <c r="J13" i="22"/>
  <c r="J47" i="22"/>
  <c r="N13" i="22"/>
  <c r="N47" i="22"/>
  <c r="M13" i="22"/>
  <c r="G47" i="22"/>
  <c r="K47" i="22"/>
  <c r="H47" i="22"/>
  <c r="L13" i="22"/>
  <c r="L47" i="22"/>
  <c r="H13" i="22"/>
  <c r="F30" i="22"/>
  <c r="J30" i="22"/>
  <c r="N30" i="22"/>
  <c r="R30" i="22"/>
  <c r="S30" i="22"/>
  <c r="C27" i="22"/>
  <c r="C26" i="22"/>
  <c r="E30" i="22"/>
  <c r="I30" i="22"/>
  <c r="M30" i="22"/>
  <c r="Q30" i="22"/>
  <c r="U30" i="22"/>
  <c r="V30" i="22"/>
  <c r="E13" i="22"/>
  <c r="G30" i="22"/>
  <c r="K30" i="22"/>
  <c r="O30" i="22"/>
  <c r="D30" i="22"/>
  <c r="H30" i="22"/>
  <c r="L30" i="22"/>
  <c r="P30" i="22"/>
  <c r="T30" i="22"/>
  <c r="R13" i="22"/>
  <c r="C25" i="22"/>
  <c r="B3" i="22"/>
  <c r="G13" i="22"/>
  <c r="K13" i="22"/>
  <c r="O13" i="22"/>
  <c r="S13" i="22"/>
  <c r="B36" i="22" l="1"/>
  <c r="B40" i="22"/>
  <c r="B38" i="22"/>
  <c r="B39" i="22"/>
  <c r="B37" i="22"/>
  <c r="C30" i="22"/>
  <c r="B44" i="22" l="1"/>
  <c r="O4" i="27"/>
  <c r="S4" i="27"/>
  <c r="P4" i="27"/>
  <c r="N4" i="27"/>
  <c r="R4" i="27"/>
  <c r="E4" i="27" l="1"/>
  <c r="Q4" i="27" l="1"/>
  <c r="M26" i="11" l="1"/>
  <c r="L26" i="11"/>
  <c r="L28" i="11" s="1"/>
  <c r="K26" i="11"/>
  <c r="K28" i="11" s="1"/>
  <c r="J26" i="11"/>
  <c r="I26" i="11"/>
  <c r="H26" i="11"/>
  <c r="H28" i="11" s="1"/>
  <c r="G26" i="11"/>
  <c r="G28" i="11" s="1"/>
  <c r="F26" i="11"/>
  <c r="F28" i="11" s="1"/>
  <c r="E26" i="11"/>
  <c r="W12" i="11"/>
  <c r="S27" i="27"/>
  <c r="S3" i="27" s="1"/>
  <c r="Q27" i="27"/>
  <c r="Q3" i="27" s="1"/>
  <c r="P27" i="27"/>
  <c r="P3" i="27" s="1"/>
  <c r="O27" i="27"/>
  <c r="O3" i="27" s="1"/>
  <c r="N27" i="27"/>
  <c r="N3" i="27" s="1"/>
  <c r="L27" i="27"/>
  <c r="K27" i="27"/>
  <c r="J27" i="27"/>
  <c r="G27" i="27"/>
  <c r="L44" i="11" l="1"/>
  <c r="R37" i="11"/>
  <c r="R38" i="11" s="1"/>
  <c r="V37" i="11"/>
  <c r="V38" i="11" s="1"/>
  <c r="J29" i="27"/>
  <c r="S37" i="11"/>
  <c r="S39" i="11" s="1"/>
  <c r="W37" i="11"/>
  <c r="W38" i="11" s="1"/>
  <c r="G29" i="27"/>
  <c r="K29" i="27"/>
  <c r="P37" i="11"/>
  <c r="T37" i="11"/>
  <c r="T39" i="11" s="1"/>
  <c r="X37" i="11"/>
  <c r="X39" i="11" s="1"/>
  <c r="L29" i="27"/>
  <c r="I44" i="11"/>
  <c r="I45" i="11" s="1"/>
  <c r="Q37" i="11"/>
  <c r="Q39" i="11" s="1"/>
  <c r="U37" i="11"/>
  <c r="U39" i="11" s="1"/>
  <c r="J44" i="11"/>
  <c r="L27" i="11"/>
  <c r="R26" i="11"/>
  <c r="R27" i="11" s="1"/>
  <c r="V26" i="11"/>
  <c r="V27" i="11" s="1"/>
  <c r="S11" i="11"/>
  <c r="E11" i="11"/>
  <c r="M11" i="11"/>
  <c r="N26" i="11"/>
  <c r="N28" i="11" s="1"/>
  <c r="U11" i="11"/>
  <c r="K27" i="11"/>
  <c r="K31" i="11" s="1"/>
  <c r="E12" i="11"/>
  <c r="U12" i="11"/>
  <c r="W26" i="11"/>
  <c r="J11" i="11"/>
  <c r="H12" i="11"/>
  <c r="X12" i="11"/>
  <c r="I12" i="11"/>
  <c r="Q12" i="11"/>
  <c r="S26" i="11"/>
  <c r="G27" i="11"/>
  <c r="M12" i="11"/>
  <c r="F11" i="11"/>
  <c r="N11" i="11"/>
  <c r="R11" i="11"/>
  <c r="P12" i="11"/>
  <c r="D12" i="11"/>
  <c r="L12" i="11"/>
  <c r="T12" i="11"/>
  <c r="H27" i="11"/>
  <c r="D11" i="11"/>
  <c r="H11" i="11"/>
  <c r="L11" i="11"/>
  <c r="P26" i="11"/>
  <c r="P11" i="11"/>
  <c r="T26" i="11"/>
  <c r="T11" i="11"/>
  <c r="X26" i="11"/>
  <c r="X11" i="11"/>
  <c r="V11" i="11"/>
  <c r="E27" i="27"/>
  <c r="B3" i="11"/>
  <c r="Q26" i="11"/>
  <c r="U26" i="11"/>
  <c r="I11" i="11"/>
  <c r="Q11" i="11"/>
  <c r="E28" i="11"/>
  <c r="E27" i="11"/>
  <c r="I28" i="11"/>
  <c r="I27" i="11"/>
  <c r="M28" i="11"/>
  <c r="M27" i="11"/>
  <c r="R27" i="27"/>
  <c r="R3" i="27" s="1"/>
  <c r="F27" i="11"/>
  <c r="F31" i="11" s="1"/>
  <c r="G11" i="11"/>
  <c r="K11" i="11"/>
  <c r="O11" i="11"/>
  <c r="W11" i="11"/>
  <c r="W13" i="11" s="1"/>
  <c r="F12" i="11"/>
  <c r="J12" i="11"/>
  <c r="N12" i="11"/>
  <c r="R12" i="11"/>
  <c r="V12" i="11"/>
  <c r="O26" i="11"/>
  <c r="J27" i="11"/>
  <c r="G12" i="11"/>
  <c r="K12" i="11"/>
  <c r="O12" i="11"/>
  <c r="S12" i="11"/>
  <c r="J28" i="11"/>
  <c r="C26" i="11" l="1"/>
  <c r="V28" i="11"/>
  <c r="V31" i="11" s="1"/>
  <c r="V39" i="11"/>
  <c r="V45" i="11" s="1"/>
  <c r="E3" i="27"/>
  <c r="S13" i="11"/>
  <c r="U38" i="11"/>
  <c r="U45" i="11" s="1"/>
  <c r="Q44" i="11"/>
  <c r="Q38" i="11"/>
  <c r="S38" i="11"/>
  <c r="S45" i="11" s="1"/>
  <c r="R39" i="11"/>
  <c r="R45" i="11" s="1"/>
  <c r="H13" i="11"/>
  <c r="X38" i="11"/>
  <c r="X45" i="11" s="1"/>
  <c r="W39" i="11"/>
  <c r="W45" i="11" s="1"/>
  <c r="T38" i="11"/>
  <c r="T45" i="11" s="1"/>
  <c r="C37" i="11"/>
  <c r="I47" i="11"/>
  <c r="P39" i="11"/>
  <c r="P38" i="11"/>
  <c r="R28" i="11"/>
  <c r="R31" i="11" s="1"/>
  <c r="J47" i="11"/>
  <c r="J48" i="11"/>
  <c r="J45" i="11"/>
  <c r="E13" i="11"/>
  <c r="L47" i="11"/>
  <c r="L48" i="11"/>
  <c r="L45" i="11"/>
  <c r="M13" i="11"/>
  <c r="I48" i="11"/>
  <c r="N27" i="11"/>
  <c r="N31" i="11" s="1"/>
  <c r="U13" i="11"/>
  <c r="X13" i="11"/>
  <c r="F13" i="11"/>
  <c r="M31" i="11"/>
  <c r="W28" i="11"/>
  <c r="J13" i="11"/>
  <c r="S28" i="11"/>
  <c r="W27" i="11"/>
  <c r="Q29" i="27"/>
  <c r="Q5" i="27" s="1"/>
  <c r="L31" i="11"/>
  <c r="M27" i="27"/>
  <c r="O29" i="27"/>
  <c r="O5" i="27" s="1"/>
  <c r="P29" i="27"/>
  <c r="P5" i="27" s="1"/>
  <c r="H31" i="11"/>
  <c r="I27" i="27"/>
  <c r="F27" i="27"/>
  <c r="G31" i="11"/>
  <c r="H27" i="27"/>
  <c r="S29" i="27"/>
  <c r="S5" i="27" s="1"/>
  <c r="N29" i="27"/>
  <c r="N5" i="27" s="1"/>
  <c r="I13" i="11"/>
  <c r="R13" i="11"/>
  <c r="V13" i="11"/>
  <c r="J31" i="11"/>
  <c r="S27" i="11"/>
  <c r="I31" i="11"/>
  <c r="X30" i="11"/>
  <c r="C30" i="11" s="1"/>
  <c r="L13" i="11"/>
  <c r="O13" i="11"/>
  <c r="P28" i="11"/>
  <c r="P27" i="11"/>
  <c r="D13" i="11"/>
  <c r="N13" i="11"/>
  <c r="K13" i="11"/>
  <c r="U28" i="11"/>
  <c r="U27" i="11"/>
  <c r="X28" i="11"/>
  <c r="X27" i="11"/>
  <c r="T13" i="11"/>
  <c r="O28" i="11"/>
  <c r="O27" i="11"/>
  <c r="G13" i="11"/>
  <c r="E31" i="11"/>
  <c r="Q13" i="11"/>
  <c r="Q28" i="11"/>
  <c r="Q27" i="11"/>
  <c r="T28" i="11"/>
  <c r="T27" i="11"/>
  <c r="P13" i="11"/>
  <c r="C27" i="11" l="1"/>
  <c r="C28" i="11"/>
  <c r="C39" i="11"/>
  <c r="Q48" i="11"/>
  <c r="Q47" i="11"/>
  <c r="Q45" i="11"/>
  <c r="O44" i="11"/>
  <c r="P44" i="11"/>
  <c r="P45" i="11" s="1"/>
  <c r="N44" i="11"/>
  <c r="C38" i="11"/>
  <c r="M44" i="11"/>
  <c r="K44" i="11"/>
  <c r="I29" i="27"/>
  <c r="F29" i="27"/>
  <c r="M29" i="27"/>
  <c r="B37" i="11"/>
  <c r="B41" i="11"/>
  <c r="B40" i="11"/>
  <c r="W31" i="11"/>
  <c r="S31" i="11"/>
  <c r="X31" i="11"/>
  <c r="U31" i="11"/>
  <c r="T31" i="11"/>
  <c r="Q31" i="11"/>
  <c r="D27" i="27"/>
  <c r="R29" i="27"/>
  <c r="R5" i="27" s="1"/>
  <c r="E29" i="27"/>
  <c r="P31" i="11"/>
  <c r="O31" i="11"/>
  <c r="C31" i="11" l="1"/>
  <c r="E5" i="27"/>
  <c r="P48" i="11"/>
  <c r="P47" i="11"/>
  <c r="M45" i="11"/>
  <c r="M47" i="11"/>
  <c r="M48" i="11"/>
  <c r="N47" i="11"/>
  <c r="N48" i="11"/>
  <c r="N45" i="11"/>
  <c r="O45" i="11"/>
  <c r="O47" i="11"/>
  <c r="O48" i="11"/>
  <c r="K45" i="11"/>
  <c r="C44" i="11"/>
  <c r="B44" i="11" s="1"/>
  <c r="K47" i="11"/>
  <c r="K48" i="11"/>
  <c r="B38" i="11"/>
  <c r="B39" i="11"/>
  <c r="D28" i="27"/>
  <c r="H29" i="27"/>
  <c r="B45" i="11" l="1"/>
  <c r="C45" i="11"/>
  <c r="D29" i="27"/>
  <c r="M3" i="27" l="1"/>
  <c r="L3" i="27"/>
  <c r="K3" i="27"/>
  <c r="J3" i="27"/>
  <c r="J4" i="27" l="1"/>
  <c r="M4" i="27"/>
  <c r="K4" i="27"/>
  <c r="L4" i="27"/>
  <c r="M5" i="27" l="1"/>
  <c r="L5" i="27"/>
  <c r="K5" i="27"/>
  <c r="J5" i="27"/>
  <c r="X45" i="9" l="1"/>
  <c r="X48" i="9" s="1"/>
  <c r="W45" i="9"/>
  <c r="W48" i="9" s="1"/>
  <c r="V45" i="9"/>
  <c r="V48" i="9" s="1"/>
  <c r="U45" i="9"/>
  <c r="U48" i="9" s="1"/>
  <c r="T45" i="9"/>
  <c r="T48" i="9" s="1"/>
  <c r="S45" i="9"/>
  <c r="S48" i="9" s="1"/>
  <c r="R45" i="9"/>
  <c r="R48" i="9" s="1"/>
  <c r="Q45" i="9"/>
  <c r="Q48" i="9" s="1"/>
  <c r="P45" i="9"/>
  <c r="P48" i="9" s="1"/>
  <c r="O45" i="9"/>
  <c r="O48" i="9" s="1"/>
  <c r="N45" i="9"/>
  <c r="N48" i="9" s="1"/>
  <c r="F45" i="9"/>
  <c r="F48" i="9" s="1"/>
  <c r="E45" i="9"/>
  <c r="E48" i="9" s="1"/>
  <c r="S26" i="27"/>
  <c r="R26" i="27"/>
  <c r="Q26" i="27"/>
  <c r="P26" i="27"/>
  <c r="P6" i="27" s="1"/>
  <c r="O26" i="27"/>
  <c r="O6" i="27" s="1"/>
  <c r="H26" i="27"/>
  <c r="G26" i="27"/>
  <c r="F26" i="27"/>
  <c r="C43" i="9"/>
  <c r="B43" i="9" s="1"/>
  <c r="X42" i="9"/>
  <c r="C42" i="9" s="1"/>
  <c r="C41" i="9"/>
  <c r="M40" i="9"/>
  <c r="L40" i="9"/>
  <c r="K40" i="9"/>
  <c r="J40" i="9"/>
  <c r="I40" i="9"/>
  <c r="H40" i="9"/>
  <c r="G40" i="9"/>
  <c r="F40" i="9"/>
  <c r="E40" i="9"/>
  <c r="M39" i="9"/>
  <c r="L39" i="9"/>
  <c r="K39" i="9"/>
  <c r="J39" i="9"/>
  <c r="I39" i="9"/>
  <c r="H39" i="9"/>
  <c r="G39" i="9"/>
  <c r="F39" i="9"/>
  <c r="E39" i="9"/>
  <c r="M38" i="9"/>
  <c r="L38" i="9"/>
  <c r="K38" i="9"/>
  <c r="J38" i="9"/>
  <c r="I38" i="9"/>
  <c r="H38" i="9"/>
  <c r="G38" i="9"/>
  <c r="F38" i="9"/>
  <c r="E38" i="9"/>
  <c r="X31" i="9"/>
  <c r="C31" i="9" s="1"/>
  <c r="C30" i="9"/>
  <c r="J27" i="9"/>
  <c r="J29" i="9" s="1"/>
  <c r="I27" i="9"/>
  <c r="H27" i="9"/>
  <c r="G27" i="9"/>
  <c r="G29" i="9" s="1"/>
  <c r="F27" i="9"/>
  <c r="F29" i="9" s="1"/>
  <c r="E27" i="9"/>
  <c r="X40" i="9"/>
  <c r="W40" i="9"/>
  <c r="V40" i="9"/>
  <c r="U40" i="9"/>
  <c r="T40" i="9"/>
  <c r="S40" i="9"/>
  <c r="R40" i="9"/>
  <c r="Q40" i="9"/>
  <c r="P40" i="9"/>
  <c r="O40" i="9"/>
  <c r="N40" i="9"/>
  <c r="X39" i="9"/>
  <c r="W39" i="9"/>
  <c r="V39" i="9"/>
  <c r="U39" i="9"/>
  <c r="T39" i="9"/>
  <c r="S39" i="9"/>
  <c r="R39" i="9"/>
  <c r="Q39" i="9"/>
  <c r="P39" i="9"/>
  <c r="O39" i="9"/>
  <c r="N39" i="9"/>
  <c r="R27" i="9"/>
  <c r="E46" i="9" l="1"/>
  <c r="R28" i="9"/>
  <c r="B3" i="9"/>
  <c r="V27" i="9"/>
  <c r="V29" i="9" s="1"/>
  <c r="D11" i="9"/>
  <c r="I26" i="27"/>
  <c r="J11" i="9"/>
  <c r="F28" i="9"/>
  <c r="F32" i="9" s="1"/>
  <c r="N27" i="9"/>
  <c r="N28" i="9" s="1"/>
  <c r="G28" i="9"/>
  <c r="G32" i="9" s="1"/>
  <c r="F11" i="9"/>
  <c r="W12" i="9"/>
  <c r="S12" i="9"/>
  <c r="O12" i="9"/>
  <c r="K12" i="9"/>
  <c r="G12" i="9"/>
  <c r="V12" i="9"/>
  <c r="R12" i="9"/>
  <c r="N12" i="9"/>
  <c r="J12" i="9"/>
  <c r="F12" i="9"/>
  <c r="H11" i="9"/>
  <c r="P38" i="9"/>
  <c r="P46" i="9" s="1"/>
  <c r="P11" i="9"/>
  <c r="P27" i="9"/>
  <c r="T38" i="9"/>
  <c r="T46" i="9" s="1"/>
  <c r="T11" i="9"/>
  <c r="T27" i="9"/>
  <c r="N11" i="9"/>
  <c r="I12" i="9"/>
  <c r="Q12" i="9"/>
  <c r="C40" i="9"/>
  <c r="I45" i="9"/>
  <c r="M45" i="9"/>
  <c r="Q27" i="9"/>
  <c r="Q38" i="9"/>
  <c r="Q46" i="9" s="1"/>
  <c r="U38" i="9"/>
  <c r="U46" i="9" s="1"/>
  <c r="U27" i="9"/>
  <c r="I11" i="9"/>
  <c r="Q11" i="9"/>
  <c r="D12" i="9"/>
  <c r="L12" i="9"/>
  <c r="T12" i="9"/>
  <c r="M27" i="9"/>
  <c r="X27" i="9"/>
  <c r="H45" i="9"/>
  <c r="R11" i="9"/>
  <c r="E12" i="9"/>
  <c r="M12" i="9"/>
  <c r="U12" i="9"/>
  <c r="H29" i="9"/>
  <c r="H28" i="9"/>
  <c r="L45" i="9"/>
  <c r="L27" i="9"/>
  <c r="L11" i="9"/>
  <c r="X38" i="9"/>
  <c r="X46" i="9" s="1"/>
  <c r="X11" i="9"/>
  <c r="V11" i="9"/>
  <c r="O11" i="9"/>
  <c r="S11" i="9"/>
  <c r="E11" i="9"/>
  <c r="M11" i="9"/>
  <c r="U11" i="9"/>
  <c r="H12" i="9"/>
  <c r="P12" i="9"/>
  <c r="X12" i="9"/>
  <c r="E28" i="9"/>
  <c r="E29" i="9"/>
  <c r="I28" i="9"/>
  <c r="I29" i="9"/>
  <c r="R29" i="9"/>
  <c r="M26" i="27"/>
  <c r="M6" i="27" s="1"/>
  <c r="J45" i="9"/>
  <c r="N38" i="9"/>
  <c r="N46" i="9" s="1"/>
  <c r="R38" i="9"/>
  <c r="R46" i="9" s="1"/>
  <c r="V38" i="9"/>
  <c r="V46" i="9" s="1"/>
  <c r="G11" i="9"/>
  <c r="K11" i="9"/>
  <c r="W11" i="9"/>
  <c r="J28" i="9"/>
  <c r="J32" i="9" s="1"/>
  <c r="J26" i="27"/>
  <c r="J6" i="27" s="1"/>
  <c r="B42" i="9"/>
  <c r="K45" i="9"/>
  <c r="K27" i="9"/>
  <c r="O38" i="9"/>
  <c r="O46" i="9" s="1"/>
  <c r="O27" i="9"/>
  <c r="S38" i="9"/>
  <c r="S46" i="9" s="1"/>
  <c r="S27" i="9"/>
  <c r="W38" i="9"/>
  <c r="W46" i="9" s="1"/>
  <c r="W27" i="9"/>
  <c r="G45" i="9"/>
  <c r="C39" i="9"/>
  <c r="B41" i="9"/>
  <c r="F46" i="9"/>
  <c r="R32" i="9" l="1"/>
  <c r="V28" i="9"/>
  <c r="V32" i="9" s="1"/>
  <c r="N29" i="9"/>
  <c r="N32" i="9" s="1"/>
  <c r="F13" i="9"/>
  <c r="D13" i="9"/>
  <c r="I32" i="9"/>
  <c r="J13" i="9"/>
  <c r="E32" i="9"/>
  <c r="K48" i="9"/>
  <c r="K49" i="9"/>
  <c r="M48" i="9"/>
  <c r="M49" i="9"/>
  <c r="G46" i="9"/>
  <c r="G49" i="9"/>
  <c r="L48" i="9"/>
  <c r="L49" i="9"/>
  <c r="J48" i="9"/>
  <c r="J49" i="9"/>
  <c r="I48" i="9"/>
  <c r="I49" i="9"/>
  <c r="H48" i="9"/>
  <c r="H49" i="9"/>
  <c r="H32" i="9"/>
  <c r="X13" i="9"/>
  <c r="I46" i="9"/>
  <c r="G13" i="9"/>
  <c r="M28" i="9"/>
  <c r="M29" i="9"/>
  <c r="Q13" i="9"/>
  <c r="T13" i="9"/>
  <c r="S29" i="9"/>
  <c r="S28" i="9"/>
  <c r="M13" i="9"/>
  <c r="I13" i="9"/>
  <c r="Q28" i="9"/>
  <c r="Q29" i="9"/>
  <c r="H46" i="9"/>
  <c r="N13" i="9"/>
  <c r="H13" i="9"/>
  <c r="C38" i="9"/>
  <c r="W13" i="9"/>
  <c r="E13" i="9"/>
  <c r="V13" i="9"/>
  <c r="L13" i="9"/>
  <c r="K26" i="27"/>
  <c r="K6" i="27" s="1"/>
  <c r="T29" i="9"/>
  <c r="T28" i="9"/>
  <c r="P29" i="9"/>
  <c r="P28" i="9"/>
  <c r="U13" i="9"/>
  <c r="O13" i="9"/>
  <c r="W29" i="9"/>
  <c r="W28" i="9"/>
  <c r="O29" i="9"/>
  <c r="O28" i="9"/>
  <c r="K29" i="9"/>
  <c r="K28" i="9"/>
  <c r="C27" i="9"/>
  <c r="C45" i="9"/>
  <c r="B45" i="9" s="1"/>
  <c r="G48" i="9"/>
  <c r="K13" i="9"/>
  <c r="L46" i="9"/>
  <c r="S13" i="9"/>
  <c r="L29" i="9"/>
  <c r="L28" i="9"/>
  <c r="R13" i="9"/>
  <c r="X29" i="9"/>
  <c r="X28" i="9"/>
  <c r="U28" i="9"/>
  <c r="U29" i="9"/>
  <c r="P13" i="9"/>
  <c r="M32" i="9" l="1"/>
  <c r="K32" i="9"/>
  <c r="P32" i="9"/>
  <c r="T32" i="9"/>
  <c r="Q32" i="9"/>
  <c r="U32" i="9"/>
  <c r="C28" i="9"/>
  <c r="B39" i="9" s="1"/>
  <c r="O32" i="9"/>
  <c r="N26" i="27"/>
  <c r="K46" i="9"/>
  <c r="L26" i="27"/>
  <c r="L6" i="27" s="1"/>
  <c r="L32" i="9"/>
  <c r="S32" i="9"/>
  <c r="X32" i="9"/>
  <c r="W32" i="9"/>
  <c r="C29" i="9"/>
  <c r="B40" i="9" s="1"/>
  <c r="J46" i="9"/>
  <c r="B38" i="9"/>
  <c r="N6" i="27" l="1"/>
  <c r="C32" i="9"/>
  <c r="D26" i="27"/>
  <c r="C44" i="9"/>
  <c r="B44" i="9" s="1"/>
  <c r="M46" i="9"/>
  <c r="C46" i="9" s="1"/>
  <c r="O27" i="8" l="1"/>
  <c r="O29" i="8" s="1"/>
  <c r="N27" i="8"/>
  <c r="M27" i="8"/>
  <c r="M29" i="8" s="1"/>
  <c r="L27" i="8"/>
  <c r="L29" i="8" s="1"/>
  <c r="K27" i="8"/>
  <c r="K29" i="8" s="1"/>
  <c r="J27" i="8"/>
  <c r="J29" i="8" s="1"/>
  <c r="I27" i="8"/>
  <c r="I29" i="8" s="1"/>
  <c r="H27" i="8"/>
  <c r="H29" i="8" s="1"/>
  <c r="G27" i="8"/>
  <c r="G29" i="8" s="1"/>
  <c r="F27" i="8"/>
  <c r="F29" i="8" s="1"/>
  <c r="E27" i="8"/>
  <c r="W38" i="8"/>
  <c r="V38" i="8"/>
  <c r="K12" i="8"/>
  <c r="J45" i="8" l="1"/>
  <c r="J48" i="8" s="1"/>
  <c r="N45" i="8"/>
  <c r="N48" i="8" s="1"/>
  <c r="L45" i="8"/>
  <c r="L48" i="8" s="1"/>
  <c r="T40" i="8"/>
  <c r="S38" i="8"/>
  <c r="V39" i="8"/>
  <c r="U40" i="8"/>
  <c r="P45" i="8"/>
  <c r="P48" i="8" s="1"/>
  <c r="X38" i="8"/>
  <c r="S39" i="8"/>
  <c r="W39" i="8"/>
  <c r="V40" i="8"/>
  <c r="R45" i="8"/>
  <c r="U39" i="8"/>
  <c r="X40" i="8"/>
  <c r="T38" i="8"/>
  <c r="U38" i="8"/>
  <c r="T39" i="8"/>
  <c r="X39" i="8"/>
  <c r="S40" i="8"/>
  <c r="W40" i="8"/>
  <c r="V27" i="8"/>
  <c r="V29" i="8" s="1"/>
  <c r="K45" i="8"/>
  <c r="O45" i="8"/>
  <c r="I45" i="8"/>
  <c r="M45" i="8"/>
  <c r="Q45" i="8"/>
  <c r="E29" i="8"/>
  <c r="D11" i="8"/>
  <c r="L11" i="8"/>
  <c r="T11" i="8"/>
  <c r="L28" i="8"/>
  <c r="L32" i="8" s="1"/>
  <c r="F28" i="8"/>
  <c r="F32" i="8" s="1"/>
  <c r="S12" i="8"/>
  <c r="M28" i="8"/>
  <c r="M32" i="8" s="1"/>
  <c r="P11" i="8"/>
  <c r="W27" i="8"/>
  <c r="W28" i="8" s="1"/>
  <c r="I28" i="8"/>
  <c r="I32" i="8" s="1"/>
  <c r="E11" i="8"/>
  <c r="I11" i="8"/>
  <c r="M11" i="8"/>
  <c r="Q11" i="8"/>
  <c r="U11" i="8"/>
  <c r="E28" i="8"/>
  <c r="H11" i="8"/>
  <c r="X11" i="8"/>
  <c r="B3" i="8"/>
  <c r="R27" i="8"/>
  <c r="R28" i="8" s="1"/>
  <c r="H28" i="8"/>
  <c r="H32" i="8" s="1"/>
  <c r="V12" i="8"/>
  <c r="R12" i="8"/>
  <c r="N12" i="8"/>
  <c r="J12" i="8"/>
  <c r="F12" i="8"/>
  <c r="U12" i="8"/>
  <c r="Q12" i="8"/>
  <c r="M12" i="8"/>
  <c r="I12" i="8"/>
  <c r="E12" i="8"/>
  <c r="G11" i="8"/>
  <c r="K11" i="8"/>
  <c r="O11" i="8"/>
  <c r="S11" i="8"/>
  <c r="S27" i="8"/>
  <c r="W11" i="8"/>
  <c r="G12" i="8"/>
  <c r="O12" i="8"/>
  <c r="W12" i="8"/>
  <c r="P27" i="8"/>
  <c r="T27" i="8"/>
  <c r="X27" i="8"/>
  <c r="H12" i="8"/>
  <c r="P12" i="8"/>
  <c r="X12" i="8"/>
  <c r="D12" i="8"/>
  <c r="L12" i="8"/>
  <c r="T12" i="8"/>
  <c r="Q27" i="8"/>
  <c r="U27" i="8"/>
  <c r="F11" i="8"/>
  <c r="J11" i="8"/>
  <c r="N11" i="8"/>
  <c r="R11" i="8"/>
  <c r="V11" i="8"/>
  <c r="G28" i="8"/>
  <c r="K28" i="8"/>
  <c r="O28" i="8"/>
  <c r="O32" i="8" s="1"/>
  <c r="N28" i="8"/>
  <c r="N29" i="8"/>
  <c r="J28" i="8"/>
  <c r="J32" i="8" s="1"/>
  <c r="J49" i="8" l="1"/>
  <c r="J46" i="8"/>
  <c r="W29" i="8"/>
  <c r="W32" i="8" s="1"/>
  <c r="R29" i="8"/>
  <c r="R32" i="8" s="1"/>
  <c r="L46" i="8"/>
  <c r="N46" i="8"/>
  <c r="P13" i="8"/>
  <c r="L49" i="8"/>
  <c r="N49" i="8"/>
  <c r="X13" i="8"/>
  <c r="C27" i="8"/>
  <c r="T46" i="8"/>
  <c r="P49" i="8"/>
  <c r="P46" i="8"/>
  <c r="C38" i="8"/>
  <c r="R49" i="8"/>
  <c r="R48" i="8"/>
  <c r="W46" i="8"/>
  <c r="C40" i="8"/>
  <c r="C39" i="8"/>
  <c r="C45" i="8"/>
  <c r="B45" i="8" s="1"/>
  <c r="V46" i="8"/>
  <c r="M49" i="8"/>
  <c r="M48" i="8"/>
  <c r="M46" i="8"/>
  <c r="V28" i="8"/>
  <c r="V32" i="8" s="1"/>
  <c r="Q49" i="8"/>
  <c r="Q48" i="8"/>
  <c r="Q46" i="8"/>
  <c r="I49" i="8"/>
  <c r="I48" i="8"/>
  <c r="I46" i="8"/>
  <c r="U46" i="8"/>
  <c r="R46" i="8"/>
  <c r="K49" i="8"/>
  <c r="K48" i="8"/>
  <c r="K46" i="8"/>
  <c r="S46" i="8"/>
  <c r="X46" i="8"/>
  <c r="O49" i="8"/>
  <c r="O48" i="8"/>
  <c r="O46" i="8"/>
  <c r="E32" i="8"/>
  <c r="D13" i="8"/>
  <c r="L13" i="8"/>
  <c r="E13" i="8"/>
  <c r="U13" i="8"/>
  <c r="T13" i="8"/>
  <c r="K32" i="8"/>
  <c r="V13" i="8"/>
  <c r="H13" i="8"/>
  <c r="N32" i="8"/>
  <c r="M13" i="8"/>
  <c r="I13" i="8"/>
  <c r="G32" i="8"/>
  <c r="Q13" i="8"/>
  <c r="F13" i="8"/>
  <c r="X28" i="8"/>
  <c r="X29" i="8"/>
  <c r="K13" i="8"/>
  <c r="X31" i="8"/>
  <c r="C31" i="8" s="1"/>
  <c r="N13" i="8"/>
  <c r="S13" i="8"/>
  <c r="G13" i="8"/>
  <c r="J13" i="8"/>
  <c r="T29" i="8"/>
  <c r="T28" i="8"/>
  <c r="W13" i="8"/>
  <c r="S28" i="8"/>
  <c r="S29" i="8"/>
  <c r="Q29" i="8"/>
  <c r="Q28" i="8"/>
  <c r="R13" i="8"/>
  <c r="U29" i="8"/>
  <c r="U28" i="8"/>
  <c r="P28" i="8"/>
  <c r="P29" i="8"/>
  <c r="O13" i="8"/>
  <c r="B38" i="8" l="1"/>
  <c r="C29" i="8"/>
  <c r="C28" i="8"/>
  <c r="B42" i="8"/>
  <c r="C46" i="8"/>
  <c r="Q32" i="8"/>
  <c r="U32" i="8"/>
  <c r="S32" i="8"/>
  <c r="P32" i="8"/>
  <c r="T32" i="8"/>
  <c r="X32" i="8"/>
  <c r="B40" i="8" l="1"/>
  <c r="C32" i="8"/>
  <c r="B39" i="8"/>
  <c r="N34" i="7" l="1"/>
  <c r="E34" i="7"/>
  <c r="E36" i="7" s="1"/>
  <c r="X41" i="7"/>
  <c r="W41" i="7"/>
  <c r="V41" i="7"/>
  <c r="U41" i="7"/>
  <c r="T41" i="7"/>
  <c r="S41" i="7"/>
  <c r="R41" i="7"/>
  <c r="Q41" i="7"/>
  <c r="P41" i="7"/>
  <c r="S18" i="27"/>
  <c r="S6" i="27" s="1"/>
  <c r="R18" i="27"/>
  <c r="R6" i="27" s="1"/>
  <c r="Q18" i="27"/>
  <c r="Q6" i="27" s="1"/>
  <c r="I18" i="27"/>
  <c r="I6" i="27" s="1"/>
  <c r="H18" i="27"/>
  <c r="H6" i="27" s="1"/>
  <c r="G18" i="27"/>
  <c r="G6" i="27" s="1"/>
  <c r="F18" i="27"/>
  <c r="I34" i="7"/>
  <c r="I36" i="7" s="1"/>
  <c r="H34" i="7"/>
  <c r="L23" i="7"/>
  <c r="L24" i="7" s="1"/>
  <c r="K23" i="7"/>
  <c r="K24" i="7" s="1"/>
  <c r="J23" i="7"/>
  <c r="J25" i="7" s="1"/>
  <c r="I23" i="7"/>
  <c r="I25" i="7" s="1"/>
  <c r="H23" i="7"/>
  <c r="H24" i="7" s="1"/>
  <c r="G23" i="7"/>
  <c r="G25" i="7" s="1"/>
  <c r="F23" i="7"/>
  <c r="F25" i="7" s="1"/>
  <c r="E23" i="7"/>
  <c r="E25" i="7" s="1"/>
  <c r="S12" i="7"/>
  <c r="I41" i="7" l="1"/>
  <c r="I44" i="7" s="1"/>
  <c r="F6" i="27"/>
  <c r="C6" i="27" s="1"/>
  <c r="M41" i="7"/>
  <c r="N41" i="7"/>
  <c r="K41" i="7"/>
  <c r="K44" i="7" s="1"/>
  <c r="J41" i="7"/>
  <c r="O41" i="7"/>
  <c r="O44" i="7" s="1"/>
  <c r="L41" i="7"/>
  <c r="W23" i="7"/>
  <c r="W24" i="7" s="1"/>
  <c r="J34" i="7"/>
  <c r="J36" i="7" s="1"/>
  <c r="N23" i="7"/>
  <c r="N25" i="7" s="1"/>
  <c r="V23" i="7"/>
  <c r="V24" i="7" s="1"/>
  <c r="S23" i="7"/>
  <c r="S25" i="7" s="1"/>
  <c r="D18" i="27"/>
  <c r="C40" i="7"/>
  <c r="B40" i="7" s="1"/>
  <c r="K25" i="7"/>
  <c r="K28" i="7" s="1"/>
  <c r="M12" i="7"/>
  <c r="V11" i="7"/>
  <c r="W12" i="7"/>
  <c r="X12" i="7"/>
  <c r="J24" i="7"/>
  <c r="J28" i="7" s="1"/>
  <c r="F24" i="7"/>
  <c r="F28" i="7" s="1"/>
  <c r="L12" i="7"/>
  <c r="R11" i="7"/>
  <c r="X23" i="7"/>
  <c r="X24" i="7" s="1"/>
  <c r="I35" i="7"/>
  <c r="H11" i="7"/>
  <c r="X11" i="7"/>
  <c r="B3" i="7"/>
  <c r="G12" i="7"/>
  <c r="Q12" i="7"/>
  <c r="T23" i="7"/>
  <c r="T24" i="7" s="1"/>
  <c r="G24" i="7"/>
  <c r="G28" i="7" s="1"/>
  <c r="E35" i="7"/>
  <c r="L34" i="7"/>
  <c r="L36" i="7" s="1"/>
  <c r="D11" i="7"/>
  <c r="L11" i="7"/>
  <c r="T11" i="7"/>
  <c r="J11" i="7"/>
  <c r="N11" i="7"/>
  <c r="F11" i="7"/>
  <c r="H12" i="7"/>
  <c r="M34" i="7"/>
  <c r="Q11" i="7"/>
  <c r="Q23" i="7"/>
  <c r="H36" i="7"/>
  <c r="H35" i="7"/>
  <c r="M11" i="7"/>
  <c r="M23" i="7"/>
  <c r="L25" i="7"/>
  <c r="L28" i="7" s="1"/>
  <c r="X27" i="7"/>
  <c r="C27" i="7" s="1"/>
  <c r="V12" i="7"/>
  <c r="R12" i="7"/>
  <c r="N12" i="7"/>
  <c r="J12" i="7"/>
  <c r="F12" i="7"/>
  <c r="G11" i="7"/>
  <c r="K11" i="7"/>
  <c r="O11" i="7"/>
  <c r="S11" i="7"/>
  <c r="W11" i="7"/>
  <c r="I11" i="7"/>
  <c r="D12" i="7"/>
  <c r="I12" i="7"/>
  <c r="O12" i="7"/>
  <c r="T12" i="7"/>
  <c r="O23" i="7"/>
  <c r="I24" i="7"/>
  <c r="I28" i="7" s="1"/>
  <c r="H25" i="7"/>
  <c r="H28" i="7" s="1"/>
  <c r="K34" i="7"/>
  <c r="E11" i="7"/>
  <c r="P11" i="7"/>
  <c r="U11" i="7"/>
  <c r="E12" i="7"/>
  <c r="K12" i="7"/>
  <c r="P12" i="7"/>
  <c r="U12" i="7"/>
  <c r="P23" i="7"/>
  <c r="U23" i="7"/>
  <c r="E24" i="7"/>
  <c r="R23" i="7"/>
  <c r="N35" i="7"/>
  <c r="N36" i="7"/>
  <c r="E28" i="7" l="1"/>
  <c r="I45" i="7"/>
  <c r="D13" i="7"/>
  <c r="T25" i="7"/>
  <c r="T28" i="7" s="1"/>
  <c r="J35" i="7"/>
  <c r="W25" i="7"/>
  <c r="W28" i="7" s="1"/>
  <c r="S24" i="7"/>
  <c r="S28" i="7" s="1"/>
  <c r="L45" i="7"/>
  <c r="K45" i="7"/>
  <c r="N45" i="7"/>
  <c r="M45" i="7"/>
  <c r="M44" i="7"/>
  <c r="J45" i="7"/>
  <c r="N13" i="7"/>
  <c r="N44" i="7"/>
  <c r="L44" i="7"/>
  <c r="J44" i="7"/>
  <c r="O45" i="7"/>
  <c r="V25" i="7"/>
  <c r="V28" i="7" s="1"/>
  <c r="N24" i="7"/>
  <c r="N28" i="7" s="1"/>
  <c r="W13" i="7"/>
  <c r="V13" i="7"/>
  <c r="L13" i="7"/>
  <c r="D6" i="27"/>
  <c r="B37" i="7"/>
  <c r="C41" i="7"/>
  <c r="B41" i="7" s="1"/>
  <c r="T13" i="7"/>
  <c r="R13" i="7"/>
  <c r="F13" i="7"/>
  <c r="Q34" i="7"/>
  <c r="Q36" i="7" s="1"/>
  <c r="O34" i="7"/>
  <c r="O35" i="7" s="1"/>
  <c r="P34" i="7"/>
  <c r="P35" i="7" s="1"/>
  <c r="G34" i="7"/>
  <c r="G36" i="7" s="1"/>
  <c r="F34" i="7"/>
  <c r="X13" i="7"/>
  <c r="E14" i="7"/>
  <c r="K14" i="7"/>
  <c r="L35" i="7"/>
  <c r="U14" i="7"/>
  <c r="X25" i="7"/>
  <c r="X28" i="7" s="1"/>
  <c r="H13" i="7"/>
  <c r="O14" i="7"/>
  <c r="G14" i="7"/>
  <c r="U24" i="7"/>
  <c r="U25" i="7"/>
  <c r="K35" i="7"/>
  <c r="K36" i="7"/>
  <c r="M25" i="7"/>
  <c r="C25" i="7" s="1"/>
  <c r="M24" i="7"/>
  <c r="C24" i="7" s="1"/>
  <c r="Q13" i="7"/>
  <c r="R14" i="7"/>
  <c r="R25" i="7"/>
  <c r="R24" i="7"/>
  <c r="C23" i="7"/>
  <c r="P24" i="7"/>
  <c r="P25" i="7"/>
  <c r="U13" i="7"/>
  <c r="K13" i="7"/>
  <c r="L14" i="7"/>
  <c r="P13" i="7"/>
  <c r="Q14" i="7"/>
  <c r="O25" i="7"/>
  <c r="O24" i="7"/>
  <c r="O13" i="7"/>
  <c r="P14" i="7"/>
  <c r="S14" i="7"/>
  <c r="Q25" i="7"/>
  <c r="Q24" i="7"/>
  <c r="J13" i="7"/>
  <c r="E13" i="7"/>
  <c r="F14" i="7"/>
  <c r="I13" i="7"/>
  <c r="T14" i="7"/>
  <c r="S13" i="7"/>
  <c r="H14" i="7"/>
  <c r="G13" i="7"/>
  <c r="M13" i="7"/>
  <c r="N14" i="7"/>
  <c r="M36" i="7"/>
  <c r="M35" i="7"/>
  <c r="R34" i="7"/>
  <c r="G35" i="7" l="1"/>
  <c r="P36" i="7"/>
  <c r="Q28" i="7"/>
  <c r="U28" i="7"/>
  <c r="Q35" i="7"/>
  <c r="O36" i="7"/>
  <c r="F36" i="7"/>
  <c r="F35" i="7"/>
  <c r="M28" i="7"/>
  <c r="C28" i="7" s="1"/>
  <c r="P28" i="7"/>
  <c r="R28" i="7"/>
  <c r="S34" i="7"/>
  <c r="O28" i="7"/>
  <c r="R36" i="7"/>
  <c r="R35" i="7"/>
  <c r="T34" i="7" l="1"/>
  <c r="S35" i="7"/>
  <c r="S36" i="7"/>
  <c r="U34" i="7" l="1"/>
  <c r="T35" i="7"/>
  <c r="T36" i="7"/>
  <c r="U36" i="7" l="1"/>
  <c r="U35" i="7"/>
  <c r="V34" i="7"/>
  <c r="V36" i="7" l="1"/>
  <c r="V35" i="7"/>
  <c r="W34" i="7"/>
  <c r="W35" i="7" l="1"/>
  <c r="W36" i="7"/>
  <c r="X34" i="7"/>
  <c r="X38" i="7"/>
  <c r="C38" i="7" s="1"/>
  <c r="B38" i="7" s="1"/>
  <c r="X36" i="7" l="1"/>
  <c r="C36" i="7" s="1"/>
  <c r="B36" i="7" s="1"/>
  <c r="X35" i="7"/>
  <c r="C35" i="7" s="1"/>
  <c r="B35" i="7" s="1"/>
  <c r="C34" i="7"/>
  <c r="B34" i="7" s="1"/>
  <c r="G3" i="27" l="1"/>
  <c r="G4" i="27" l="1"/>
  <c r="H3" i="27"/>
  <c r="I3" i="27"/>
  <c r="F3" i="27" l="1"/>
  <c r="C3" i="27" s="1"/>
  <c r="H4" i="27"/>
  <c r="I4" i="27"/>
  <c r="G5" i="27"/>
  <c r="F4" i="27" l="1"/>
  <c r="C4" i="27" s="1"/>
  <c r="D3" i="27"/>
  <c r="I5" i="27"/>
  <c r="H5" i="27"/>
  <c r="F5" i="27" l="1"/>
  <c r="C5" i="27" s="1"/>
  <c r="D4" i="27"/>
  <c r="D5" i="27"/>
  <c r="F38" i="3" l="1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F45" i="3"/>
  <c r="F48" i="3" s="1"/>
  <c r="E45" i="3"/>
  <c r="B44" i="3"/>
  <c r="I38" i="3"/>
  <c r="I39" i="3" s="1"/>
  <c r="E38" i="3"/>
  <c r="H27" i="3"/>
  <c r="H29" i="3" s="1"/>
  <c r="G27" i="3"/>
  <c r="G29" i="3" s="1"/>
  <c r="F27" i="3"/>
  <c r="F28" i="3" s="1"/>
  <c r="E27" i="3"/>
  <c r="G13" i="3"/>
  <c r="E48" i="3" l="1"/>
  <c r="E39" i="3"/>
  <c r="L27" i="3"/>
  <c r="L28" i="3" s="1"/>
  <c r="T27" i="3"/>
  <c r="T29" i="3" s="1"/>
  <c r="N27" i="3"/>
  <c r="N28" i="3" s="1"/>
  <c r="I27" i="3"/>
  <c r="I28" i="3" s="1"/>
  <c r="G45" i="3"/>
  <c r="H28" i="3"/>
  <c r="H32" i="3" s="1"/>
  <c r="F29" i="3"/>
  <c r="F32" i="3" s="1"/>
  <c r="N15" i="3"/>
  <c r="E12" i="3"/>
  <c r="M12" i="3"/>
  <c r="Q12" i="3"/>
  <c r="U12" i="3"/>
  <c r="D12" i="3"/>
  <c r="H12" i="3"/>
  <c r="T12" i="3"/>
  <c r="X12" i="3"/>
  <c r="Q27" i="3"/>
  <c r="H45" i="3"/>
  <c r="V15" i="3"/>
  <c r="L13" i="3"/>
  <c r="J45" i="3"/>
  <c r="L38" i="3"/>
  <c r="L39" i="3" s="1"/>
  <c r="I12" i="3"/>
  <c r="R13" i="3"/>
  <c r="G12" i="3"/>
  <c r="G14" i="3" s="1"/>
  <c r="W12" i="3"/>
  <c r="W13" i="3"/>
  <c r="L12" i="3"/>
  <c r="F15" i="3"/>
  <c r="G28" i="3"/>
  <c r="G32" i="3" s="1"/>
  <c r="N29" i="3"/>
  <c r="P15" i="3"/>
  <c r="Q15" i="3"/>
  <c r="I45" i="3"/>
  <c r="B3" i="3"/>
  <c r="R15" i="3"/>
  <c r="U13" i="3"/>
  <c r="Q13" i="3"/>
  <c r="M13" i="3"/>
  <c r="I13" i="3"/>
  <c r="E13" i="3"/>
  <c r="K38" i="3"/>
  <c r="K27" i="3"/>
  <c r="O27" i="3"/>
  <c r="S27" i="3"/>
  <c r="W27" i="3"/>
  <c r="O12" i="3"/>
  <c r="D13" i="3"/>
  <c r="J13" i="3"/>
  <c r="O13" i="3"/>
  <c r="T13" i="3"/>
  <c r="M15" i="3"/>
  <c r="U15" i="3"/>
  <c r="V27" i="3"/>
  <c r="N38" i="3"/>
  <c r="G15" i="3"/>
  <c r="K15" i="3"/>
  <c r="X15" i="3"/>
  <c r="P27" i="3"/>
  <c r="X27" i="3"/>
  <c r="K12" i="3"/>
  <c r="P12" i="3"/>
  <c r="F13" i="3"/>
  <c r="K13" i="3"/>
  <c r="P13" i="3"/>
  <c r="V13" i="3"/>
  <c r="O15" i="3"/>
  <c r="W15" i="3"/>
  <c r="T15" i="3"/>
  <c r="F40" i="3"/>
  <c r="E15" i="3"/>
  <c r="F12" i="3"/>
  <c r="J38" i="3"/>
  <c r="J27" i="3"/>
  <c r="J12" i="3"/>
  <c r="N12" i="3"/>
  <c r="R27" i="3"/>
  <c r="R12" i="3"/>
  <c r="V12" i="3"/>
  <c r="S12" i="3"/>
  <c r="H13" i="3"/>
  <c r="N13" i="3"/>
  <c r="S13" i="3"/>
  <c r="X13" i="3"/>
  <c r="H15" i="3"/>
  <c r="S15" i="3"/>
  <c r="E28" i="3"/>
  <c r="E29" i="3"/>
  <c r="F39" i="3"/>
  <c r="M38" i="3"/>
  <c r="U27" i="3"/>
  <c r="M27" i="3"/>
  <c r="O38" i="3"/>
  <c r="E40" i="3"/>
  <c r="I40" i="3"/>
  <c r="L29" i="3" l="1"/>
  <c r="L32" i="3" s="1"/>
  <c r="I29" i="3"/>
  <c r="I32" i="3" s="1"/>
  <c r="N32" i="3"/>
  <c r="T28" i="3"/>
  <c r="T32" i="3" s="1"/>
  <c r="K45" i="3"/>
  <c r="K49" i="3" s="1"/>
  <c r="H49" i="3"/>
  <c r="H48" i="3"/>
  <c r="G48" i="3"/>
  <c r="G49" i="3"/>
  <c r="I49" i="3"/>
  <c r="I48" i="3"/>
  <c r="J48" i="3"/>
  <c r="J49" i="3"/>
  <c r="E14" i="3"/>
  <c r="L40" i="3"/>
  <c r="L46" i="3" s="1"/>
  <c r="Q29" i="3"/>
  <c r="Q28" i="3"/>
  <c r="C27" i="3"/>
  <c r="H14" i="3"/>
  <c r="X14" i="3"/>
  <c r="L14" i="3"/>
  <c r="T14" i="3"/>
  <c r="Q14" i="3"/>
  <c r="W14" i="3"/>
  <c r="I46" i="3"/>
  <c r="I14" i="3"/>
  <c r="X31" i="3"/>
  <c r="C31" i="3" s="1"/>
  <c r="C30" i="3"/>
  <c r="M14" i="3"/>
  <c r="J14" i="3"/>
  <c r="P28" i="3"/>
  <c r="P29" i="3"/>
  <c r="W29" i="3"/>
  <c r="W28" i="3"/>
  <c r="S29" i="3"/>
  <c r="S28" i="3"/>
  <c r="U14" i="3"/>
  <c r="E46" i="3"/>
  <c r="M39" i="3"/>
  <c r="M40" i="3"/>
  <c r="S14" i="3"/>
  <c r="F14" i="3"/>
  <c r="F46" i="3"/>
  <c r="P14" i="3"/>
  <c r="X29" i="3"/>
  <c r="X28" i="3"/>
  <c r="K29" i="3"/>
  <c r="K28" i="3"/>
  <c r="E32" i="3"/>
  <c r="V14" i="3"/>
  <c r="N14" i="3"/>
  <c r="K14" i="3"/>
  <c r="N40" i="3"/>
  <c r="N39" i="3"/>
  <c r="V29" i="3"/>
  <c r="V28" i="3"/>
  <c r="O14" i="3"/>
  <c r="K40" i="3"/>
  <c r="K39" i="3"/>
  <c r="O40" i="3"/>
  <c r="O39" i="3"/>
  <c r="P38" i="3"/>
  <c r="M28" i="3"/>
  <c r="M29" i="3"/>
  <c r="G38" i="3"/>
  <c r="H38" i="3"/>
  <c r="U28" i="3"/>
  <c r="U29" i="3"/>
  <c r="R14" i="3"/>
  <c r="R28" i="3"/>
  <c r="R29" i="3"/>
  <c r="J28" i="3"/>
  <c r="J29" i="3"/>
  <c r="J39" i="3"/>
  <c r="J40" i="3"/>
  <c r="D14" i="3"/>
  <c r="O29" i="3"/>
  <c r="O28" i="3"/>
  <c r="C45" i="3" l="1"/>
  <c r="B45" i="3" s="1"/>
  <c r="K48" i="3"/>
  <c r="R32" i="3"/>
  <c r="M32" i="3"/>
  <c r="Q32" i="3"/>
  <c r="P32" i="3"/>
  <c r="B41" i="3"/>
  <c r="J46" i="3"/>
  <c r="K46" i="3"/>
  <c r="V32" i="3"/>
  <c r="W32" i="3"/>
  <c r="M46" i="3"/>
  <c r="O32" i="3"/>
  <c r="O46" i="3"/>
  <c r="N46" i="3"/>
  <c r="X32" i="3"/>
  <c r="C28" i="3"/>
  <c r="U32" i="3"/>
  <c r="K32" i="3"/>
  <c r="S32" i="3"/>
  <c r="C29" i="3"/>
  <c r="J32" i="3"/>
  <c r="H39" i="3"/>
  <c r="H40" i="3"/>
  <c r="G40" i="3"/>
  <c r="G39" i="3"/>
  <c r="P39" i="3"/>
  <c r="P40" i="3"/>
  <c r="Q38" i="3"/>
  <c r="H46" i="3" l="1"/>
  <c r="G46" i="3"/>
  <c r="P46" i="3"/>
  <c r="C32" i="3"/>
  <c r="R38" i="3"/>
  <c r="Q39" i="3"/>
  <c r="Q40" i="3"/>
  <c r="Q46" i="3" l="1"/>
  <c r="R39" i="3"/>
  <c r="R40" i="3"/>
  <c r="S38" i="3"/>
  <c r="R46" i="3" l="1"/>
  <c r="S40" i="3"/>
  <c r="S39" i="3"/>
  <c r="T38" i="3"/>
  <c r="S46" i="3" l="1"/>
  <c r="T39" i="3"/>
  <c r="T40" i="3"/>
  <c r="U38" i="3"/>
  <c r="T46" i="3" l="1"/>
  <c r="V38" i="3"/>
  <c r="U39" i="3"/>
  <c r="U40" i="3"/>
  <c r="U46" i="3" l="1"/>
  <c r="V40" i="3"/>
  <c r="V39" i="3"/>
  <c r="W38" i="3"/>
  <c r="V46" i="3" l="1"/>
  <c r="X38" i="3"/>
  <c r="C38" i="3" s="1"/>
  <c r="X42" i="3"/>
  <c r="W40" i="3"/>
  <c r="W39" i="3"/>
  <c r="C42" i="3" l="1"/>
  <c r="B42" i="3" s="1"/>
  <c r="W46" i="3"/>
  <c r="X39" i="3"/>
  <c r="X40" i="3"/>
  <c r="B38" i="3"/>
  <c r="C40" i="3" l="1"/>
  <c r="B40" i="3" s="1"/>
  <c r="C39" i="3"/>
  <c r="B39" i="3" s="1"/>
  <c r="X46" i="3"/>
  <c r="C46" i="3" s="1"/>
  <c r="N42" i="7" l="1"/>
  <c r="H42" i="7"/>
  <c r="P42" i="7"/>
  <c r="K42" i="7"/>
  <c r="Q42" i="7"/>
  <c r="R42" i="7"/>
  <c r="S42" i="7"/>
  <c r="U42" i="7"/>
  <c r="W42" i="7"/>
  <c r="E42" i="7"/>
  <c r="J42" i="7"/>
  <c r="I42" i="7"/>
  <c r="L42" i="7"/>
  <c r="G42" i="7"/>
  <c r="M42" i="7"/>
  <c r="F42" i="7"/>
  <c r="O42" i="7"/>
  <c r="T42" i="7"/>
  <c r="V42" i="7"/>
  <c r="X42" i="7"/>
  <c r="C39" i="7" l="1"/>
  <c r="B39" i="7" s="1"/>
  <c r="C42" i="7"/>
</calcChain>
</file>

<file path=xl/comments1.xml><?xml version="1.0" encoding="utf-8"?>
<comments xmlns="http://schemas.openxmlformats.org/spreadsheetml/2006/main">
  <authors>
    <author>t51527</author>
  </authors>
  <commentList>
    <comment ref="A6" authorId="0">
      <text>
        <r>
          <rPr>
            <b/>
            <sz val="9"/>
            <color indexed="81"/>
            <rFont val="Tahoma"/>
            <family val="2"/>
          </rPr>
          <t>t51527:</t>
        </r>
        <r>
          <rPr>
            <sz val="9"/>
            <color indexed="81"/>
            <rFont val="Tahoma"/>
            <family val="2"/>
          </rPr>
          <t xml:space="preserve">
preliminary estimate</t>
        </r>
      </text>
    </comment>
    <comment ref="C9" authorId="0">
      <text>
        <r>
          <rPr>
            <b/>
            <sz val="9"/>
            <color indexed="81"/>
            <rFont val="Tahoma"/>
            <family val="2"/>
          </rPr>
          <t>t51527:</t>
        </r>
        <r>
          <rPr>
            <sz val="9"/>
            <color indexed="81"/>
            <rFont val="Tahoma"/>
            <family val="2"/>
          </rPr>
          <t xml:space="preserve">
per high level analysis for PSF and Mascot</t>
        </r>
      </text>
    </comment>
    <comment ref="C15" authorId="0">
      <text>
        <r>
          <rPr>
            <b/>
            <sz val="9"/>
            <color indexed="81"/>
            <rFont val="Tahoma"/>
            <family val="2"/>
          </rPr>
          <t>t51527:</t>
        </r>
        <r>
          <rPr>
            <sz val="9"/>
            <color indexed="81"/>
            <rFont val="Tahoma"/>
            <family val="2"/>
          </rPr>
          <t xml:space="preserve">
assume higher contracted availability from traditional DR ($75-125/kW)</t>
        </r>
      </text>
    </comment>
  </commentList>
</comments>
</file>

<file path=xl/comments2.xml><?xml version="1.0" encoding="utf-8"?>
<comments xmlns="http://schemas.openxmlformats.org/spreadsheetml/2006/main">
  <authors>
    <author>t51527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t51527:</t>
        </r>
        <r>
          <rPr>
            <sz val="9"/>
            <color indexed="81"/>
            <rFont val="Tahoma"/>
            <family val="2"/>
          </rPr>
          <t xml:space="preserve">
deferral results in modest change in scope resulting in variation in cost</t>
        </r>
      </text>
    </comment>
  </commentList>
</comments>
</file>

<file path=xl/sharedStrings.xml><?xml version="1.0" encoding="utf-8"?>
<sst xmlns="http://schemas.openxmlformats.org/spreadsheetml/2006/main" count="1039" uniqueCount="153">
  <si>
    <t>Discount Rate</t>
  </si>
  <si>
    <t>16/17</t>
  </si>
  <si>
    <t>17/18</t>
  </si>
  <si>
    <t>18/19</t>
  </si>
  <si>
    <t>19/20</t>
  </si>
  <si>
    <t>20/21</t>
  </si>
  <si>
    <t>21/22</t>
  </si>
  <si>
    <t>22/23</t>
  </si>
  <si>
    <t>23/24</t>
  </si>
  <si>
    <t>24/25</t>
  </si>
  <si>
    <t>25/26</t>
  </si>
  <si>
    <t>26/27</t>
  </si>
  <si>
    <t>27/28</t>
  </si>
  <si>
    <t>28/29</t>
  </si>
  <si>
    <t>29/30</t>
  </si>
  <si>
    <t>30/31</t>
  </si>
  <si>
    <t>31/32</t>
  </si>
  <si>
    <t>32/33</t>
  </si>
  <si>
    <t>33/34</t>
  </si>
  <si>
    <t>34/35</t>
  </si>
  <si>
    <t>35/36</t>
  </si>
  <si>
    <t>36/37</t>
  </si>
  <si>
    <t>Project Cost</t>
  </si>
  <si>
    <t>Deferral value</t>
  </si>
  <si>
    <t>Rated life</t>
  </si>
  <si>
    <t>Benefits</t>
  </si>
  <si>
    <t>Value of Unserved Energy</t>
  </si>
  <si>
    <t>Annual Value of Safety Risk</t>
  </si>
  <si>
    <t>Annual Value of major repairs</t>
  </si>
  <si>
    <t>Total Benefit</t>
  </si>
  <si>
    <t>Total Cost</t>
  </si>
  <si>
    <t>Net Benefit</t>
  </si>
  <si>
    <t>EUE at DM</t>
  </si>
  <si>
    <t>Case - Preferred Network Option</t>
  </si>
  <si>
    <t>Item</t>
  </si>
  <si>
    <t>NPV</t>
  </si>
  <si>
    <r>
      <rPr>
        <sz val="10"/>
        <color theme="1"/>
        <rFont val="Calibri"/>
        <family val="2"/>
      </rPr>
      <t>∆</t>
    </r>
    <r>
      <rPr>
        <sz val="10"/>
        <color theme="1"/>
        <rFont val="Arial Narrow"/>
        <family val="2"/>
      </rPr>
      <t xml:space="preserve"> Unserved Energy</t>
    </r>
  </si>
  <si>
    <t>∆ Annual Value of Safety Risk</t>
  </si>
  <si>
    <t>∆ Annual Value of major repairs</t>
  </si>
  <si>
    <t>Residual Value</t>
  </si>
  <si>
    <t>∆ NPV</t>
  </si>
  <si>
    <t>DM Cost</t>
  </si>
  <si>
    <t>DM Impact on EUE</t>
  </si>
  <si>
    <t>Option value</t>
  </si>
  <si>
    <t>Total</t>
  </si>
  <si>
    <t>Leightonfield</t>
  </si>
  <si>
    <t>Lidcombe</t>
  </si>
  <si>
    <t>St Ives</t>
  </si>
  <si>
    <t>Project</t>
  </si>
  <si>
    <t>Change</t>
  </si>
  <si>
    <t>Total $</t>
  </si>
  <si>
    <t>19-24 $</t>
  </si>
  <si>
    <t>Concord</t>
  </si>
  <si>
    <t>Mascot</t>
  </si>
  <si>
    <t>9S6 9S9</t>
  </si>
  <si>
    <t>Hay-Pyr</t>
  </si>
  <si>
    <t>Discount rate</t>
  </si>
  <si>
    <t>Asset life</t>
  </si>
  <si>
    <t>years</t>
  </si>
  <si>
    <t>Pre-DM capex</t>
  </si>
  <si>
    <t>Capex by project size</t>
  </si>
  <si>
    <t>% $</t>
  </si>
  <si>
    <t>Projects &lt;$0.5m</t>
  </si>
  <si>
    <t>Projects $0.5-1.5m</t>
  </si>
  <si>
    <t>Projects &gt;$1.5m</t>
  </si>
  <si>
    <t>% viable for DM</t>
  </si>
  <si>
    <t>Small (&lt;$0.5m)</t>
  </si>
  <si>
    <t>Medium ($0.5-1.5m)</t>
  </si>
  <si>
    <t>Large (&gt;$1.5m)</t>
  </si>
  <si>
    <t>Assumed average DM period (deferral + LAR)</t>
  </si>
  <si>
    <t>1 yr deferral</t>
  </si>
  <si>
    <t>2 yr deferral</t>
  </si>
  <si>
    <t>1 yr LAR</t>
  </si>
  <si>
    <t>2 yr LAR</t>
  </si>
  <si>
    <t>Year 1 projects</t>
  </si>
  <si>
    <t>Year 2 projects</t>
  </si>
  <si>
    <t>Year 3 projects</t>
  </si>
  <si>
    <t>Year 4 projects</t>
  </si>
  <si>
    <t>Year 5 projects</t>
  </si>
  <si>
    <t>Year 1</t>
  </si>
  <si>
    <t>pre-DM</t>
  </si>
  <si>
    <t>post-DM</t>
  </si>
  <si>
    <t>Year 2</t>
  </si>
  <si>
    <t>Year 3</t>
  </si>
  <si>
    <t>Year 4</t>
  </si>
  <si>
    <t>Year 5</t>
  </si>
  <si>
    <t>Chg capex</t>
  </si>
  <si>
    <t>Post-DM capex</t>
  </si>
  <si>
    <t>HV Augex</t>
  </si>
  <si>
    <t>DM Opex</t>
  </si>
  <si>
    <t>Pre-DM Capex</t>
  </si>
  <si>
    <t>Post-DM Capex</t>
  </si>
  <si>
    <t xml:space="preserve">132kV feeders 9S6, 9S9 </t>
  </si>
  <si>
    <t>EUE for range of Demand reductions</t>
  </si>
  <si>
    <t>Dmd Reduction</t>
  </si>
  <si>
    <t>Case: Three Year Deferral + LAR</t>
  </si>
  <si>
    <t>DM Reduction (MW)</t>
  </si>
  <si>
    <t>% Reduction in Risk</t>
  </si>
  <si>
    <t>% Reduction in EUE</t>
  </si>
  <si>
    <t>St Ives SWG</t>
  </si>
  <si>
    <t>Mascot SWG</t>
  </si>
  <si>
    <t>Lidcombe SWG</t>
  </si>
  <si>
    <t>Leightonfield SWG</t>
  </si>
  <si>
    <t>Case - Three Year Deferral + LAR</t>
  </si>
  <si>
    <t>Concord SWG</t>
  </si>
  <si>
    <t>Assumptions</t>
  </si>
  <si>
    <t>Assume real option value as a function of the capex.  Assume escalates over time.</t>
  </si>
  <si>
    <t>Option  value</t>
  </si>
  <si>
    <t>share of total reduction required</t>
  </si>
  <si>
    <t>Permanent reductions</t>
  </si>
  <si>
    <t>Temporary reductions</t>
  </si>
  <si>
    <t>DM Types required</t>
  </si>
  <si>
    <t>Assume price declines by 5% pa</t>
  </si>
  <si>
    <t>HV Augex Program</t>
  </si>
  <si>
    <t>DM viable capex pre DM</t>
  </si>
  <si>
    <t>% Total Capex</t>
  </si>
  <si>
    <t>DM OPEX cost estimate</t>
  </si>
  <si>
    <t>DM total OPEX</t>
  </si>
  <si>
    <t>CAPEX Impact</t>
  </si>
  <si>
    <t>Real FY17$</t>
  </si>
  <si>
    <t>Demand Management 19-24 Summary (Real FY17$)</t>
  </si>
  <si>
    <t>Pre</t>
  </si>
  <si>
    <t>Post</t>
  </si>
  <si>
    <t>CPI indexes (real to real)</t>
  </si>
  <si>
    <t>2013-14</t>
  </si>
  <si>
    <t>2014-15</t>
  </si>
  <si>
    <t>2015-16</t>
  </si>
  <si>
    <t>2016-17</t>
  </si>
  <si>
    <t>2017-18</t>
  </si>
  <si>
    <t>2018-19</t>
  </si>
  <si>
    <t>2012-13</t>
  </si>
  <si>
    <t>calculated</t>
  </si>
  <si>
    <t>index</t>
  </si>
  <si>
    <r>
      <t>Table 1.</t>
    </r>
    <r>
      <rPr>
        <b/>
        <i/>
        <sz val="7"/>
        <color theme="1"/>
        <rFont val="Times New Roman"/>
        <family val="1"/>
      </rPr>
      <t xml:space="preserve">      </t>
    </r>
    <r>
      <rPr>
        <b/>
        <i/>
        <sz val="9"/>
        <color theme="1"/>
        <rFont val="Times New Roman"/>
        <family val="1"/>
      </rPr>
      <t>Forecast demand management operating expenditure ($m, in real FY17 terms)</t>
    </r>
  </si>
  <si>
    <r>
      <t>Table 1.</t>
    </r>
    <r>
      <rPr>
        <b/>
        <i/>
        <sz val="7"/>
        <color theme="1"/>
        <rFont val="Times New Roman"/>
        <family val="1"/>
      </rPr>
      <t xml:space="preserve">      </t>
    </r>
    <r>
      <rPr>
        <b/>
        <i/>
        <sz val="9"/>
        <color theme="1"/>
        <rFont val="Times New Roman"/>
        <family val="1"/>
      </rPr>
      <t>Forecast demand management operating expenditure ($m, in real FY19 terms)</t>
    </r>
  </si>
  <si>
    <t>2019-20</t>
  </si>
  <si>
    <t>2020-21</t>
  </si>
  <si>
    <t>2021-22</t>
  </si>
  <si>
    <t>2022-23</t>
  </si>
  <si>
    <t>2023-24</t>
  </si>
  <si>
    <t>Concord 11 kV SWG Rep</t>
  </si>
  <si>
    <t xml:space="preserve">Leightonfield 11 kV SWG Rep </t>
  </si>
  <si>
    <t>Lidcombe 11 kV SWG Rep</t>
  </si>
  <si>
    <t>Mascot 11kV SWG Rep</t>
  </si>
  <si>
    <t>St Ives 11kV SWG Rep</t>
  </si>
  <si>
    <t>Haymarket-Pyrmont 132 kV Feeder Rep</t>
  </si>
  <si>
    <t>HV Augmentation</t>
  </si>
  <si>
    <r>
      <t>Table 2.</t>
    </r>
    <r>
      <rPr>
        <b/>
        <i/>
        <sz val="7"/>
        <color theme="1"/>
        <rFont val="Times New Roman"/>
        <family val="1"/>
      </rPr>
      <t xml:space="preserve">      </t>
    </r>
    <r>
      <rPr>
        <b/>
        <i/>
        <sz val="9"/>
        <color theme="1"/>
        <rFont val="Times New Roman"/>
        <family val="1"/>
      </rPr>
      <t>Demand management project capex impact ($m, in real FY17 terms)</t>
    </r>
  </si>
  <si>
    <r>
      <t>Table 2.</t>
    </r>
    <r>
      <rPr>
        <b/>
        <i/>
        <sz val="7"/>
        <color theme="1"/>
        <rFont val="Times New Roman"/>
        <family val="1"/>
      </rPr>
      <t xml:space="preserve">      </t>
    </r>
    <r>
      <rPr>
        <b/>
        <i/>
        <sz val="9"/>
        <color theme="1"/>
        <rFont val="Times New Roman"/>
        <family val="1"/>
      </rPr>
      <t>Demand management project capex impact ($m, in real FY19 terms)</t>
    </r>
  </si>
  <si>
    <t>Pre DM</t>
  </si>
  <si>
    <t>Pre DM capex</t>
  </si>
  <si>
    <t>Post DM</t>
  </si>
  <si>
    <t>Post DM capex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</si>
</sst>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#"/>
    <numFmt numFmtId="165" formatCode="0.0\ &quot;MW&quot;"/>
    <numFmt numFmtId="166" formatCode="_-&quot;$&quot;* #,##0_-;\-&quot;$&quot;* #,##0_-;_-&quot;$&quot;* &quot;-&quot;??_-;_-@_-"/>
    <numFmt numFmtId="167" formatCode="&quot;$&quot;#,##0.0"/>
    <numFmt numFmtId="168" formatCode="0.0%"/>
    <numFmt numFmtId="169" formatCode="&quot;$&quot;#,##0"/>
    <numFmt numFmtId="170" formatCode="_-* #,##0_-;\-* #,##0_-;_-* &quot;-&quot;??_-;_-@_-"/>
    <numFmt numFmtId="171" formatCode="_(#,##0_);\(#,##0\);_(&quot;-&quot;_)"/>
    <numFmt numFmtId="172" formatCode="_(#,##0.0000_);\(#,##0.0000\);_(&quot;-&quot;_)"/>
    <numFmt numFmtId="173" formatCode="_(#,##0.000_);\(#,##0.000\);_(&quot;-&quot;_)"/>
    <numFmt numFmtId="174" formatCode="#,##0.0"/>
  </numFmts>
  <fonts count="33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sz val="10"/>
      <color rgb="FF0000FF"/>
      <name val="Arial Narrow"/>
      <family val="2"/>
    </font>
    <font>
      <b/>
      <sz val="10"/>
      <color rgb="FFFF0000"/>
      <name val="Arial Narrow"/>
      <family val="2"/>
    </font>
    <font>
      <b/>
      <sz val="10"/>
      <color rgb="FF0000FF"/>
      <name val="Arial Narrow"/>
      <family val="2"/>
    </font>
    <font>
      <sz val="10"/>
      <name val="Arial Narrow"/>
      <family val="2"/>
    </font>
    <font>
      <sz val="10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name val="Arial"/>
      <family val="2"/>
    </font>
    <font>
      <b/>
      <i/>
      <sz val="9"/>
      <color theme="1"/>
      <name val="Times New Roman"/>
      <family val="1"/>
    </font>
    <font>
      <b/>
      <i/>
      <sz val="7"/>
      <color theme="1"/>
      <name val="Times New Roman"/>
      <family val="1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D5D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65A6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/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</borders>
  <cellStyleXfs count="79">
    <xf numFmtId="3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" fontId="4" fillId="2" borderId="0"/>
    <xf numFmtId="0" fontId="13" fillId="3" borderId="0"/>
    <xf numFmtId="0" fontId="14" fillId="4" borderId="0"/>
    <xf numFmtId="3" fontId="4" fillId="5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" fillId="0" borderId="0"/>
    <xf numFmtId="3" fontId="4" fillId="6" borderId="0"/>
    <xf numFmtId="3" fontId="4" fillId="7" borderId="0"/>
    <xf numFmtId="0" fontId="14" fillId="8" borderId="0"/>
    <xf numFmtId="0" fontId="4" fillId="9" borderId="0"/>
    <xf numFmtId="3" fontId="4" fillId="0" borderId="0"/>
    <xf numFmtId="9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25" fillId="0" borderId="3">
      <alignment horizontal="right" vertical="center"/>
      <protection locked="0"/>
    </xf>
  </cellStyleXfs>
  <cellXfs count="124">
    <xf numFmtId="3" fontId="0" fillId="0" borderId="0" xfId="0"/>
    <xf numFmtId="3" fontId="5" fillId="0" borderId="0" xfId="0" applyFont="1"/>
    <xf numFmtId="3" fontId="6" fillId="0" borderId="0" xfId="0" applyFont="1" applyFill="1"/>
    <xf numFmtId="3" fontId="6" fillId="0" borderId="0" xfId="0" applyFont="1"/>
    <xf numFmtId="10" fontId="7" fillId="0" borderId="0" xfId="0" applyNumberFormat="1" applyFont="1" applyFill="1" applyBorder="1"/>
    <xf numFmtId="3" fontId="6" fillId="0" borderId="0" xfId="0" quotePrefix="1" applyFont="1" applyAlignment="1">
      <alignment horizontal="center"/>
    </xf>
    <xf numFmtId="3" fontId="6" fillId="0" borderId="0" xfId="0" quotePrefix="1" applyFont="1"/>
    <xf numFmtId="3" fontId="8" fillId="0" borderId="0" xfId="0" applyNumberFormat="1" applyFont="1" applyFill="1"/>
    <xf numFmtId="3" fontId="7" fillId="0" borderId="0" xfId="0" applyNumberFormat="1" applyFont="1" applyFill="1"/>
    <xf numFmtId="3" fontId="9" fillId="0" borderId="0" xfId="0" applyFont="1"/>
    <xf numFmtId="3" fontId="6" fillId="0" borderId="1" xfId="0" applyFont="1" applyBorder="1"/>
    <xf numFmtId="3" fontId="6" fillId="0" borderId="1" xfId="0" applyFont="1" applyFill="1" applyBorder="1" applyAlignment="1">
      <alignment horizontal="center"/>
    </xf>
    <xf numFmtId="3" fontId="6" fillId="0" borderId="0" xfId="0" applyNumberFormat="1" applyFont="1"/>
    <xf numFmtId="3" fontId="6" fillId="0" borderId="1" xfId="0" applyFont="1" applyFill="1" applyBorder="1"/>
    <xf numFmtId="3" fontId="6" fillId="0" borderId="0" xfId="0" applyFont="1" applyBorder="1"/>
    <xf numFmtId="3" fontId="6" fillId="0" borderId="0" xfId="0" applyFont="1" applyFill="1" applyBorder="1"/>
    <xf numFmtId="3" fontId="10" fillId="0" borderId="0" xfId="0" applyNumberFormat="1" applyFont="1" applyFill="1" applyAlignment="1">
      <alignment horizontal="center"/>
    </xf>
    <xf numFmtId="3" fontId="10" fillId="0" borderId="0" xfId="0" applyNumberFormat="1" applyFont="1" applyFill="1"/>
    <xf numFmtId="3" fontId="5" fillId="0" borderId="1" xfId="0" applyFont="1" applyBorder="1"/>
    <xf numFmtId="3" fontId="7" fillId="0" borderId="1" xfId="0" applyNumberFormat="1" applyFont="1" applyFill="1" applyBorder="1" applyAlignment="1">
      <alignment horizontal="center"/>
    </xf>
    <xf numFmtId="165" fontId="7" fillId="0" borderId="0" xfId="0" applyNumberFormat="1" applyFont="1" applyFill="1" applyAlignment="1">
      <alignment horizontal="center"/>
    </xf>
    <xf numFmtId="3" fontId="11" fillId="0" borderId="0" xfId="0" applyNumberFormat="1" applyFont="1" applyFill="1"/>
    <xf numFmtId="3" fontId="5" fillId="0" borderId="0" xfId="0" applyFont="1" applyFill="1" applyAlignment="1">
      <alignment horizontal="left"/>
    </xf>
    <xf numFmtId="3" fontId="5" fillId="0" borderId="0" xfId="0" applyFont="1" applyFill="1" applyAlignment="1">
      <alignment horizontal="right"/>
    </xf>
    <xf numFmtId="6" fontId="8" fillId="0" borderId="0" xfId="1" applyNumberFormat="1" applyFont="1" applyFill="1"/>
    <xf numFmtId="3" fontId="5" fillId="0" borderId="0" xfId="0" applyFont="1" applyFill="1" applyAlignment="1">
      <alignment horizontal="center"/>
    </xf>
    <xf numFmtId="3" fontId="6" fillId="0" borderId="0" xfId="0" applyNumberFormat="1" applyFont="1" applyFill="1"/>
    <xf numFmtId="3" fontId="6" fillId="0" borderId="1" xfId="0" applyFont="1" applyBorder="1" applyAlignment="1">
      <alignment horizontal="center"/>
    </xf>
    <xf numFmtId="166" fontId="8" fillId="0" borderId="0" xfId="1" applyNumberFormat="1" applyFont="1" applyFill="1"/>
    <xf numFmtId="3" fontId="6" fillId="0" borderId="0" xfId="0" applyFont="1" applyFill="1" applyAlignment="1">
      <alignment horizontal="right"/>
    </xf>
    <xf numFmtId="9" fontId="8" fillId="0" borderId="0" xfId="2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  <xf numFmtId="3" fontId="6" fillId="0" borderId="0" xfId="0" applyFont="1" applyAlignment="1">
      <alignment horizontal="right"/>
    </xf>
    <xf numFmtId="168" fontId="8" fillId="0" borderId="0" xfId="2" applyNumberFormat="1" applyFont="1" applyAlignment="1">
      <alignment horizontal="center"/>
    </xf>
    <xf numFmtId="3" fontId="11" fillId="0" borderId="0" xfId="7" applyNumberFormat="1" applyFont="1" applyFill="1"/>
    <xf numFmtId="6" fontId="7" fillId="0" borderId="0" xfId="1" applyNumberFormat="1" applyFont="1" applyFill="1"/>
    <xf numFmtId="169" fontId="7" fillId="0" borderId="0" xfId="1" applyNumberFormat="1" applyFont="1" applyFill="1"/>
    <xf numFmtId="3" fontId="6" fillId="0" borderId="0" xfId="0" applyFont="1" applyAlignment="1">
      <alignment horizontal="center"/>
    </xf>
    <xf numFmtId="166" fontId="9" fillId="0" borderId="0" xfId="1" applyNumberFormat="1" applyFont="1"/>
    <xf numFmtId="166" fontId="10" fillId="0" borderId="0" xfId="1" applyNumberFormat="1" applyFont="1"/>
    <xf numFmtId="167" fontId="11" fillId="0" borderId="0" xfId="0" applyNumberFormat="1" applyFont="1" applyAlignment="1">
      <alignment horizontal="center"/>
    </xf>
    <xf numFmtId="3" fontId="0" fillId="0" borderId="0" xfId="0" applyFont="1"/>
    <xf numFmtId="3" fontId="6" fillId="0" borderId="0" xfId="0" applyFont="1" applyFill="1" applyAlignment="1">
      <alignment horizontal="center"/>
    </xf>
    <xf numFmtId="6" fontId="8" fillId="0" borderId="1" xfId="1" applyNumberFormat="1" applyFont="1" applyFill="1" applyBorder="1"/>
    <xf numFmtId="165" fontId="9" fillId="0" borderId="0" xfId="0" applyNumberFormat="1" applyFont="1" applyFill="1"/>
    <xf numFmtId="166" fontId="8" fillId="0" borderId="1" xfId="1" applyNumberFormat="1" applyFont="1" applyFill="1" applyBorder="1"/>
    <xf numFmtId="6" fontId="8" fillId="0" borderId="0" xfId="1" applyNumberFormat="1" applyFont="1" applyFill="1" applyBorder="1"/>
    <xf numFmtId="9" fontId="7" fillId="0" borderId="0" xfId="2" applyFont="1" applyAlignment="1">
      <alignment horizontal="center"/>
    </xf>
    <xf numFmtId="9" fontId="8" fillId="0" borderId="0" xfId="2" applyFont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9" fontId="8" fillId="0" borderId="0" xfId="1" applyNumberFormat="1" applyFont="1" applyFill="1"/>
    <xf numFmtId="169" fontId="8" fillId="0" borderId="1" xfId="1" applyNumberFormat="1" applyFont="1" applyFill="1" applyBorder="1"/>
    <xf numFmtId="169" fontId="8" fillId="10" borderId="0" xfId="1" applyNumberFormat="1" applyFont="1" applyFill="1"/>
    <xf numFmtId="169" fontId="7" fillId="10" borderId="0" xfId="1" applyNumberFormat="1" applyFont="1" applyFill="1"/>
    <xf numFmtId="169" fontId="7" fillId="0" borderId="1" xfId="1" applyNumberFormat="1" applyFont="1" applyFill="1" applyBorder="1"/>
    <xf numFmtId="169" fontId="7" fillId="10" borderId="1" xfId="1" applyNumberFormat="1" applyFont="1" applyFill="1" applyBorder="1"/>
    <xf numFmtId="164" fontId="5" fillId="0" borderId="0" xfId="0" applyNumberFormat="1" applyFont="1" applyBorder="1" applyAlignment="1">
      <alignment horizontal="center"/>
    </xf>
    <xf numFmtId="169" fontId="10" fillId="0" borderId="0" xfId="1" applyNumberFormat="1" applyFont="1" applyFill="1"/>
    <xf numFmtId="169" fontId="10" fillId="10" borderId="0" xfId="1" applyNumberFormat="1" applyFont="1" applyFill="1"/>
    <xf numFmtId="164" fontId="5" fillId="0" borderId="1" xfId="0" applyNumberFormat="1" applyFont="1" applyBorder="1" applyAlignment="1">
      <alignment horizontal="center"/>
    </xf>
    <xf numFmtId="169" fontId="10" fillId="0" borderId="1" xfId="1" applyNumberFormat="1" applyFont="1" applyFill="1" applyBorder="1"/>
    <xf numFmtId="169" fontId="10" fillId="10" borderId="1" xfId="1" applyNumberFormat="1" applyFont="1" applyFill="1" applyBorder="1"/>
    <xf numFmtId="0" fontId="1" fillId="0" borderId="0" xfId="74"/>
    <xf numFmtId="9" fontId="3" fillId="0" borderId="0" xfId="75" applyFont="1" applyAlignment="1">
      <alignment horizontal="center"/>
    </xf>
    <xf numFmtId="0" fontId="1" fillId="0" borderId="0" xfId="74" applyAlignment="1">
      <alignment horizontal="center"/>
    </xf>
    <xf numFmtId="1" fontId="3" fillId="0" borderId="0" xfId="75" applyNumberFormat="1" applyFont="1" applyAlignment="1">
      <alignment horizontal="center"/>
    </xf>
    <xf numFmtId="9" fontId="3" fillId="0" borderId="0" xfId="75" applyFont="1" applyAlignment="1">
      <alignment horizontal="left"/>
    </xf>
    <xf numFmtId="10" fontId="8" fillId="0" borderId="0" xfId="75" applyNumberFormat="1" applyFont="1" applyFill="1" applyAlignment="1">
      <alignment horizontal="center"/>
    </xf>
    <xf numFmtId="3" fontId="6" fillId="0" borderId="0" xfId="74" quotePrefix="1" applyNumberFormat="1" applyFont="1" applyBorder="1" applyAlignment="1">
      <alignment horizontal="center"/>
    </xf>
    <xf numFmtId="0" fontId="20" fillId="0" borderId="0" xfId="74" applyFont="1"/>
    <xf numFmtId="169" fontId="10" fillId="0" borderId="0" xfId="76" applyNumberFormat="1" applyFont="1" applyFill="1" applyBorder="1" applyAlignment="1">
      <alignment horizontal="center"/>
    </xf>
    <xf numFmtId="169" fontId="8" fillId="0" borderId="0" xfId="76" applyNumberFormat="1" applyFont="1" applyFill="1" applyBorder="1" applyAlignment="1">
      <alignment horizontal="center"/>
    </xf>
    <xf numFmtId="169" fontId="7" fillId="0" borderId="0" xfId="76" applyNumberFormat="1" applyFont="1" applyFill="1" applyBorder="1" applyAlignment="1">
      <alignment horizontal="center"/>
    </xf>
    <xf numFmtId="9" fontId="16" fillId="0" borderId="0" xfId="75" applyFont="1" applyAlignment="1">
      <alignment horizontal="center"/>
    </xf>
    <xf numFmtId="0" fontId="1" fillId="0" borderId="0" xfId="74" applyFont="1"/>
    <xf numFmtId="9" fontId="21" fillId="0" borderId="0" xfId="75" applyFont="1" applyAlignment="1">
      <alignment horizontal="center"/>
    </xf>
    <xf numFmtId="169" fontId="1" fillId="0" borderId="0" xfId="74" applyNumberFormat="1"/>
    <xf numFmtId="3" fontId="14" fillId="0" borderId="0" xfId="0" applyFont="1"/>
    <xf numFmtId="164" fontId="5" fillId="10" borderId="1" xfId="0" applyNumberFormat="1" applyFont="1" applyFill="1" applyBorder="1" applyAlignment="1">
      <alignment horizontal="center"/>
    </xf>
    <xf numFmtId="9" fontId="17" fillId="0" borderId="0" xfId="75" applyFont="1" applyAlignment="1">
      <alignment horizontal="center"/>
    </xf>
    <xf numFmtId="3" fontId="6" fillId="0" borderId="1" xfId="0" quotePrefix="1" applyFont="1" applyBorder="1" applyAlignment="1">
      <alignment horizontal="center"/>
    </xf>
    <xf numFmtId="3" fontId="5" fillId="0" borderId="1" xfId="0" applyFont="1" applyBorder="1" applyAlignment="1">
      <alignment horizontal="center"/>
    </xf>
    <xf numFmtId="169" fontId="7" fillId="0" borderId="0" xfId="0" applyNumberFormat="1" applyFont="1" applyFill="1"/>
    <xf numFmtId="169" fontId="8" fillId="0" borderId="0" xfId="0" applyNumberFormat="1" applyFont="1" applyFill="1"/>
    <xf numFmtId="169" fontId="7" fillId="0" borderId="1" xfId="0" applyNumberFormat="1" applyFont="1" applyFill="1" applyBorder="1"/>
    <xf numFmtId="165" fontId="9" fillId="0" borderId="0" xfId="0" applyNumberFormat="1" applyFont="1" applyFill="1" applyAlignment="1">
      <alignment horizontal="center"/>
    </xf>
    <xf numFmtId="169" fontId="8" fillId="0" borderId="1" xfId="0" applyNumberFormat="1" applyFont="1" applyFill="1" applyBorder="1"/>
    <xf numFmtId="3" fontId="6" fillId="0" borderId="0" xfId="0" applyFont="1" applyAlignment="1">
      <alignment horizontal="left"/>
    </xf>
    <xf numFmtId="3" fontId="7" fillId="0" borderId="0" xfId="0" applyNumberFormat="1" applyFont="1" applyFill="1" applyAlignment="1">
      <alignment horizontal="center"/>
    </xf>
    <xf numFmtId="6" fontId="7" fillId="0" borderId="1" xfId="1" applyNumberFormat="1" applyFont="1" applyFill="1" applyBorder="1"/>
    <xf numFmtId="3" fontId="6" fillId="0" borderId="2" xfId="0" quotePrefix="1" applyFont="1" applyBorder="1" applyAlignment="1">
      <alignment horizontal="center"/>
    </xf>
    <xf numFmtId="3" fontId="6" fillId="0" borderId="0" xfId="0" applyFont="1" applyFill="1" applyAlignment="1">
      <alignment horizontal="left"/>
    </xf>
    <xf numFmtId="164" fontId="6" fillId="0" borderId="0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9" fontId="6" fillId="0" borderId="0" xfId="2" applyFont="1"/>
    <xf numFmtId="170" fontId="22" fillId="0" borderId="0" xfId="0" applyNumberFormat="1" applyFont="1" applyProtection="1"/>
    <xf numFmtId="170" fontId="23" fillId="0" borderId="0" xfId="0" applyNumberFormat="1" applyFont="1" applyProtection="1"/>
    <xf numFmtId="170" fontId="24" fillId="0" borderId="0" xfId="0" applyNumberFormat="1" applyFont="1" applyAlignment="1" applyProtection="1">
      <alignment horizontal="center"/>
    </xf>
    <xf numFmtId="170" fontId="23" fillId="0" borderId="1" xfId="0" applyNumberFormat="1" applyFont="1" applyBorder="1" applyAlignment="1" applyProtection="1">
      <alignment horizontal="center"/>
    </xf>
    <xf numFmtId="172" fontId="25" fillId="0" borderId="0" xfId="78" applyNumberFormat="1" applyFont="1" applyFill="1" applyBorder="1" applyAlignment="1" applyProtection="1">
      <alignment horizontal="center" vertical="center"/>
    </xf>
    <xf numFmtId="170" fontId="23" fillId="0" borderId="0" xfId="0" applyNumberFormat="1" applyFont="1" applyBorder="1" applyAlignment="1" applyProtection="1">
      <alignment horizontal="center"/>
    </xf>
    <xf numFmtId="170" fontId="22" fillId="0" borderId="0" xfId="0" applyNumberFormat="1" applyFont="1" applyAlignment="1" applyProtection="1">
      <alignment horizontal="left" indent="1"/>
    </xf>
    <xf numFmtId="170" fontId="24" fillId="0" borderId="0" xfId="77" applyNumberFormat="1" applyFont="1" applyAlignment="1" applyProtection="1">
      <alignment horizontal="center"/>
    </xf>
    <xf numFmtId="173" fontId="25" fillId="0" borderId="0" xfId="78" applyNumberFormat="1" applyFont="1" applyFill="1" applyBorder="1" applyAlignment="1" applyProtection="1">
      <alignment horizontal="center" vertical="center"/>
    </xf>
    <xf numFmtId="170" fontId="22" fillId="0" borderId="0" xfId="0" applyNumberFormat="1" applyFont="1" applyBorder="1" applyProtection="1"/>
    <xf numFmtId="170" fontId="22" fillId="0" borderId="0" xfId="0" applyNumberFormat="1" applyFont="1" applyAlignment="1" applyProtection="1"/>
    <xf numFmtId="173" fontId="25" fillId="11" borderId="0" xfId="78" applyNumberFormat="1" applyFont="1" applyFill="1" applyBorder="1" applyAlignment="1" applyProtection="1">
      <alignment horizontal="center" vertical="center"/>
    </xf>
    <xf numFmtId="3" fontId="28" fillId="12" borderId="4" xfId="0" applyFont="1" applyFill="1" applyBorder="1" applyAlignment="1">
      <alignment vertical="center" wrapText="1"/>
    </xf>
    <xf numFmtId="3" fontId="29" fillId="13" borderId="5" xfId="0" applyFont="1" applyFill="1" applyBorder="1" applyAlignment="1">
      <alignment horizontal="justify" vertical="center" wrapText="1"/>
    </xf>
    <xf numFmtId="4" fontId="29" fillId="14" borderId="6" xfId="0" applyNumberFormat="1" applyFont="1" applyFill="1" applyBorder="1" applyAlignment="1">
      <alignment horizontal="center" vertical="center" wrapText="1"/>
    </xf>
    <xf numFmtId="4" fontId="30" fillId="14" borderId="6" xfId="0" applyNumberFormat="1" applyFont="1" applyFill="1" applyBorder="1" applyAlignment="1">
      <alignment horizontal="center" vertical="center" wrapText="1"/>
    </xf>
    <xf numFmtId="3" fontId="30" fillId="13" borderId="5" xfId="0" applyFont="1" applyFill="1" applyBorder="1" applyAlignment="1">
      <alignment horizontal="justify" vertical="center" wrapText="1"/>
    </xf>
    <xf numFmtId="3" fontId="31" fillId="0" borderId="0" xfId="0" applyFont="1" applyAlignment="1">
      <alignment vertical="center"/>
    </xf>
    <xf numFmtId="3" fontId="29" fillId="14" borderId="4" xfId="0" applyFont="1" applyFill="1" applyBorder="1" applyAlignment="1">
      <alignment horizontal="center" vertical="center" wrapText="1"/>
    </xf>
    <xf numFmtId="3" fontId="29" fillId="14" borderId="0" xfId="0" applyFont="1" applyFill="1" applyAlignment="1">
      <alignment horizontal="center" vertical="center" wrapText="1"/>
    </xf>
    <xf numFmtId="3" fontId="32" fillId="0" borderId="0" xfId="0" applyFont="1" applyAlignment="1">
      <alignment horizontal="left" vertical="center" indent="4"/>
    </xf>
    <xf numFmtId="174" fontId="29" fillId="14" borderId="6" xfId="0" applyNumberFormat="1" applyFont="1" applyFill="1" applyBorder="1" applyAlignment="1">
      <alignment horizontal="center" vertical="center" wrapText="1"/>
    </xf>
    <xf numFmtId="174" fontId="30" fillId="14" borderId="6" xfId="0" applyNumberFormat="1" applyFont="1" applyFill="1" applyBorder="1" applyAlignment="1">
      <alignment horizontal="center" vertical="center" wrapText="1"/>
    </xf>
    <xf numFmtId="3" fontId="0" fillId="15" borderId="0" xfId="0" applyFill="1"/>
    <xf numFmtId="3" fontId="30" fillId="13" borderId="7" xfId="0" applyFont="1" applyFill="1" applyBorder="1" applyAlignment="1">
      <alignment horizontal="justify" vertical="center" wrapText="1"/>
    </xf>
    <xf numFmtId="3" fontId="30" fillId="13" borderId="5" xfId="0" applyFont="1" applyFill="1" applyBorder="1" applyAlignment="1">
      <alignment horizontal="justify" vertical="center" wrapText="1"/>
    </xf>
    <xf numFmtId="3" fontId="29" fillId="13" borderId="7" xfId="0" applyFont="1" applyFill="1" applyBorder="1" applyAlignment="1">
      <alignment horizontal="justify" vertical="center" wrapText="1"/>
    </xf>
    <xf numFmtId="3" fontId="29" fillId="13" borderId="5" xfId="0" applyFont="1" applyFill="1" applyBorder="1" applyAlignment="1">
      <alignment horizontal="justify" vertical="center" wrapText="1"/>
    </xf>
    <xf numFmtId="3" fontId="26" fillId="0" borderId="0" xfId="0" applyFont="1" applyAlignment="1">
      <alignment horizontal="left" vertical="center"/>
    </xf>
  </cellXfs>
  <cellStyles count="79">
    <cellStyle name="Assumptions Right Number" xfId="78"/>
    <cellStyle name="Calculation Cell" xfId="3"/>
    <cellStyle name="Comma" xfId="77" builtinId="3"/>
    <cellStyle name="Currency" xfId="1" builtinId="4"/>
    <cellStyle name="Currency 2" xfId="38"/>
    <cellStyle name="Currency 3" xfId="62"/>
    <cellStyle name="Currency 4" xfId="66"/>
    <cellStyle name="Currency 5" xfId="70"/>
    <cellStyle name="Currency 6" xfId="76"/>
    <cellStyle name="Header 1" xfId="4"/>
    <cellStyle name="Header 2" xfId="5"/>
    <cellStyle name="Input Cell" xfId="6"/>
    <cellStyle name="Normal" xfId="0" builtinId="0"/>
    <cellStyle name="Normal 2" xfId="7"/>
    <cellStyle name="Normal 2 2" xfId="8"/>
    <cellStyle name="Normal 2 2 2" xfId="9"/>
    <cellStyle name="Normal 2 2 2 2" xfId="10"/>
    <cellStyle name="Normal 2 2 2 2 2" xfId="39"/>
    <cellStyle name="Normal 2 2 2 3" xfId="40"/>
    <cellStyle name="Normal 2 2 3" xfId="11"/>
    <cellStyle name="Normal 2 2 3 2" xfId="12"/>
    <cellStyle name="Normal 2 2 3 2 2" xfId="41"/>
    <cellStyle name="Normal 2 2 3 3" xfId="42"/>
    <cellStyle name="Normal 2 2 4" xfId="13"/>
    <cellStyle name="Normal 2 2 4 2" xfId="43"/>
    <cellStyle name="Normal 2 2 5" xfId="14"/>
    <cellStyle name="Normal 2 2 5 2" xfId="44"/>
    <cellStyle name="Normal 2 2 6" xfId="45"/>
    <cellStyle name="Normal 2 3" xfId="15"/>
    <cellStyle name="Normal 2 3 2" xfId="16"/>
    <cellStyle name="Normal 2 3 2 2" xfId="46"/>
    <cellStyle name="Normal 2 3 3" xfId="47"/>
    <cellStyle name="Normal 2 4" xfId="17"/>
    <cellStyle name="Normal 2 4 2" xfId="18"/>
    <cellStyle name="Normal 2 4 2 2" xfId="48"/>
    <cellStyle name="Normal 2 4 3" xfId="49"/>
    <cellStyle name="Normal 2 5" xfId="19"/>
    <cellStyle name="Normal 2 5 2" xfId="50"/>
    <cellStyle name="Normal 2 6" xfId="20"/>
    <cellStyle name="Normal 2 6 2" xfId="51"/>
    <cellStyle name="Normal 2 7" xfId="52"/>
    <cellStyle name="Normal 3" xfId="21"/>
    <cellStyle name="Normal 3 2" xfId="22"/>
    <cellStyle name="Normal 3 2 2" xfId="23"/>
    <cellStyle name="Normal 3 2 2 2" xfId="53"/>
    <cellStyle name="Normal 3 2 3" xfId="54"/>
    <cellStyle name="Normal 3 3" xfId="24"/>
    <cellStyle name="Normal 3 3 2" xfId="25"/>
    <cellStyle name="Normal 3 3 2 2" xfId="55"/>
    <cellStyle name="Normal 3 3 3" xfId="56"/>
    <cellStyle name="Normal 3 4" xfId="26"/>
    <cellStyle name="Normal 3 4 2" xfId="57"/>
    <cellStyle name="Normal 3 5" xfId="27"/>
    <cellStyle name="Normal 3 5 2" xfId="58"/>
    <cellStyle name="Normal 3 6" xfId="28"/>
    <cellStyle name="Normal 3 6 2" xfId="59"/>
    <cellStyle name="Normal 3 7" xfId="29"/>
    <cellStyle name="Normal 3 8" xfId="30"/>
    <cellStyle name="Normal 3 8 2" xfId="60"/>
    <cellStyle name="Normal 3 9" xfId="61"/>
    <cellStyle name="Normal 4" xfId="31"/>
    <cellStyle name="Normal 4 2" xfId="36"/>
    <cellStyle name="Normal 4 3" xfId="67"/>
    <cellStyle name="Normal 4 4" xfId="71"/>
    <cellStyle name="Normal 5" xfId="63"/>
    <cellStyle name="Normal 6" xfId="64"/>
    <cellStyle name="Normal 7" xfId="68"/>
    <cellStyle name="Normal 8" xfId="72"/>
    <cellStyle name="Normal 9" xfId="74"/>
    <cellStyle name="Output Cell" xfId="32"/>
    <cellStyle name="Parameter Cell" xfId="33"/>
    <cellStyle name="Percent" xfId="2" builtinId="5"/>
    <cellStyle name="Percent 2" xfId="37"/>
    <cellStyle name="Percent 3" xfId="65"/>
    <cellStyle name="Percent 4" xfId="69"/>
    <cellStyle name="Percent 5" xfId="73"/>
    <cellStyle name="Percent 6" xfId="75"/>
    <cellStyle name="Table Header" xfId="34"/>
    <cellStyle name="Table Row Name" xfId="3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527161</xdr:colOff>
      <xdr:row>52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10841" cy="10058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44605/AppData/Local/Temp/notes2D1CD1/CBA_result_9E4_4_925_4(Winter%20case)-DM_R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44605\AppData\Local\Temp\notes2D1CD1\CBA_result_9E4_4_925_4(Winter%20case)-DM_RW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46440\AppData\Local\Microsoft\Windows\Temporary%20Internet%20Files\Content.Outlook\QCMM1G8B\132kV%20feeder%20projects\P10-9SE\CBA%20FEEDER_9SE_CHECK_removed41&amp;42_withoutLT_N-3_removeN-2P-DM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46440/AppData/Local/Microsoft/Windows/Temporary%20Internet%20Files/Content.Outlook/QCMM1G8B/132kV%20feeder%20projects/P10-9SE/CBA%20FEEDER_9SE_CHECK_removed41&amp;42_withoutLT_N-3_removeN-2P-D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puts"/>
      <sheetName val="Capital and decom calc"/>
      <sheetName val="Opex calc"/>
      <sheetName val="Market benefit calc"/>
      <sheetName val="NPV calc"/>
      <sheetName val="Staging calc"/>
      <sheetName val="Cable cost_reliability"/>
      <sheetName val="DM Assessment"/>
      <sheetName val="NPV analysis"/>
      <sheetName val="Format Rachele"/>
      <sheetName val="11kV SG-NPV"/>
      <sheetName val="11kV SG"/>
    </sheetNames>
    <sheetDataSet>
      <sheetData sheetId="0" refreshError="1"/>
      <sheetData sheetId="1">
        <row r="10">
          <cell r="E10" t="str">
            <v>Core</v>
          </cell>
        </row>
        <row r="23">
          <cell r="E23">
            <v>2017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18">
          <cell r="D18">
            <v>1949199828.7167273</v>
          </cell>
          <cell r="E18">
            <v>2018</v>
          </cell>
          <cell r="Q18">
            <v>2019</v>
          </cell>
        </row>
        <row r="19">
          <cell r="D19">
            <v>1898334384.4097254</v>
          </cell>
          <cell r="E19">
            <v>2019</v>
          </cell>
        </row>
        <row r="20">
          <cell r="D20">
            <v>1841379913.9763851</v>
          </cell>
          <cell r="E20">
            <v>2020</v>
          </cell>
        </row>
        <row r="21">
          <cell r="D21">
            <v>1776066647.1039276</v>
          </cell>
          <cell r="E21">
            <v>2021</v>
          </cell>
        </row>
        <row r="22">
          <cell r="D22">
            <v>1701396924.9905519</v>
          </cell>
          <cell r="E22">
            <v>2022</v>
          </cell>
        </row>
        <row r="23">
          <cell r="D23">
            <v>1616550734.6265798</v>
          </cell>
          <cell r="E23">
            <v>2023</v>
          </cell>
        </row>
        <row r="24">
          <cell r="D24">
            <v>1520446551.1087463</v>
          </cell>
          <cell r="E24">
            <v>2024</v>
          </cell>
        </row>
        <row r="25">
          <cell r="D25">
            <v>1412404767.223033</v>
          </cell>
          <cell r="E25">
            <v>2025</v>
          </cell>
        </row>
        <row r="26">
          <cell r="D26">
            <v>1291696654.5876837</v>
          </cell>
          <cell r="E26">
            <v>2026</v>
          </cell>
        </row>
        <row r="27">
          <cell r="D27">
            <v>1156977099.6511905</v>
          </cell>
          <cell r="E27">
            <v>2027</v>
          </cell>
        </row>
        <row r="28">
          <cell r="D28">
            <v>1024619274.8143436</v>
          </cell>
          <cell r="E28">
            <v>2028</v>
          </cell>
        </row>
        <row r="29">
          <cell r="D29">
            <v>886818753.21836734</v>
          </cell>
          <cell r="E29">
            <v>2029</v>
          </cell>
        </row>
        <row r="30">
          <cell r="D30">
            <v>744318990.86185408</v>
          </cell>
          <cell r="E30">
            <v>2030</v>
          </cell>
        </row>
        <row r="31">
          <cell r="D31">
            <v>597808289.60104501</v>
          </cell>
          <cell r="E31">
            <v>2031</v>
          </cell>
        </row>
        <row r="32">
          <cell r="D32">
            <v>447922823.73528719</v>
          </cell>
          <cell r="E32">
            <v>2032</v>
          </cell>
        </row>
        <row r="33">
          <cell r="D33">
            <v>295250052.92250735</v>
          </cell>
          <cell r="E33">
            <v>2033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puts"/>
      <sheetName val="Capital and decom calc"/>
      <sheetName val="Opex calc"/>
      <sheetName val="Market benefit calc"/>
      <sheetName val="NPV calc"/>
      <sheetName val="Staging calc"/>
      <sheetName val="Cable cost_reliability"/>
      <sheetName val="DM Assessment"/>
      <sheetName val="NPV analysis"/>
      <sheetName val="Format Rachele"/>
      <sheetName val="11kV SG-NPV"/>
      <sheetName val="11kV SG"/>
    </sheetNames>
    <sheetDataSet>
      <sheetData sheetId="0" refreshError="1"/>
      <sheetData sheetId="1">
        <row r="10">
          <cell r="E10" t="str">
            <v>Core</v>
          </cell>
        </row>
        <row r="23">
          <cell r="E23">
            <v>2017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18">
          <cell r="D18">
            <v>1949199828.7167273</v>
          </cell>
          <cell r="E18">
            <v>2018</v>
          </cell>
          <cell r="Q18">
            <v>2019</v>
          </cell>
        </row>
        <row r="19">
          <cell r="D19">
            <v>1898334384.4097254</v>
          </cell>
          <cell r="E19">
            <v>2019</v>
          </cell>
        </row>
        <row r="20">
          <cell r="D20">
            <v>1841379913.9763851</v>
          </cell>
          <cell r="E20">
            <v>2020</v>
          </cell>
        </row>
        <row r="21">
          <cell r="D21">
            <v>1776066647.1039276</v>
          </cell>
          <cell r="E21">
            <v>2021</v>
          </cell>
        </row>
        <row r="22">
          <cell r="D22">
            <v>1701396924.9905519</v>
          </cell>
          <cell r="E22">
            <v>2022</v>
          </cell>
        </row>
        <row r="23">
          <cell r="D23">
            <v>1616550734.6265798</v>
          </cell>
          <cell r="E23">
            <v>2023</v>
          </cell>
        </row>
        <row r="24">
          <cell r="D24">
            <v>1520446551.1087463</v>
          </cell>
          <cell r="E24">
            <v>2024</v>
          </cell>
        </row>
        <row r="25">
          <cell r="D25">
            <v>1412404767.223033</v>
          </cell>
          <cell r="E25">
            <v>2025</v>
          </cell>
        </row>
        <row r="26">
          <cell r="D26">
            <v>1291696654.5876837</v>
          </cell>
          <cell r="E26">
            <v>2026</v>
          </cell>
        </row>
        <row r="27">
          <cell r="D27">
            <v>1156977099.6511905</v>
          </cell>
          <cell r="E27">
            <v>2027</v>
          </cell>
        </row>
        <row r="28">
          <cell r="D28">
            <v>1024619274.8143436</v>
          </cell>
          <cell r="E28">
            <v>2028</v>
          </cell>
        </row>
        <row r="29">
          <cell r="D29">
            <v>886818753.21836734</v>
          </cell>
          <cell r="E29">
            <v>2029</v>
          </cell>
        </row>
        <row r="30">
          <cell r="D30">
            <v>744318990.86185408</v>
          </cell>
          <cell r="E30">
            <v>2030</v>
          </cell>
        </row>
        <row r="31">
          <cell r="D31">
            <v>597808289.60104501</v>
          </cell>
          <cell r="E31">
            <v>2031</v>
          </cell>
        </row>
        <row r="32">
          <cell r="D32">
            <v>447922823.73528719</v>
          </cell>
          <cell r="E32">
            <v>2032</v>
          </cell>
        </row>
        <row r="33">
          <cell r="D33">
            <v>295250052.92250735</v>
          </cell>
          <cell r="E33">
            <v>2033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puts"/>
      <sheetName val="Capital and decom calc"/>
      <sheetName val="Opex calc"/>
      <sheetName val="Market benefit calc"/>
      <sheetName val="NPV calc"/>
      <sheetName val="Staging calc"/>
      <sheetName val="Cable cost_reliability"/>
      <sheetName val="Switchgear reliability"/>
      <sheetName val="Unserved energy inputs"/>
      <sheetName val="DM assessment"/>
      <sheetName val="Sheet2"/>
      <sheetName val="NPV-DM"/>
    </sheetNames>
    <sheetDataSet>
      <sheetData sheetId="0">
        <row r="19">
          <cell r="B19" t="str">
            <v>Option 1-Green Square 132kV feeder 9SE replacement</v>
          </cell>
        </row>
        <row r="32">
          <cell r="D32">
            <v>2031</v>
          </cell>
        </row>
      </sheetData>
      <sheetData sheetId="1">
        <row r="10">
          <cell r="E10" t="str">
            <v>Core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18">
          <cell r="D18">
            <v>-4593108.8375383588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>
        <row r="6">
          <cell r="H6">
            <v>7028.4293504623602</v>
          </cell>
        </row>
      </sheetData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puts"/>
      <sheetName val="Capital and decom calc"/>
      <sheetName val="Opex calc"/>
      <sheetName val="Market benefit calc"/>
      <sheetName val="NPV calc"/>
      <sheetName val="Staging calc"/>
      <sheetName val="Cable cost_reliability"/>
      <sheetName val="Switchgear reliability"/>
      <sheetName val="Unserved energy inputs"/>
      <sheetName val="DM assessment"/>
      <sheetName val="Sheet2"/>
      <sheetName val="NPV-DM"/>
    </sheetNames>
    <sheetDataSet>
      <sheetData sheetId="0">
        <row r="19">
          <cell r="B19" t="str">
            <v>Option 1-Green Square 132kV feeder 9SE replacement</v>
          </cell>
        </row>
        <row r="32">
          <cell r="D32">
            <v>2031</v>
          </cell>
        </row>
      </sheetData>
      <sheetData sheetId="1">
        <row r="10">
          <cell r="E10" t="str">
            <v>Core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18">
          <cell r="D18">
            <v>-4593108.8375383588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>
        <row r="6">
          <cell r="H6">
            <v>7028.4293504623602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K12" sqref="K12"/>
    </sheetView>
  </sheetViews>
  <sheetFormatPr defaultRowHeight="15" x14ac:dyDescent="0.25"/>
  <cols>
    <col min="1" max="16384" width="8.7265625" style="118"/>
  </cols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B49"/>
  <sheetViews>
    <sheetView zoomScale="85" zoomScaleNormal="85" workbookViewId="0">
      <selection activeCell="B1" sqref="B1"/>
    </sheetView>
  </sheetViews>
  <sheetFormatPr defaultColWidth="8.90625" defaultRowHeight="13.8" x14ac:dyDescent="0.3"/>
  <cols>
    <col min="1" max="1" width="22.90625" style="3" customWidth="1"/>
    <col min="2" max="2" width="8.7265625" style="3" customWidth="1"/>
    <col min="3" max="3" width="9.36328125" style="2" customWidth="1"/>
    <col min="4" max="5" width="7.08984375" style="3" bestFit="1" customWidth="1"/>
    <col min="6" max="6" width="7.6328125" style="3" bestFit="1" customWidth="1"/>
    <col min="7" max="7" width="7.1796875" style="3" bestFit="1" customWidth="1"/>
    <col min="8" max="8" width="8.08984375" style="3" bestFit="1" customWidth="1"/>
    <col min="9" max="9" width="7.54296875" style="3" bestFit="1" customWidth="1"/>
    <col min="10" max="10" width="8" style="3" bestFit="1" customWidth="1"/>
    <col min="11" max="18" width="7.54296875" style="3" bestFit="1" customWidth="1"/>
    <col min="19" max="19" width="7.1796875" style="3" bestFit="1" customWidth="1"/>
    <col min="20" max="20" width="8.36328125" style="3" bestFit="1" customWidth="1"/>
    <col min="21" max="21" width="7.54296875" style="3" bestFit="1" customWidth="1"/>
    <col min="22" max="16384" width="8.90625" style="3"/>
  </cols>
  <sheetData>
    <row r="1" spans="1:28" x14ac:dyDescent="0.3">
      <c r="A1" s="1" t="s">
        <v>99</v>
      </c>
      <c r="B1" s="3" t="s">
        <v>119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8" x14ac:dyDescent="0.3">
      <c r="A2" s="3" t="s">
        <v>0</v>
      </c>
      <c r="B2" s="4">
        <v>0.05</v>
      </c>
      <c r="D2" s="80" t="s">
        <v>1</v>
      </c>
      <c r="E2" s="80" t="s">
        <v>2</v>
      </c>
      <c r="F2" s="80" t="s">
        <v>3</v>
      </c>
      <c r="G2" s="80" t="s">
        <v>4</v>
      </c>
      <c r="H2" s="80" t="s">
        <v>5</v>
      </c>
      <c r="I2" s="80" t="s">
        <v>6</v>
      </c>
      <c r="J2" s="80" t="s">
        <v>7</v>
      </c>
      <c r="K2" s="80" t="s">
        <v>8</v>
      </c>
      <c r="L2" s="80" t="s">
        <v>9</v>
      </c>
      <c r="M2" s="80" t="s">
        <v>10</v>
      </c>
      <c r="N2" s="80" t="s">
        <v>11</v>
      </c>
      <c r="O2" s="80" t="s">
        <v>12</v>
      </c>
      <c r="P2" s="80" t="s">
        <v>13</v>
      </c>
      <c r="Q2" s="80" t="s">
        <v>14</v>
      </c>
      <c r="R2" s="80" t="s">
        <v>15</v>
      </c>
      <c r="S2" s="80" t="s">
        <v>16</v>
      </c>
      <c r="T2" s="80" t="s">
        <v>17</v>
      </c>
      <c r="U2" s="80" t="s">
        <v>18</v>
      </c>
      <c r="V2" s="80" t="s">
        <v>19</v>
      </c>
      <c r="W2" s="80" t="s">
        <v>20</v>
      </c>
      <c r="X2" s="80" t="s">
        <v>21</v>
      </c>
      <c r="Y2" s="6"/>
      <c r="Z2" s="6"/>
      <c r="AA2" s="6"/>
      <c r="AB2" s="6"/>
    </row>
    <row r="3" spans="1:28" x14ac:dyDescent="0.3">
      <c r="A3" s="3" t="s">
        <v>22</v>
      </c>
      <c r="B3" s="83">
        <f>SUM(D3:W3)</f>
        <v>-14633723.925171999</v>
      </c>
      <c r="D3" s="82">
        <v>0</v>
      </c>
      <c r="E3" s="82">
        <v>0</v>
      </c>
      <c r="F3" s="82">
        <v>0</v>
      </c>
      <c r="G3" s="82">
        <v>0</v>
      </c>
      <c r="H3" s="82">
        <v>0</v>
      </c>
      <c r="I3" s="82">
        <v>0</v>
      </c>
      <c r="J3" s="36">
        <v>-88802.190126899994</v>
      </c>
      <c r="K3" s="24">
        <v>-1230117.3702459999</v>
      </c>
      <c r="L3" s="24">
        <v>-3256309.0962818</v>
      </c>
      <c r="M3" s="24">
        <v>-9224519.2269630991</v>
      </c>
      <c r="N3" s="24">
        <v>-833976.0415542</v>
      </c>
      <c r="O3" s="82">
        <v>0</v>
      </c>
      <c r="P3" s="82">
        <v>0</v>
      </c>
      <c r="Q3" s="82">
        <v>0</v>
      </c>
      <c r="R3" s="82">
        <v>0</v>
      </c>
      <c r="S3" s="82">
        <v>0</v>
      </c>
      <c r="T3" s="82">
        <v>0</v>
      </c>
      <c r="U3" s="82">
        <v>0</v>
      </c>
      <c r="V3" s="82">
        <v>0</v>
      </c>
      <c r="W3" s="82">
        <v>0</v>
      </c>
      <c r="X3" s="82">
        <v>0</v>
      </c>
    </row>
    <row r="4" spans="1:28" x14ac:dyDescent="0.3">
      <c r="A4" s="3" t="s">
        <v>23</v>
      </c>
      <c r="B4" s="82">
        <v>730822.76796821319</v>
      </c>
      <c r="C4" s="83"/>
      <c r="D4" s="83"/>
    </row>
    <row r="5" spans="1:28" x14ac:dyDescent="0.3">
      <c r="A5" s="3" t="s">
        <v>24</v>
      </c>
      <c r="B5" s="8">
        <v>40</v>
      </c>
    </row>
    <row r="6" spans="1:28" x14ac:dyDescent="0.3">
      <c r="A6" s="9"/>
      <c r="B6" s="9"/>
    </row>
    <row r="7" spans="1:28" x14ac:dyDescent="0.3">
      <c r="A7" s="10" t="s">
        <v>25</v>
      </c>
      <c r="B7" s="10"/>
      <c r="C7" s="11"/>
      <c r="D7" s="80" t="s">
        <v>1</v>
      </c>
      <c r="E7" s="80" t="s">
        <v>2</v>
      </c>
      <c r="F7" s="80" t="s">
        <v>3</v>
      </c>
      <c r="G7" s="80" t="s">
        <v>4</v>
      </c>
      <c r="H7" s="80" t="s">
        <v>5</v>
      </c>
      <c r="I7" s="80" t="s">
        <v>6</v>
      </c>
      <c r="J7" s="80" t="s">
        <v>7</v>
      </c>
      <c r="K7" s="80" t="s">
        <v>8</v>
      </c>
      <c r="L7" s="80" t="s">
        <v>9</v>
      </c>
      <c r="M7" s="80" t="s">
        <v>10</v>
      </c>
      <c r="N7" s="80" t="s">
        <v>11</v>
      </c>
      <c r="O7" s="80" t="s">
        <v>12</v>
      </c>
      <c r="P7" s="80" t="s">
        <v>13</v>
      </c>
      <c r="Q7" s="80" t="s">
        <v>14</v>
      </c>
      <c r="R7" s="80" t="s">
        <v>15</v>
      </c>
      <c r="S7" s="80" t="s">
        <v>16</v>
      </c>
      <c r="T7" s="80" t="s">
        <v>17</v>
      </c>
      <c r="U7" s="80" t="s">
        <v>18</v>
      </c>
      <c r="V7" s="80" t="s">
        <v>19</v>
      </c>
      <c r="W7" s="80" t="s">
        <v>20</v>
      </c>
      <c r="X7" s="80" t="s">
        <v>21</v>
      </c>
    </row>
    <row r="8" spans="1:28" x14ac:dyDescent="0.3">
      <c r="A8" s="3" t="s">
        <v>26</v>
      </c>
      <c r="D8" s="82">
        <v>347404.10144042969</v>
      </c>
      <c r="E8" s="82">
        <v>381911.06298828125</v>
      </c>
      <c r="F8" s="82">
        <v>398116.46606445312</v>
      </c>
      <c r="G8" s="82">
        <v>418327.82788085937</v>
      </c>
      <c r="H8" s="82">
        <v>456851.728515625</v>
      </c>
      <c r="I8" s="82">
        <v>490150.21728515625</v>
      </c>
      <c r="J8" s="82">
        <v>526518.24951171875</v>
      </c>
      <c r="K8" s="82">
        <v>565838.43798828125</v>
      </c>
      <c r="L8" s="82">
        <v>607714.08276367187</v>
      </c>
      <c r="M8" s="82">
        <v>659880.20288085938</v>
      </c>
      <c r="N8" s="82">
        <v>719805.81787109375</v>
      </c>
      <c r="O8" s="82">
        <v>784252.57275390625</v>
      </c>
      <c r="P8" s="82">
        <v>852014.55004882812</v>
      </c>
      <c r="Q8" s="82">
        <v>913995.77026367188</v>
      </c>
      <c r="R8" s="82">
        <v>977438.25390625</v>
      </c>
      <c r="S8" s="82">
        <v>1046573.6469726562</v>
      </c>
      <c r="T8" s="82">
        <v>1122291.5336914062</v>
      </c>
      <c r="U8" s="82">
        <v>1202369.1845703125</v>
      </c>
      <c r="V8" s="82">
        <v>1287043.6845703125</v>
      </c>
      <c r="W8" s="82">
        <v>1377922.2431640625</v>
      </c>
      <c r="X8" s="82">
        <v>1474754.6953125</v>
      </c>
    </row>
    <row r="9" spans="1:28" x14ac:dyDescent="0.3">
      <c r="A9" s="3" t="s">
        <v>27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0</v>
      </c>
      <c r="W9" s="82">
        <v>0</v>
      </c>
      <c r="X9" s="82">
        <v>0</v>
      </c>
    </row>
    <row r="10" spans="1:28" x14ac:dyDescent="0.3">
      <c r="A10" s="10" t="s">
        <v>28</v>
      </c>
      <c r="B10" s="10"/>
      <c r="C10" s="13"/>
      <c r="D10" s="84">
        <v>2032.0860595703125</v>
      </c>
      <c r="E10" s="84">
        <v>2143.99951171875</v>
      </c>
      <c r="F10" s="84">
        <v>2259.627685546875</v>
      </c>
      <c r="G10" s="84">
        <v>2379.015869140625</v>
      </c>
      <c r="H10" s="84">
        <v>2502.208984375</v>
      </c>
      <c r="I10" s="84">
        <v>2629.25146484375</v>
      </c>
      <c r="J10" s="84">
        <v>2760.18798828125</v>
      </c>
      <c r="K10" s="84">
        <v>2895.06201171875</v>
      </c>
      <c r="L10" s="84">
        <v>3033.917236328125</v>
      </c>
      <c r="M10" s="84">
        <v>3176.797119140625</v>
      </c>
      <c r="N10" s="84">
        <v>3323.74462890625</v>
      </c>
      <c r="O10" s="84">
        <v>3474.80224609375</v>
      </c>
      <c r="P10" s="84">
        <v>3630.012451171875</v>
      </c>
      <c r="Q10" s="84">
        <v>3789.417236328125</v>
      </c>
      <c r="R10" s="84">
        <v>3953.05859375</v>
      </c>
      <c r="S10" s="84">
        <v>4120.97802734375</v>
      </c>
      <c r="T10" s="84">
        <v>4293.21630859375</v>
      </c>
      <c r="U10" s="84">
        <v>4469.8154296875</v>
      </c>
      <c r="V10" s="84">
        <v>4650.8154296875</v>
      </c>
      <c r="W10" s="84">
        <v>4836.2568359375</v>
      </c>
      <c r="X10" s="84">
        <v>5026.1796875</v>
      </c>
    </row>
    <row r="11" spans="1:28" x14ac:dyDescent="0.3">
      <c r="A11" s="14" t="s">
        <v>29</v>
      </c>
      <c r="B11" s="14"/>
      <c r="C11" s="15"/>
      <c r="D11" s="83">
        <f>SUM(D8:D10)</f>
        <v>349436.1875</v>
      </c>
      <c r="E11" s="83">
        <f>SUM(E8:E10)</f>
        <v>384055.0625</v>
      </c>
      <c r="F11" s="83">
        <f t="shared" ref="F11:X11" si="0">SUM(F8:F10)</f>
        <v>400376.09375</v>
      </c>
      <c r="G11" s="83">
        <f t="shared" si="0"/>
        <v>420706.84375</v>
      </c>
      <c r="H11" s="83">
        <f t="shared" si="0"/>
        <v>459353.9375</v>
      </c>
      <c r="I11" s="83">
        <f t="shared" si="0"/>
        <v>492779.46875</v>
      </c>
      <c r="J11" s="83">
        <f t="shared" si="0"/>
        <v>529278.4375</v>
      </c>
      <c r="K11" s="83">
        <f t="shared" si="0"/>
        <v>568733.5</v>
      </c>
      <c r="L11" s="83">
        <f t="shared" si="0"/>
        <v>610748</v>
      </c>
      <c r="M11" s="83">
        <f t="shared" si="0"/>
        <v>663057</v>
      </c>
      <c r="N11" s="83">
        <f t="shared" si="0"/>
        <v>723129.5625</v>
      </c>
      <c r="O11" s="83">
        <f t="shared" si="0"/>
        <v>787727.375</v>
      </c>
      <c r="P11" s="83">
        <f t="shared" si="0"/>
        <v>855644.5625</v>
      </c>
      <c r="Q11" s="83">
        <f t="shared" si="0"/>
        <v>917785.1875</v>
      </c>
      <c r="R11" s="83">
        <f t="shared" si="0"/>
        <v>981391.3125</v>
      </c>
      <c r="S11" s="83">
        <f t="shared" si="0"/>
        <v>1050694.625</v>
      </c>
      <c r="T11" s="83">
        <f t="shared" si="0"/>
        <v>1126584.75</v>
      </c>
      <c r="U11" s="83">
        <f t="shared" si="0"/>
        <v>1206839</v>
      </c>
      <c r="V11" s="83">
        <f t="shared" si="0"/>
        <v>1291694.5</v>
      </c>
      <c r="W11" s="83">
        <f t="shared" si="0"/>
        <v>1382758.5</v>
      </c>
      <c r="X11" s="83">
        <f t="shared" si="0"/>
        <v>1479780.875</v>
      </c>
    </row>
    <row r="12" spans="1:28" x14ac:dyDescent="0.3">
      <c r="A12" s="14" t="s">
        <v>30</v>
      </c>
      <c r="B12" s="14"/>
      <c r="C12" s="15"/>
      <c r="D12" s="83">
        <f t="shared" ref="D12:X12" si="1">$B$4</f>
        <v>730822.76796821319</v>
      </c>
      <c r="E12" s="83">
        <f t="shared" si="1"/>
        <v>730822.76796821319</v>
      </c>
      <c r="F12" s="83">
        <f t="shared" si="1"/>
        <v>730822.76796821319</v>
      </c>
      <c r="G12" s="83">
        <f t="shared" si="1"/>
        <v>730822.76796821319</v>
      </c>
      <c r="H12" s="83">
        <f t="shared" si="1"/>
        <v>730822.76796821319</v>
      </c>
      <c r="I12" s="83">
        <f t="shared" si="1"/>
        <v>730822.76796821319</v>
      </c>
      <c r="J12" s="83">
        <f t="shared" si="1"/>
        <v>730822.76796821319</v>
      </c>
      <c r="K12" s="83">
        <f t="shared" si="1"/>
        <v>730822.76796821319</v>
      </c>
      <c r="L12" s="83">
        <f t="shared" si="1"/>
        <v>730822.76796821319</v>
      </c>
      <c r="M12" s="83">
        <f t="shared" si="1"/>
        <v>730822.76796821319</v>
      </c>
      <c r="N12" s="83">
        <f t="shared" si="1"/>
        <v>730822.76796821319</v>
      </c>
      <c r="O12" s="83">
        <f t="shared" si="1"/>
        <v>730822.76796821319</v>
      </c>
      <c r="P12" s="83">
        <f t="shared" si="1"/>
        <v>730822.76796821319</v>
      </c>
      <c r="Q12" s="83">
        <f t="shared" si="1"/>
        <v>730822.76796821319</v>
      </c>
      <c r="R12" s="83">
        <f t="shared" si="1"/>
        <v>730822.76796821319</v>
      </c>
      <c r="S12" s="83">
        <f t="shared" si="1"/>
        <v>730822.76796821319</v>
      </c>
      <c r="T12" s="83">
        <f t="shared" si="1"/>
        <v>730822.76796821319</v>
      </c>
      <c r="U12" s="83">
        <f t="shared" si="1"/>
        <v>730822.76796821319</v>
      </c>
      <c r="V12" s="83">
        <f t="shared" si="1"/>
        <v>730822.76796821319</v>
      </c>
      <c r="W12" s="83">
        <f t="shared" si="1"/>
        <v>730822.76796821319</v>
      </c>
      <c r="X12" s="83">
        <f t="shared" si="1"/>
        <v>730822.76796821319</v>
      </c>
    </row>
    <row r="13" spans="1:28" x14ac:dyDescent="0.3">
      <c r="A13" s="14" t="s">
        <v>31</v>
      </c>
      <c r="B13" s="14"/>
      <c r="C13" s="15"/>
      <c r="D13" s="83">
        <f t="shared" ref="D13:X13" si="2">D11-D12</f>
        <v>-381386.58046821319</v>
      </c>
      <c r="E13" s="83">
        <f>E11-E12</f>
        <v>-346767.70546821319</v>
      </c>
      <c r="F13" s="83">
        <f t="shared" si="2"/>
        <v>-330446.67421821319</v>
      </c>
      <c r="G13" s="83">
        <f t="shared" si="2"/>
        <v>-310115.92421821319</v>
      </c>
      <c r="H13" s="83">
        <f t="shared" si="2"/>
        <v>-271468.83046821319</v>
      </c>
      <c r="I13" s="83">
        <f t="shared" si="2"/>
        <v>-238043.29921821319</v>
      </c>
      <c r="J13" s="83">
        <f t="shared" si="2"/>
        <v>-201544.33046821319</v>
      </c>
      <c r="K13" s="83">
        <f t="shared" si="2"/>
        <v>-162089.26796821319</v>
      </c>
      <c r="L13" s="83">
        <f t="shared" si="2"/>
        <v>-120074.76796821319</v>
      </c>
      <c r="M13" s="83">
        <f t="shared" si="2"/>
        <v>-67765.767968213186</v>
      </c>
      <c r="N13" s="83">
        <f t="shared" si="2"/>
        <v>-7693.2054682131857</v>
      </c>
      <c r="O13" s="83">
        <f t="shared" si="2"/>
        <v>56904.607031786814</v>
      </c>
      <c r="P13" s="83">
        <f t="shared" si="2"/>
        <v>124821.79453178681</v>
      </c>
      <c r="Q13" s="83">
        <f t="shared" si="2"/>
        <v>186962.41953178681</v>
      </c>
      <c r="R13" s="83">
        <f t="shared" si="2"/>
        <v>250568.54453178681</v>
      </c>
      <c r="S13" s="83">
        <f t="shared" si="2"/>
        <v>319871.85703178681</v>
      </c>
      <c r="T13" s="83">
        <f t="shared" si="2"/>
        <v>395761.98203178681</v>
      </c>
      <c r="U13" s="83">
        <f t="shared" si="2"/>
        <v>476016.23203178681</v>
      </c>
      <c r="V13" s="83">
        <f t="shared" si="2"/>
        <v>560871.73203178681</v>
      </c>
      <c r="W13" s="83">
        <f t="shared" si="2"/>
        <v>651935.73203178681</v>
      </c>
      <c r="X13" s="83">
        <f t="shared" si="2"/>
        <v>748958.10703178681</v>
      </c>
    </row>
    <row r="14" spans="1:28" x14ac:dyDescent="0.3">
      <c r="A14" s="9"/>
      <c r="B14" s="9"/>
      <c r="C14" s="15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8" x14ac:dyDescent="0.3">
      <c r="A15" s="18" t="s">
        <v>93</v>
      </c>
      <c r="B15" s="10"/>
      <c r="C15" s="81" t="s">
        <v>94</v>
      </c>
      <c r="D15" s="19">
        <v>2</v>
      </c>
      <c r="E15" s="19">
        <v>3</v>
      </c>
      <c r="F15" s="19">
        <v>4</v>
      </c>
      <c r="G15" s="19">
        <v>5</v>
      </c>
      <c r="H15" s="19">
        <v>6</v>
      </c>
      <c r="I15" s="19">
        <v>7</v>
      </c>
      <c r="J15" s="19">
        <v>8</v>
      </c>
      <c r="K15" s="19">
        <v>9</v>
      </c>
      <c r="L15" s="19">
        <v>10</v>
      </c>
      <c r="M15" s="19">
        <v>11</v>
      </c>
      <c r="N15" s="19">
        <v>12</v>
      </c>
      <c r="O15" s="19">
        <v>13</v>
      </c>
      <c r="P15" s="19">
        <v>14</v>
      </c>
      <c r="Q15" s="19">
        <v>15</v>
      </c>
      <c r="R15" s="19">
        <v>16</v>
      </c>
      <c r="S15" s="19">
        <v>17</v>
      </c>
      <c r="T15" s="19">
        <v>18</v>
      </c>
      <c r="U15" s="19">
        <v>19</v>
      </c>
      <c r="V15" s="19">
        <v>20</v>
      </c>
      <c r="W15" s="19">
        <v>21</v>
      </c>
      <c r="X15" s="19">
        <v>22</v>
      </c>
    </row>
    <row r="16" spans="1:28" x14ac:dyDescent="0.3">
      <c r="A16" s="14" t="s">
        <v>32</v>
      </c>
      <c r="B16" s="14"/>
      <c r="C16" s="20">
        <v>1</v>
      </c>
      <c r="D16" s="82">
        <v>319291.13269042969</v>
      </c>
      <c r="E16" s="82">
        <v>351706.62548828125</v>
      </c>
      <c r="F16" s="82">
        <v>366822.02856445312</v>
      </c>
      <c r="G16" s="82">
        <v>385732.17163085937</v>
      </c>
      <c r="H16" s="82">
        <v>422069.353515625</v>
      </c>
      <c r="I16" s="82">
        <v>453512.27978515625</v>
      </c>
      <c r="J16" s="82">
        <v>487930.09326171875</v>
      </c>
      <c r="K16" s="82">
        <v>525208.62548828125</v>
      </c>
      <c r="L16" s="82">
        <v>564985.83276367187</v>
      </c>
      <c r="M16" s="82">
        <v>614777.82788085937</v>
      </c>
      <c r="N16" s="82">
        <v>672127.25537109375</v>
      </c>
      <c r="O16" s="82">
        <v>733919.01025390625</v>
      </c>
      <c r="P16" s="82">
        <v>799004.11254882812</v>
      </c>
      <c r="Q16" s="82">
        <v>858560.58276367188</v>
      </c>
      <c r="R16" s="82">
        <v>919578.94140625</v>
      </c>
      <c r="S16" s="82">
        <v>986190.02197265625</v>
      </c>
      <c r="T16" s="82">
        <v>1059288.6586914063</v>
      </c>
      <c r="U16" s="82">
        <v>1136709.4345703125</v>
      </c>
      <c r="V16" s="82">
        <v>1218690.9345703125</v>
      </c>
      <c r="W16" s="82">
        <v>1306767.6181640625</v>
      </c>
      <c r="X16" s="82">
        <v>1400772.0703125</v>
      </c>
    </row>
    <row r="17" spans="1:24" x14ac:dyDescent="0.3">
      <c r="A17" s="14" t="s">
        <v>32</v>
      </c>
      <c r="B17" s="14"/>
      <c r="C17" s="20">
        <v>2</v>
      </c>
      <c r="D17" s="82">
        <v>292768.60144042969</v>
      </c>
      <c r="E17" s="82">
        <v>323162.84423828125</v>
      </c>
      <c r="F17" s="82">
        <v>337241.99731445312</v>
      </c>
      <c r="G17" s="82">
        <v>354902.48413085937</v>
      </c>
      <c r="H17" s="82">
        <v>389044.228515625</v>
      </c>
      <c r="I17" s="82">
        <v>418620.96728515625</v>
      </c>
      <c r="J17" s="82">
        <v>451092.78076171875</v>
      </c>
      <c r="K17" s="82">
        <v>486345.81298828125</v>
      </c>
      <c r="L17" s="82">
        <v>524031.70776367187</v>
      </c>
      <c r="M17" s="82">
        <v>571360.07788085938</v>
      </c>
      <c r="N17" s="82">
        <v>626118.13037109375</v>
      </c>
      <c r="O17" s="82">
        <v>685252.63525390625</v>
      </c>
      <c r="P17" s="82">
        <v>747645.73754882812</v>
      </c>
      <c r="Q17" s="82">
        <v>804752.83276367188</v>
      </c>
      <c r="R17" s="82">
        <v>863340.37890625</v>
      </c>
      <c r="S17" s="82">
        <v>927404.02197265625</v>
      </c>
      <c r="T17" s="82">
        <v>997838.34619140625</v>
      </c>
      <c r="U17" s="82">
        <v>1072559.9345703125</v>
      </c>
      <c r="V17" s="82">
        <v>1151806.4345703125</v>
      </c>
      <c r="W17" s="82">
        <v>1237085.7431640625</v>
      </c>
      <c r="X17" s="82">
        <v>1328192.5703125</v>
      </c>
    </row>
    <row r="18" spans="1:24" x14ac:dyDescent="0.3">
      <c r="A18" s="14" t="s">
        <v>32</v>
      </c>
      <c r="B18" s="14"/>
      <c r="C18" s="20">
        <v>3</v>
      </c>
      <c r="D18" s="82">
        <v>265450.85144042969</v>
      </c>
      <c r="E18" s="82">
        <v>293788.73486328125</v>
      </c>
      <c r="F18" s="82">
        <v>306804.76293945313</v>
      </c>
      <c r="G18" s="82">
        <v>323189.81225585937</v>
      </c>
      <c r="H18" s="82">
        <v>355140.478515625</v>
      </c>
      <c r="I18" s="82">
        <v>382856.34228515625</v>
      </c>
      <c r="J18" s="82">
        <v>413380.04638671875</v>
      </c>
      <c r="K18" s="82">
        <v>446599.50048828125</v>
      </c>
      <c r="L18" s="82">
        <v>482190.52026367187</v>
      </c>
      <c r="M18" s="82">
        <v>527100.01538085937</v>
      </c>
      <c r="N18" s="82">
        <v>579274.28662109375</v>
      </c>
      <c r="O18" s="82">
        <v>635752.66650390625</v>
      </c>
      <c r="P18" s="82">
        <v>695461.33129882813</v>
      </c>
      <c r="Q18" s="82">
        <v>750131.36401367188</v>
      </c>
      <c r="R18" s="82">
        <v>806291.44140625</v>
      </c>
      <c r="S18" s="82">
        <v>867819.20947265625</v>
      </c>
      <c r="T18" s="82">
        <v>935611.75244140625</v>
      </c>
      <c r="U18" s="82">
        <v>1007655.3095703125</v>
      </c>
      <c r="V18" s="82">
        <v>1084187.8095703125</v>
      </c>
      <c r="W18" s="82">
        <v>1166667.4931640625</v>
      </c>
      <c r="X18" s="82">
        <v>1254911.5078125</v>
      </c>
    </row>
    <row r="19" spans="1:24" x14ac:dyDescent="0.3">
      <c r="A19" s="14" t="s">
        <v>32</v>
      </c>
      <c r="B19" s="14"/>
      <c r="C19" s="20">
        <v>4</v>
      </c>
      <c r="D19" s="82">
        <v>244508.39831542969</v>
      </c>
      <c r="E19" s="82">
        <v>270944.43798828125</v>
      </c>
      <c r="F19" s="82">
        <v>283053.99731445312</v>
      </c>
      <c r="G19" s="82">
        <v>298342.64038085937</v>
      </c>
      <c r="H19" s="82">
        <v>328324.447265625</v>
      </c>
      <c r="I19" s="82">
        <v>354293.71728515625</v>
      </c>
      <c r="J19" s="82">
        <v>382890.71826171875</v>
      </c>
      <c r="K19" s="82">
        <v>414072.71923828125</v>
      </c>
      <c r="L19" s="82">
        <v>447589.02026367187</v>
      </c>
      <c r="M19" s="82">
        <v>490015.76538085937</v>
      </c>
      <c r="N19" s="82">
        <v>539404.13037109375</v>
      </c>
      <c r="O19" s="82">
        <v>593091.38525390625</v>
      </c>
      <c r="P19" s="82">
        <v>650079.73754882812</v>
      </c>
      <c r="Q19" s="82">
        <v>702292.08276367188</v>
      </c>
      <c r="R19" s="82">
        <v>755974.50390625</v>
      </c>
      <c r="S19" s="82">
        <v>814894.08447265625</v>
      </c>
      <c r="T19" s="82">
        <v>879935.72119140625</v>
      </c>
      <c r="U19" s="82">
        <v>949155.4345703125</v>
      </c>
      <c r="V19" s="82">
        <v>1022796.8095703125</v>
      </c>
      <c r="W19" s="82">
        <v>1102336.4931640625</v>
      </c>
      <c r="X19" s="82">
        <v>1187606.1953125</v>
      </c>
    </row>
    <row r="20" spans="1:24" x14ac:dyDescent="0.3">
      <c r="A20" s="14" t="s">
        <v>32</v>
      </c>
      <c r="B20" s="14"/>
      <c r="C20" s="20">
        <v>5</v>
      </c>
      <c r="D20" s="82">
        <v>226753.59362792969</v>
      </c>
      <c r="E20" s="82">
        <v>251365.04736328125</v>
      </c>
      <c r="F20" s="82">
        <v>262646.46606445312</v>
      </c>
      <c r="G20" s="82">
        <v>276928.21850585937</v>
      </c>
      <c r="H20" s="82">
        <v>305052.275390625</v>
      </c>
      <c r="I20" s="82">
        <v>329332.09228515625</v>
      </c>
      <c r="J20" s="82">
        <v>356013.09326171875</v>
      </c>
      <c r="K20" s="82">
        <v>385155.70361328125</v>
      </c>
      <c r="L20" s="82">
        <v>416607.36401367182</v>
      </c>
      <c r="M20" s="82">
        <v>456519.42163085937</v>
      </c>
      <c r="N20" s="82">
        <v>503020.81787109375</v>
      </c>
      <c r="O20" s="82">
        <v>553849.44775390625</v>
      </c>
      <c r="P20" s="82">
        <v>608099.55004882813</v>
      </c>
      <c r="Q20" s="82">
        <v>657843.89526367188</v>
      </c>
      <c r="R20" s="82">
        <v>709023.56640625</v>
      </c>
      <c r="S20" s="82">
        <v>765298.80322265625</v>
      </c>
      <c r="T20" s="82">
        <v>827534.97119140625</v>
      </c>
      <c r="U20" s="82">
        <v>893857.9345703125</v>
      </c>
      <c r="V20" s="82">
        <v>964519.6220703125</v>
      </c>
      <c r="W20" s="82">
        <v>1041049.1181640625</v>
      </c>
      <c r="X20" s="82">
        <v>1123288.7578125</v>
      </c>
    </row>
    <row r="21" spans="1:24" x14ac:dyDescent="0.3">
      <c r="A21" s="14" t="s">
        <v>32</v>
      </c>
      <c r="B21" s="14"/>
      <c r="C21" s="20">
        <v>6</v>
      </c>
      <c r="D21" s="82">
        <v>202623.49206542972</v>
      </c>
      <c r="E21" s="82">
        <v>225255.84423828125</v>
      </c>
      <c r="F21" s="82">
        <v>235552.46606445313</v>
      </c>
      <c r="G21" s="82">
        <v>248648.2966308594</v>
      </c>
      <c r="H21" s="82">
        <v>274692.38476562506</v>
      </c>
      <c r="I21" s="82">
        <v>297168.46728515625</v>
      </c>
      <c r="J21" s="82">
        <v>321912.06201171875</v>
      </c>
      <c r="K21" s="82">
        <v>349019.15673828125</v>
      </c>
      <c r="L21" s="82">
        <v>378386.02026367182</v>
      </c>
      <c r="M21" s="82">
        <v>415847.26538085932</v>
      </c>
      <c r="N21" s="82">
        <v>459663.81787109369</v>
      </c>
      <c r="O21" s="82">
        <v>507768.82275390619</v>
      </c>
      <c r="P21" s="82">
        <v>559316.55004882812</v>
      </c>
      <c r="Q21" s="82">
        <v>606613.52026367187</v>
      </c>
      <c r="R21" s="82">
        <v>655340.62890625</v>
      </c>
      <c r="S21" s="82">
        <v>709043.83447265625</v>
      </c>
      <c r="T21" s="82">
        <v>768583.65869140625</v>
      </c>
      <c r="U21" s="82">
        <v>832155.6845703125</v>
      </c>
      <c r="V21" s="82">
        <v>900014.8095703125</v>
      </c>
      <c r="W21" s="82">
        <v>973674.4931640625</v>
      </c>
      <c r="X21" s="82">
        <v>1052995.5703125</v>
      </c>
    </row>
    <row r="22" spans="1:24" x14ac:dyDescent="0.3">
      <c r="A22" s="14"/>
      <c r="B22" s="14"/>
      <c r="C22" s="20"/>
      <c r="D22" s="21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4" x14ac:dyDescent="0.3">
      <c r="A23" s="14"/>
      <c r="B23" s="14"/>
      <c r="C23" s="20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</row>
    <row r="24" spans="1:24" x14ac:dyDescent="0.3">
      <c r="A24" s="22" t="s">
        <v>33</v>
      </c>
      <c r="B24" s="22"/>
      <c r="C24" s="23"/>
    </row>
    <row r="25" spans="1:24" x14ac:dyDescent="0.3">
      <c r="A25" s="10" t="s">
        <v>34</v>
      </c>
      <c r="B25" s="10"/>
      <c r="C25" s="11" t="s">
        <v>35</v>
      </c>
      <c r="D25" s="80" t="s">
        <v>1</v>
      </c>
      <c r="E25" s="80" t="s">
        <v>2</v>
      </c>
      <c r="F25" s="80" t="s">
        <v>3</v>
      </c>
      <c r="G25" s="80" t="s">
        <v>4</v>
      </c>
      <c r="H25" s="80" t="s">
        <v>5</v>
      </c>
      <c r="I25" s="80" t="s">
        <v>6</v>
      </c>
      <c r="J25" s="80" t="s">
        <v>7</v>
      </c>
      <c r="K25" s="80" t="s">
        <v>8</v>
      </c>
      <c r="L25" s="80" t="s">
        <v>9</v>
      </c>
      <c r="M25" s="80" t="s">
        <v>10</v>
      </c>
      <c r="N25" s="80" t="s">
        <v>11</v>
      </c>
      <c r="O25" s="80" t="s">
        <v>12</v>
      </c>
      <c r="P25" s="80" t="s">
        <v>13</v>
      </c>
      <c r="Q25" s="80" t="s">
        <v>14</v>
      </c>
      <c r="R25" s="80" t="s">
        <v>15</v>
      </c>
      <c r="S25" s="80" t="s">
        <v>16</v>
      </c>
      <c r="T25" s="80" t="s">
        <v>17</v>
      </c>
      <c r="U25" s="80" t="s">
        <v>18</v>
      </c>
      <c r="V25" s="80" t="s">
        <v>19</v>
      </c>
      <c r="W25" s="80" t="s">
        <v>20</v>
      </c>
      <c r="X25" s="80" t="s">
        <v>21</v>
      </c>
    </row>
    <row r="26" spans="1:24" x14ac:dyDescent="0.3">
      <c r="A26" s="3" t="s">
        <v>36</v>
      </c>
      <c r="C26" s="83">
        <f t="shared" ref="C26:C31" si="3">NPV($B$2,E26:X26)</f>
        <v>5531299.9446391817</v>
      </c>
      <c r="D26" s="24"/>
      <c r="E26" s="24">
        <f t="shared" ref="E26:X26" si="4">IF(E32=1,E8,0)</f>
        <v>0</v>
      </c>
      <c r="F26" s="24">
        <f t="shared" si="4"/>
        <v>0</v>
      </c>
      <c r="G26" s="24">
        <f t="shared" si="4"/>
        <v>0</v>
      </c>
      <c r="H26" s="24">
        <f t="shared" si="4"/>
        <v>0</v>
      </c>
      <c r="I26" s="24">
        <f t="shared" si="4"/>
        <v>0</v>
      </c>
      <c r="J26" s="24">
        <f t="shared" si="4"/>
        <v>0</v>
      </c>
      <c r="K26" s="24">
        <f t="shared" si="4"/>
        <v>0</v>
      </c>
      <c r="L26" s="24">
        <f t="shared" si="4"/>
        <v>0</v>
      </c>
      <c r="M26" s="24">
        <f t="shared" si="4"/>
        <v>0</v>
      </c>
      <c r="N26" s="24">
        <f t="shared" si="4"/>
        <v>719805.81787109375</v>
      </c>
      <c r="O26" s="24">
        <f t="shared" si="4"/>
        <v>784252.57275390625</v>
      </c>
      <c r="P26" s="24">
        <f t="shared" si="4"/>
        <v>852014.55004882812</v>
      </c>
      <c r="Q26" s="24">
        <f t="shared" si="4"/>
        <v>913995.77026367188</v>
      </c>
      <c r="R26" s="24">
        <f t="shared" si="4"/>
        <v>977438.25390625</v>
      </c>
      <c r="S26" s="24">
        <f t="shared" si="4"/>
        <v>1046573.6469726562</v>
      </c>
      <c r="T26" s="24">
        <f t="shared" si="4"/>
        <v>1122291.5336914062</v>
      </c>
      <c r="U26" s="24">
        <f t="shared" si="4"/>
        <v>1202369.1845703125</v>
      </c>
      <c r="V26" s="24">
        <f t="shared" si="4"/>
        <v>1287043.6845703125</v>
      </c>
      <c r="W26" s="24">
        <f t="shared" si="4"/>
        <v>1377922.2431640625</v>
      </c>
      <c r="X26" s="24">
        <f t="shared" si="4"/>
        <v>1474754.6953125</v>
      </c>
    </row>
    <row r="27" spans="1:24" x14ac:dyDescent="0.3">
      <c r="A27" s="3" t="s">
        <v>37</v>
      </c>
      <c r="C27" s="83">
        <f t="shared" si="3"/>
        <v>0</v>
      </c>
      <c r="D27" s="24"/>
      <c r="E27" s="24">
        <f t="shared" ref="E27:X27" si="5">IF(E26=0,0,E9)</f>
        <v>0</v>
      </c>
      <c r="F27" s="24">
        <f t="shared" si="5"/>
        <v>0</v>
      </c>
      <c r="G27" s="24">
        <f t="shared" si="5"/>
        <v>0</v>
      </c>
      <c r="H27" s="24">
        <f t="shared" si="5"/>
        <v>0</v>
      </c>
      <c r="I27" s="24">
        <f t="shared" si="5"/>
        <v>0</v>
      </c>
      <c r="J27" s="24">
        <f t="shared" si="5"/>
        <v>0</v>
      </c>
      <c r="K27" s="24">
        <f t="shared" si="5"/>
        <v>0</v>
      </c>
      <c r="L27" s="24">
        <f t="shared" si="5"/>
        <v>0</v>
      </c>
      <c r="M27" s="24">
        <f t="shared" si="5"/>
        <v>0</v>
      </c>
      <c r="N27" s="24">
        <f t="shared" si="5"/>
        <v>0</v>
      </c>
      <c r="O27" s="24">
        <f t="shared" si="5"/>
        <v>0</v>
      </c>
      <c r="P27" s="24">
        <f t="shared" si="5"/>
        <v>0</v>
      </c>
      <c r="Q27" s="24">
        <f t="shared" si="5"/>
        <v>0</v>
      </c>
      <c r="R27" s="24">
        <f t="shared" si="5"/>
        <v>0</v>
      </c>
      <c r="S27" s="24">
        <f t="shared" si="5"/>
        <v>0</v>
      </c>
      <c r="T27" s="24">
        <f t="shared" si="5"/>
        <v>0</v>
      </c>
      <c r="U27" s="24">
        <f t="shared" si="5"/>
        <v>0</v>
      </c>
      <c r="V27" s="24">
        <f t="shared" si="5"/>
        <v>0</v>
      </c>
      <c r="W27" s="24">
        <f t="shared" si="5"/>
        <v>0</v>
      </c>
      <c r="X27" s="24">
        <f t="shared" si="5"/>
        <v>0</v>
      </c>
    </row>
    <row r="28" spans="1:24" x14ac:dyDescent="0.3">
      <c r="A28" s="3" t="s">
        <v>38</v>
      </c>
      <c r="C28" s="83">
        <f t="shared" si="3"/>
        <v>21739.528232917048</v>
      </c>
      <c r="D28" s="24"/>
      <c r="E28" s="24">
        <f t="shared" ref="E28:X28" si="6">IF(E26=0,0,E10)</f>
        <v>0</v>
      </c>
      <c r="F28" s="24">
        <f t="shared" si="6"/>
        <v>0</v>
      </c>
      <c r="G28" s="24">
        <f t="shared" si="6"/>
        <v>0</v>
      </c>
      <c r="H28" s="24">
        <f t="shared" si="6"/>
        <v>0</v>
      </c>
      <c r="I28" s="24">
        <f t="shared" si="6"/>
        <v>0</v>
      </c>
      <c r="J28" s="24">
        <f t="shared" si="6"/>
        <v>0</v>
      </c>
      <c r="K28" s="24">
        <f t="shared" si="6"/>
        <v>0</v>
      </c>
      <c r="L28" s="24">
        <f t="shared" si="6"/>
        <v>0</v>
      </c>
      <c r="M28" s="24">
        <f t="shared" si="6"/>
        <v>0</v>
      </c>
      <c r="N28" s="24">
        <f t="shared" si="6"/>
        <v>3323.74462890625</v>
      </c>
      <c r="O28" s="24">
        <f t="shared" si="6"/>
        <v>3474.80224609375</v>
      </c>
      <c r="P28" s="24">
        <f t="shared" si="6"/>
        <v>3630.012451171875</v>
      </c>
      <c r="Q28" s="24">
        <f t="shared" si="6"/>
        <v>3789.417236328125</v>
      </c>
      <c r="R28" s="24">
        <f t="shared" si="6"/>
        <v>3953.05859375</v>
      </c>
      <c r="S28" s="24">
        <f t="shared" si="6"/>
        <v>4120.97802734375</v>
      </c>
      <c r="T28" s="24">
        <f t="shared" si="6"/>
        <v>4293.21630859375</v>
      </c>
      <c r="U28" s="24">
        <f t="shared" si="6"/>
        <v>4469.8154296875</v>
      </c>
      <c r="V28" s="24">
        <f t="shared" si="6"/>
        <v>4650.8154296875</v>
      </c>
      <c r="W28" s="24">
        <f t="shared" si="6"/>
        <v>4836.2568359375</v>
      </c>
      <c r="X28" s="24">
        <f t="shared" si="6"/>
        <v>5026.1796875</v>
      </c>
    </row>
    <row r="29" spans="1:24" s="2" customFormat="1" x14ac:dyDescent="0.3">
      <c r="A29" s="3" t="s">
        <v>22</v>
      </c>
      <c r="B29" s="3"/>
      <c r="C29" s="83">
        <f t="shared" si="3"/>
        <v>-9602681.4682944212</v>
      </c>
      <c r="D29" s="36"/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-88802.190126899994</v>
      </c>
      <c r="K29" s="24">
        <v>-1230117.3702459999</v>
      </c>
      <c r="L29" s="24">
        <v>-3256309.0962818</v>
      </c>
      <c r="M29" s="24">
        <v>-9224519.2269630991</v>
      </c>
      <c r="N29" s="24">
        <v>-833976.0415542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  <c r="W29" s="36">
        <v>0</v>
      </c>
      <c r="X29" s="36">
        <v>0</v>
      </c>
    </row>
    <row r="30" spans="1:24" s="2" customFormat="1" x14ac:dyDescent="0.3">
      <c r="A30" s="10" t="s">
        <v>39</v>
      </c>
      <c r="B30" s="10"/>
      <c r="C30" s="86">
        <f t="shared" si="3"/>
        <v>3998590.0659316378</v>
      </c>
      <c r="D30" s="43"/>
      <c r="E30" s="89">
        <v>0</v>
      </c>
      <c r="F30" s="89">
        <v>0</v>
      </c>
      <c r="G30" s="89">
        <v>0</v>
      </c>
      <c r="H30" s="89">
        <v>0</v>
      </c>
      <c r="I30" s="89">
        <v>0</v>
      </c>
      <c r="J30" s="89">
        <v>0</v>
      </c>
      <c r="K30" s="89">
        <v>0</v>
      </c>
      <c r="L30" s="89">
        <v>0</v>
      </c>
      <c r="M30" s="89">
        <v>0</v>
      </c>
      <c r="N30" s="89">
        <v>0</v>
      </c>
      <c r="O30" s="89">
        <v>0</v>
      </c>
      <c r="P30" s="89">
        <v>0</v>
      </c>
      <c r="Q30" s="89">
        <v>0</v>
      </c>
      <c r="R30" s="89">
        <v>0</v>
      </c>
      <c r="S30" s="89">
        <v>0</v>
      </c>
      <c r="T30" s="89">
        <v>0</v>
      </c>
      <c r="U30" s="89">
        <v>0</v>
      </c>
      <c r="V30" s="89">
        <v>0</v>
      </c>
      <c r="W30" s="89">
        <v>0</v>
      </c>
      <c r="X30" s="43">
        <f>SUM(D29:X29)*($B$5-SUM(D32:X32))/-$B$5</f>
        <v>10609449.8457497</v>
      </c>
    </row>
    <row r="31" spans="1:24" s="2" customFormat="1" x14ac:dyDescent="0.3">
      <c r="A31" s="3" t="s">
        <v>31</v>
      </c>
      <c r="B31" s="3"/>
      <c r="C31" s="83">
        <f t="shared" si="3"/>
        <v>-51051.929490686882</v>
      </c>
      <c r="D31" s="24"/>
      <c r="E31" s="83">
        <f t="shared" ref="E31" si="7">SUM(E26:E30)</f>
        <v>0</v>
      </c>
      <c r="F31" s="83">
        <f t="shared" ref="F31:T31" si="8">SUM(F26:F30)</f>
        <v>0</v>
      </c>
      <c r="G31" s="83">
        <f t="shared" si="8"/>
        <v>0</v>
      </c>
      <c r="H31" s="83">
        <f t="shared" si="8"/>
        <v>0</v>
      </c>
      <c r="I31" s="83">
        <f>SUM(I26:I30)</f>
        <v>0</v>
      </c>
      <c r="J31" s="83">
        <f t="shared" si="8"/>
        <v>-88802.190126899994</v>
      </c>
      <c r="K31" s="83">
        <f t="shared" si="8"/>
        <v>-1230117.3702459999</v>
      </c>
      <c r="L31" s="83">
        <f t="shared" si="8"/>
        <v>-3256309.0962818</v>
      </c>
      <c r="M31" s="83">
        <f t="shared" si="8"/>
        <v>-9224519.2269630991</v>
      </c>
      <c r="N31" s="83">
        <f>SUM(N26:N30)</f>
        <v>-110846.4790542</v>
      </c>
      <c r="O31" s="83">
        <f t="shared" si="8"/>
        <v>787727.375</v>
      </c>
      <c r="P31" s="83">
        <f t="shared" si="8"/>
        <v>855644.5625</v>
      </c>
      <c r="Q31" s="83">
        <f t="shared" si="8"/>
        <v>917785.1875</v>
      </c>
      <c r="R31" s="83">
        <f t="shared" si="8"/>
        <v>981391.3125</v>
      </c>
      <c r="S31" s="83">
        <f t="shared" si="8"/>
        <v>1050694.625</v>
      </c>
      <c r="T31" s="83">
        <f t="shared" si="8"/>
        <v>1126584.75</v>
      </c>
      <c r="U31" s="83">
        <f>SUM(U26:U30)</f>
        <v>1206839</v>
      </c>
      <c r="V31" s="83">
        <f t="shared" ref="V31:X31" si="9">SUM(V26:V30)</f>
        <v>1291694.5</v>
      </c>
      <c r="W31" s="83">
        <f t="shared" si="9"/>
        <v>1382758.5</v>
      </c>
      <c r="X31" s="83">
        <f t="shared" si="9"/>
        <v>12089230.7207497</v>
      </c>
    </row>
    <row r="32" spans="1:24" s="2" customFormat="1" x14ac:dyDescent="0.3">
      <c r="A32" s="3"/>
      <c r="B32" s="3"/>
      <c r="C32" s="17"/>
      <c r="D32" s="88"/>
      <c r="E32" s="88">
        <v>0</v>
      </c>
      <c r="F32" s="88">
        <v>0</v>
      </c>
      <c r="G32" s="88">
        <v>0</v>
      </c>
      <c r="H32" s="88">
        <v>0</v>
      </c>
      <c r="I32" s="88">
        <v>0</v>
      </c>
      <c r="J32" s="88">
        <v>0</v>
      </c>
      <c r="K32" s="88">
        <v>0</v>
      </c>
      <c r="L32" s="88">
        <v>0</v>
      </c>
      <c r="M32" s="88">
        <v>0</v>
      </c>
      <c r="N32" s="88">
        <v>1</v>
      </c>
      <c r="O32" s="88">
        <v>1</v>
      </c>
      <c r="P32" s="88">
        <v>1</v>
      </c>
      <c r="Q32" s="88">
        <v>1</v>
      </c>
      <c r="R32" s="88">
        <v>1</v>
      </c>
      <c r="S32" s="88">
        <v>1</v>
      </c>
      <c r="T32" s="88">
        <v>1</v>
      </c>
      <c r="U32" s="88">
        <v>1</v>
      </c>
      <c r="V32" s="88">
        <v>1</v>
      </c>
      <c r="W32" s="88">
        <v>1</v>
      </c>
      <c r="X32" s="88">
        <v>1</v>
      </c>
    </row>
    <row r="33" spans="1:25" s="2" customFormat="1" x14ac:dyDescent="0.3">
      <c r="D33" s="7"/>
      <c r="E33" s="7"/>
      <c r="F33" s="7"/>
      <c r="G33" s="7"/>
      <c r="H33" s="7"/>
      <c r="I33" s="7"/>
      <c r="J33" s="7"/>
      <c r="K33" s="31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5" s="2" customFormat="1" x14ac:dyDescent="0.3">
      <c r="A34" s="22" t="s">
        <v>95</v>
      </c>
      <c r="B34" s="22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6"/>
      <c r="U34" s="26"/>
    </row>
    <row r="35" spans="1:25" x14ac:dyDescent="0.3">
      <c r="A35" s="3" t="s">
        <v>96</v>
      </c>
      <c r="C35" s="25"/>
      <c r="D35" s="25"/>
      <c r="E35" s="85"/>
      <c r="F35" s="85"/>
      <c r="G35" s="85"/>
      <c r="H35" s="85"/>
      <c r="I35" s="85">
        <v>1</v>
      </c>
      <c r="J35" s="85">
        <v>2</v>
      </c>
      <c r="K35" s="85">
        <v>4</v>
      </c>
      <c r="L35" s="85">
        <v>4</v>
      </c>
      <c r="M35" s="85">
        <v>5</v>
      </c>
      <c r="N35" s="85">
        <v>5</v>
      </c>
      <c r="O35" s="85">
        <v>5</v>
      </c>
      <c r="P35" s="85">
        <v>5</v>
      </c>
      <c r="Q35" s="85">
        <v>5</v>
      </c>
      <c r="R35" s="85"/>
      <c r="S35" s="85"/>
      <c r="T35" s="85"/>
      <c r="U35" s="85"/>
      <c r="V35" s="85"/>
      <c r="W35" s="85"/>
      <c r="X35" s="85"/>
      <c r="Y35" s="15"/>
    </row>
    <row r="36" spans="1:25" x14ac:dyDescent="0.3">
      <c r="A36" s="10" t="s">
        <v>34</v>
      </c>
      <c r="B36" s="27" t="s">
        <v>40</v>
      </c>
      <c r="C36" s="11" t="s">
        <v>35</v>
      </c>
      <c r="D36" s="80" t="s">
        <v>1</v>
      </c>
      <c r="E36" s="80" t="s">
        <v>2</v>
      </c>
      <c r="F36" s="80" t="s">
        <v>3</v>
      </c>
      <c r="G36" s="80" t="s">
        <v>4</v>
      </c>
      <c r="H36" s="80" t="s">
        <v>5</v>
      </c>
      <c r="I36" s="80" t="s">
        <v>6</v>
      </c>
      <c r="J36" s="80" t="s">
        <v>7</v>
      </c>
      <c r="K36" s="80" t="s">
        <v>8</v>
      </c>
      <c r="L36" s="80" t="s">
        <v>9</v>
      </c>
      <c r="M36" s="80" t="s">
        <v>10</v>
      </c>
      <c r="N36" s="80" t="s">
        <v>11</v>
      </c>
      <c r="O36" s="80" t="s">
        <v>12</v>
      </c>
      <c r="P36" s="80" t="s">
        <v>13</v>
      </c>
      <c r="Q36" s="80" t="s">
        <v>14</v>
      </c>
      <c r="R36" s="80" t="s">
        <v>15</v>
      </c>
      <c r="S36" s="80" t="s">
        <v>16</v>
      </c>
      <c r="T36" s="80" t="s">
        <v>17</v>
      </c>
      <c r="U36" s="80" t="s">
        <v>18</v>
      </c>
      <c r="V36" s="80" t="s">
        <v>19</v>
      </c>
      <c r="W36" s="80" t="s">
        <v>20</v>
      </c>
      <c r="X36" s="80" t="s">
        <v>21</v>
      </c>
    </row>
    <row r="37" spans="1:25" x14ac:dyDescent="0.3">
      <c r="A37" s="3" t="s">
        <v>36</v>
      </c>
      <c r="B37" s="83">
        <f>C37-C26</f>
        <v>-1374868.1505676783</v>
      </c>
      <c r="C37" s="83">
        <f t="shared" ref="C37:C45" si="10">NPV($B$2,E37:X37)</f>
        <v>4156431.7940715034</v>
      </c>
      <c r="D37" s="24"/>
      <c r="E37" s="24">
        <f t="shared" ref="E37:X37" si="11">IF(E46=0,0,E$8)</f>
        <v>0</v>
      </c>
      <c r="F37" s="24">
        <f t="shared" si="11"/>
        <v>0</v>
      </c>
      <c r="G37" s="24">
        <f t="shared" si="11"/>
        <v>0</v>
      </c>
      <c r="H37" s="24">
        <f t="shared" si="11"/>
        <v>0</v>
      </c>
      <c r="I37" s="24">
        <f t="shared" si="11"/>
        <v>0</v>
      </c>
      <c r="J37" s="24">
        <f t="shared" si="11"/>
        <v>0</v>
      </c>
      <c r="K37" s="24">
        <f t="shared" si="11"/>
        <v>0</v>
      </c>
      <c r="L37" s="24">
        <f t="shared" si="11"/>
        <v>0</v>
      </c>
      <c r="M37" s="24">
        <f t="shared" si="11"/>
        <v>0</v>
      </c>
      <c r="N37" s="24">
        <f t="shared" si="11"/>
        <v>0</v>
      </c>
      <c r="O37" s="24">
        <f t="shared" si="11"/>
        <v>0</v>
      </c>
      <c r="P37" s="24">
        <f t="shared" si="11"/>
        <v>0</v>
      </c>
      <c r="Q37" s="24">
        <f t="shared" si="11"/>
        <v>913995.77026367188</v>
      </c>
      <c r="R37" s="24">
        <f t="shared" si="11"/>
        <v>977438.25390625</v>
      </c>
      <c r="S37" s="24">
        <f t="shared" si="11"/>
        <v>1046573.6469726562</v>
      </c>
      <c r="T37" s="24">
        <f t="shared" si="11"/>
        <v>1122291.5336914062</v>
      </c>
      <c r="U37" s="24">
        <f t="shared" si="11"/>
        <v>1202369.1845703125</v>
      </c>
      <c r="V37" s="24">
        <f t="shared" si="11"/>
        <v>1287043.6845703125</v>
      </c>
      <c r="W37" s="24">
        <f t="shared" si="11"/>
        <v>1377922.2431640625</v>
      </c>
      <c r="X37" s="24">
        <f t="shared" si="11"/>
        <v>1474754.6953125</v>
      </c>
    </row>
    <row r="38" spans="1:25" x14ac:dyDescent="0.3">
      <c r="A38" s="3" t="s">
        <v>37</v>
      </c>
      <c r="B38" s="83">
        <f>C38-C27</f>
        <v>0</v>
      </c>
      <c r="C38" s="83">
        <f t="shared" si="10"/>
        <v>0</v>
      </c>
      <c r="D38" s="24"/>
      <c r="E38" s="24">
        <f t="shared" ref="E38" si="12">IF(E37=0,0,E$9)</f>
        <v>0</v>
      </c>
      <c r="F38" s="24">
        <f t="shared" ref="F38" si="13">IF(F37=0,0,F$9)</f>
        <v>0</v>
      </c>
      <c r="G38" s="24">
        <f t="shared" ref="G38" si="14">IF(G37=0,0,G$9)</f>
        <v>0</v>
      </c>
      <c r="H38" s="24">
        <f t="shared" ref="H38" si="15">IF(H37=0,0,H$9)</f>
        <v>0</v>
      </c>
      <c r="I38" s="24">
        <f t="shared" ref="I38" si="16">IF(I37=0,0,I$9)</f>
        <v>0</v>
      </c>
      <c r="J38" s="24">
        <f t="shared" ref="J38" si="17">IF(J37=0,0,J$9)</f>
        <v>0</v>
      </c>
      <c r="K38" s="24">
        <f t="shared" ref="K38" si="18">IF(K37=0,0,K$9)</f>
        <v>0</v>
      </c>
      <c r="L38" s="24">
        <f t="shared" ref="L38" si="19">IF(L37=0,0,L$9)</f>
        <v>0</v>
      </c>
      <c r="M38" s="24">
        <f t="shared" ref="M38" si="20">IF(M37=0,0,M$9)</f>
        <v>0</v>
      </c>
      <c r="N38" s="24">
        <f t="shared" ref="N38" si="21">IF(N37=0,0,N$9)</f>
        <v>0</v>
      </c>
      <c r="O38" s="24">
        <f t="shared" ref="O38" si="22">IF(O37=0,0,O$9)</f>
        <v>0</v>
      </c>
      <c r="P38" s="24">
        <f t="shared" ref="P38" si="23">IF(P37=0,0,P$9)</f>
        <v>0</v>
      </c>
      <c r="Q38" s="24">
        <f t="shared" ref="Q38" si="24">IF(Q37=0,0,Q$9)</f>
        <v>0</v>
      </c>
      <c r="R38" s="24">
        <f t="shared" ref="R38" si="25">IF(R37=0,0,R$9)</f>
        <v>0</v>
      </c>
      <c r="S38" s="24">
        <f t="shared" ref="S38" si="26">IF(S37=0,0,S$9)</f>
        <v>0</v>
      </c>
      <c r="T38" s="24">
        <f t="shared" ref="T38" si="27">IF(T37=0,0,T$9)</f>
        <v>0</v>
      </c>
      <c r="U38" s="24">
        <f t="shared" ref="U38" si="28">IF(U37=0,0,U$9)</f>
        <v>0</v>
      </c>
      <c r="V38" s="24">
        <f t="shared" ref="V38" si="29">IF(V37=0,0,V$9)</f>
        <v>0</v>
      </c>
      <c r="W38" s="24">
        <f t="shared" ref="W38" si="30">IF(W37=0,0,W$9)</f>
        <v>0</v>
      </c>
      <c r="X38" s="24">
        <f t="shared" ref="X38" si="31">IF(X37=0,0,X$9)</f>
        <v>0</v>
      </c>
    </row>
    <row r="39" spans="1:25" x14ac:dyDescent="0.3">
      <c r="A39" s="3" t="s">
        <v>38</v>
      </c>
      <c r="B39" s="83">
        <f>C39-C28</f>
        <v>-6093.4625472954522</v>
      </c>
      <c r="C39" s="83">
        <f t="shared" si="10"/>
        <v>15646.065685621596</v>
      </c>
      <c r="D39" s="24"/>
      <c r="E39" s="24">
        <f t="shared" ref="E39:X39" si="32">IF(E37=0,0,E$10)</f>
        <v>0</v>
      </c>
      <c r="F39" s="24">
        <f t="shared" si="32"/>
        <v>0</v>
      </c>
      <c r="G39" s="24">
        <f t="shared" si="32"/>
        <v>0</v>
      </c>
      <c r="H39" s="24">
        <f t="shared" si="32"/>
        <v>0</v>
      </c>
      <c r="I39" s="24">
        <f t="shared" si="32"/>
        <v>0</v>
      </c>
      <c r="J39" s="24">
        <f t="shared" si="32"/>
        <v>0</v>
      </c>
      <c r="K39" s="24">
        <f t="shared" si="32"/>
        <v>0</v>
      </c>
      <c r="L39" s="24">
        <f t="shared" si="32"/>
        <v>0</v>
      </c>
      <c r="M39" s="24">
        <f t="shared" si="32"/>
        <v>0</v>
      </c>
      <c r="N39" s="24">
        <f t="shared" si="32"/>
        <v>0</v>
      </c>
      <c r="O39" s="24">
        <f t="shared" si="32"/>
        <v>0</v>
      </c>
      <c r="P39" s="24">
        <f t="shared" si="32"/>
        <v>0</v>
      </c>
      <c r="Q39" s="24">
        <f t="shared" si="32"/>
        <v>3789.417236328125</v>
      </c>
      <c r="R39" s="24">
        <f t="shared" si="32"/>
        <v>3953.05859375</v>
      </c>
      <c r="S39" s="24">
        <f t="shared" si="32"/>
        <v>4120.97802734375</v>
      </c>
      <c r="T39" s="24">
        <f t="shared" si="32"/>
        <v>4293.21630859375</v>
      </c>
      <c r="U39" s="24">
        <f t="shared" si="32"/>
        <v>4469.8154296875</v>
      </c>
      <c r="V39" s="24">
        <f t="shared" si="32"/>
        <v>4650.8154296875</v>
      </c>
      <c r="W39" s="24">
        <f t="shared" si="32"/>
        <v>4836.2568359375</v>
      </c>
      <c r="X39" s="24">
        <f t="shared" si="32"/>
        <v>5026.1796875</v>
      </c>
    </row>
    <row r="40" spans="1:25" s="2" customFormat="1" x14ac:dyDescent="0.3">
      <c r="A40" s="3" t="s">
        <v>22</v>
      </c>
      <c r="B40" s="83">
        <f>C40-C29</f>
        <v>1307524.1692602606</v>
      </c>
      <c r="C40" s="83">
        <f t="shared" si="10"/>
        <v>-8295157.2990341606</v>
      </c>
      <c r="D40" s="36"/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-88802.190126899994</v>
      </c>
      <c r="N40" s="24">
        <v>-1230117.3702459999</v>
      </c>
      <c r="O40" s="24">
        <v>-3256309.0962818</v>
      </c>
      <c r="P40" s="24">
        <v>-9224519.2269630991</v>
      </c>
      <c r="Q40" s="24">
        <v>-833976.0415542</v>
      </c>
      <c r="R40" s="36">
        <v>0</v>
      </c>
      <c r="S40" s="36">
        <v>0</v>
      </c>
      <c r="T40" s="36">
        <v>0</v>
      </c>
      <c r="U40" s="36">
        <v>0</v>
      </c>
      <c r="V40" s="36">
        <v>0</v>
      </c>
      <c r="W40" s="36">
        <v>0</v>
      </c>
      <c r="X40" s="36">
        <v>0</v>
      </c>
    </row>
    <row r="41" spans="1:25" s="2" customFormat="1" x14ac:dyDescent="0.3">
      <c r="A41" s="3" t="s">
        <v>39</v>
      </c>
      <c r="B41" s="83">
        <f>C41-C30</f>
        <v>413647.24819982518</v>
      </c>
      <c r="C41" s="83">
        <f t="shared" si="10"/>
        <v>4412237.3141314629</v>
      </c>
      <c r="D41" s="24"/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  <c r="O41" s="35">
        <v>0</v>
      </c>
      <c r="P41" s="35">
        <v>0</v>
      </c>
      <c r="Q41" s="35">
        <v>0</v>
      </c>
      <c r="R41" s="35">
        <v>0</v>
      </c>
      <c r="S41" s="35">
        <v>0</v>
      </c>
      <c r="T41" s="35">
        <v>0</v>
      </c>
      <c r="U41" s="35">
        <v>0</v>
      </c>
      <c r="V41" s="35">
        <v>0</v>
      </c>
      <c r="W41" s="35">
        <v>0</v>
      </c>
      <c r="X41" s="24">
        <f>SUM(D40:X40)*($B$5-SUM(D46:X46))/-$B$5</f>
        <v>11706979.1401376</v>
      </c>
    </row>
    <row r="42" spans="1:25" s="2" customFormat="1" x14ac:dyDescent="0.3">
      <c r="A42" s="3" t="s">
        <v>43</v>
      </c>
      <c r="B42" s="83">
        <f>C42</f>
        <v>1527044.4146105221</v>
      </c>
      <c r="C42" s="83">
        <f t="shared" si="10"/>
        <v>1527044.4146105221</v>
      </c>
      <c r="D42" s="24"/>
      <c r="E42" s="24">
        <f>-E40*Assumptions!B6</f>
        <v>0</v>
      </c>
      <c r="F42" s="24">
        <f>-F40*Assumptions!C6</f>
        <v>0</v>
      </c>
      <c r="G42" s="24">
        <f>-G40*Assumptions!D6</f>
        <v>0</v>
      </c>
      <c r="H42" s="24">
        <f>-H40*Assumptions!E6</f>
        <v>0</v>
      </c>
      <c r="I42" s="24">
        <f>-I40*Assumptions!F6</f>
        <v>0</v>
      </c>
      <c r="J42" s="24">
        <f>-J40*Assumptions!G6</f>
        <v>0</v>
      </c>
      <c r="K42" s="24">
        <f>-K40*Assumptions!H6</f>
        <v>0</v>
      </c>
      <c r="L42" s="24">
        <f>-L40*Assumptions!I6</f>
        <v>0</v>
      </c>
      <c r="M42" s="24">
        <f>-M40*Assumptions!J6</f>
        <v>13661.875404138464</v>
      </c>
      <c r="N42" s="24">
        <f>-N40*Assumptions!K6</f>
        <v>203442.48815606927</v>
      </c>
      <c r="O42" s="24">
        <f>-O40*Assumptions!L6</f>
        <v>576116.2247267802</v>
      </c>
      <c r="P42" s="24">
        <f>-P40*Assumptions!M6</f>
        <v>1738467.0850815079</v>
      </c>
      <c r="Q42" s="24">
        <f>-Q40*Assumptions!N6</f>
        <v>166795.20831084001</v>
      </c>
      <c r="R42" s="24">
        <f>-R40*Assumptions!O6</f>
        <v>0</v>
      </c>
      <c r="S42" s="24">
        <f>-S40*Assumptions!Q5</f>
        <v>0</v>
      </c>
      <c r="T42" s="24">
        <f>-T40*Assumptions!R5</f>
        <v>0</v>
      </c>
      <c r="U42" s="24">
        <f>-U40*Assumptions!S5</f>
        <v>0</v>
      </c>
      <c r="V42" s="24">
        <f>-V40*Assumptions!T5</f>
        <v>0</v>
      </c>
      <c r="W42" s="24">
        <f>-W40*Assumptions!U5</f>
        <v>0</v>
      </c>
      <c r="X42" s="24">
        <f>-X40*Assumptions!V5</f>
        <v>0</v>
      </c>
    </row>
    <row r="43" spans="1:25" s="2" customFormat="1" x14ac:dyDescent="0.3">
      <c r="A43" s="3" t="s">
        <v>41</v>
      </c>
      <c r="B43" s="83">
        <f>C43</f>
        <v>-2426194.6855530073</v>
      </c>
      <c r="C43" s="83">
        <f t="shared" si="10"/>
        <v>-2426194.6855530073</v>
      </c>
      <c r="D43" s="24"/>
      <c r="E43" s="36">
        <v>0</v>
      </c>
      <c r="F43" s="36">
        <v>0</v>
      </c>
      <c r="G43" s="36">
        <v>0</v>
      </c>
      <c r="H43" s="36">
        <v>0</v>
      </c>
      <c r="I43" s="83">
        <f>-Assumptions!F14*(I35-H35)*1000*Assumptions!$C9-Assumptions!F15*I35*1000*Assumptions!$C10</f>
        <v>-583015</v>
      </c>
      <c r="J43" s="83">
        <f>-Assumptions!G14*(J35-I35)*1000*Assumptions!$C9-Assumptions!G15*J35*1000*Assumptions!$C10</f>
        <v>-586444.49999999988</v>
      </c>
      <c r="K43" s="83">
        <f>-Assumptions!H14*(K35-J35)*1000*Assumptions!$C9-Assumptions!H15*K35*1000*Assumptions!$C10</f>
        <v>-1114244.5499999998</v>
      </c>
      <c r="L43" s="83">
        <f>-Assumptions!I14*(L35-K35)*1000*Assumptions!$C9-Assumptions!I15*L35*1000*Assumptions!$C10</f>
        <v>-117614.70249999997</v>
      </c>
      <c r="M43" s="83">
        <f>-Assumptions!J14*(M35-L35)*1000*Assumptions!$C9-Assumptions!J15*M35*1000*Assumptions!$C10</f>
        <v>-586603.32871874992</v>
      </c>
      <c r="N43" s="83">
        <f>-Assumptions!K14*(N35-M35)*1000*Assumptions!$C9-Assumptions!K15*N35*1000*Assumptions!$C10</f>
        <v>-132684.08625781245</v>
      </c>
      <c r="O43" s="83">
        <f>-Assumptions!L14*(O35-N35)*1000*Assumptions!$C9-Assumptions!L15*O35*1000*Assumptions!$C10</f>
        <v>-126049.88194492183</v>
      </c>
      <c r="P43" s="83">
        <f>-Assumptions!M14*(P35-O35)*1000*Assumptions!$C9-Assumptions!M15*P35*1000*Assumptions!$C10</f>
        <v>-119747.38784767574</v>
      </c>
      <c r="Q43" s="83">
        <f>-Assumptions!N14*(Q35-P35)*1000*Assumptions!$C9-Assumptions!N15*Q35*1000*Assumptions!$C10</f>
        <v>-113760.01845529194</v>
      </c>
      <c r="R43" s="36">
        <v>0</v>
      </c>
      <c r="S43" s="36">
        <v>0</v>
      </c>
      <c r="T43" s="36">
        <v>0</v>
      </c>
      <c r="U43" s="36">
        <v>0</v>
      </c>
      <c r="V43" s="36">
        <v>0</v>
      </c>
      <c r="W43" s="36">
        <v>0</v>
      </c>
      <c r="X43" s="36">
        <v>0</v>
      </c>
    </row>
    <row r="44" spans="1:25" s="2" customFormat="1" x14ac:dyDescent="0.3">
      <c r="A44" s="10" t="s">
        <v>42</v>
      </c>
      <c r="B44" s="86">
        <f>C44</f>
        <v>971777.53678817628</v>
      </c>
      <c r="C44" s="86">
        <f t="shared" si="10"/>
        <v>971777.53678817628</v>
      </c>
      <c r="D44" s="43"/>
      <c r="E44" s="43">
        <f t="shared" ref="E44:X44" si="33">IF(E35&gt;0,E$8-VLOOKUP(E35,$C$16:$X$22,E$15,FALSE),0)</f>
        <v>0</v>
      </c>
      <c r="F44" s="43">
        <f t="shared" si="33"/>
        <v>0</v>
      </c>
      <c r="G44" s="43">
        <f t="shared" si="33"/>
        <v>0</v>
      </c>
      <c r="H44" s="43">
        <f t="shared" si="33"/>
        <v>0</v>
      </c>
      <c r="I44" s="43">
        <f t="shared" si="33"/>
        <v>36637.9375</v>
      </c>
      <c r="J44" s="43">
        <f t="shared" si="33"/>
        <v>75425.46875</v>
      </c>
      <c r="K44" s="43">
        <f t="shared" si="33"/>
        <v>151765.71875</v>
      </c>
      <c r="L44" s="43">
        <f t="shared" si="33"/>
        <v>160125.0625</v>
      </c>
      <c r="M44" s="43">
        <f t="shared" si="33"/>
        <v>203360.78125</v>
      </c>
      <c r="N44" s="43">
        <f t="shared" si="33"/>
        <v>216785</v>
      </c>
      <c r="O44" s="43">
        <f t="shared" si="33"/>
        <v>230403.125</v>
      </c>
      <c r="P44" s="43">
        <f t="shared" si="33"/>
        <v>243915</v>
      </c>
      <c r="Q44" s="43">
        <f t="shared" si="33"/>
        <v>256151.875</v>
      </c>
      <c r="R44" s="43">
        <f t="shared" si="33"/>
        <v>0</v>
      </c>
      <c r="S44" s="43">
        <f t="shared" si="33"/>
        <v>0</v>
      </c>
      <c r="T44" s="43">
        <f t="shared" si="33"/>
        <v>0</v>
      </c>
      <c r="U44" s="43">
        <f t="shared" si="33"/>
        <v>0</v>
      </c>
      <c r="V44" s="43">
        <f t="shared" si="33"/>
        <v>0</v>
      </c>
      <c r="W44" s="43">
        <f t="shared" si="33"/>
        <v>0</v>
      </c>
      <c r="X44" s="43">
        <f t="shared" si="33"/>
        <v>0</v>
      </c>
    </row>
    <row r="45" spans="1:25" s="2" customFormat="1" x14ac:dyDescent="0.3">
      <c r="A45" s="3" t="s">
        <v>31</v>
      </c>
      <c r="B45" s="83">
        <f>SUM(B37:B44)</f>
        <v>412837.07019080315</v>
      </c>
      <c r="C45" s="83">
        <f t="shared" si="10"/>
        <v>361785.14070011763</v>
      </c>
      <c r="D45" s="24"/>
      <c r="E45" s="83">
        <f t="shared" ref="E45:X45" si="34">SUM(E37:E44)</f>
        <v>0</v>
      </c>
      <c r="F45" s="83">
        <f t="shared" si="34"/>
        <v>0</v>
      </c>
      <c r="G45" s="83">
        <f t="shared" si="34"/>
        <v>0</v>
      </c>
      <c r="H45" s="83">
        <f t="shared" si="34"/>
        <v>0</v>
      </c>
      <c r="I45" s="83">
        <f t="shared" si="34"/>
        <v>-546377.0625</v>
      </c>
      <c r="J45" s="83">
        <f t="shared" si="34"/>
        <v>-511019.03124999988</v>
      </c>
      <c r="K45" s="83">
        <f t="shared" si="34"/>
        <v>-962478.83124999981</v>
      </c>
      <c r="L45" s="83">
        <f t="shared" si="34"/>
        <v>42510.36000000003</v>
      </c>
      <c r="M45" s="83">
        <f t="shared" si="34"/>
        <v>-458382.86219151143</v>
      </c>
      <c r="N45" s="83">
        <f t="shared" si="34"/>
        <v>-942573.96834774315</v>
      </c>
      <c r="O45" s="83">
        <f t="shared" si="34"/>
        <v>-2575839.6284999414</v>
      </c>
      <c r="P45" s="83">
        <f t="shared" si="34"/>
        <v>-7361884.5297292667</v>
      </c>
      <c r="Q45" s="83">
        <f t="shared" si="34"/>
        <v>392996.21080134809</v>
      </c>
      <c r="R45" s="83">
        <f t="shared" si="34"/>
        <v>981391.3125</v>
      </c>
      <c r="S45" s="83">
        <f t="shared" si="34"/>
        <v>1050694.625</v>
      </c>
      <c r="T45" s="83">
        <f t="shared" si="34"/>
        <v>1126584.75</v>
      </c>
      <c r="U45" s="83">
        <f t="shared" si="34"/>
        <v>1206839</v>
      </c>
      <c r="V45" s="83">
        <f t="shared" si="34"/>
        <v>1291694.5</v>
      </c>
      <c r="W45" s="83">
        <f t="shared" si="34"/>
        <v>1382758.5</v>
      </c>
      <c r="X45" s="83">
        <f t="shared" si="34"/>
        <v>13186760.0151376</v>
      </c>
    </row>
    <row r="46" spans="1:25" s="2" customFormat="1" x14ac:dyDescent="0.3">
      <c r="A46" s="34"/>
      <c r="B46" s="34"/>
      <c r="C46" s="34"/>
      <c r="D46" s="8"/>
      <c r="E46" s="88">
        <v>0</v>
      </c>
      <c r="F46" s="88">
        <v>0</v>
      </c>
      <c r="G46" s="88">
        <v>0</v>
      </c>
      <c r="H46" s="88">
        <v>0</v>
      </c>
      <c r="I46" s="88">
        <v>0</v>
      </c>
      <c r="J46" s="88">
        <v>0</v>
      </c>
      <c r="K46" s="88">
        <v>0</v>
      </c>
      <c r="L46" s="88">
        <v>0</v>
      </c>
      <c r="M46" s="88">
        <v>0</v>
      </c>
      <c r="N46" s="88">
        <v>0</v>
      </c>
      <c r="O46" s="88">
        <v>0</v>
      </c>
      <c r="P46" s="88">
        <v>0</v>
      </c>
      <c r="Q46" s="88">
        <v>1</v>
      </c>
      <c r="R46" s="88">
        <v>1</v>
      </c>
      <c r="S46" s="88">
        <v>1</v>
      </c>
      <c r="T46" s="88">
        <v>1</v>
      </c>
      <c r="U46" s="88">
        <v>1</v>
      </c>
      <c r="V46" s="88">
        <v>1</v>
      </c>
      <c r="W46" s="88">
        <v>1</v>
      </c>
      <c r="X46" s="88">
        <v>1</v>
      </c>
    </row>
    <row r="47" spans="1:25" s="2" customFormat="1" x14ac:dyDescent="0.3">
      <c r="A47" s="87" t="s">
        <v>98</v>
      </c>
      <c r="B47" s="29"/>
      <c r="C47" s="34"/>
      <c r="D47" s="21"/>
      <c r="E47" s="30" t="str">
        <f>IF(E44&gt;0,E44/E$8,"")</f>
        <v/>
      </c>
      <c r="F47" s="30" t="str">
        <f t="shared" ref="F47:X47" si="35">IF(F44&gt;0,F44/F$8,"")</f>
        <v/>
      </c>
      <c r="G47" s="30" t="str">
        <f t="shared" si="35"/>
        <v/>
      </c>
      <c r="H47" s="30" t="str">
        <f t="shared" si="35"/>
        <v/>
      </c>
      <c r="I47" s="30">
        <f t="shared" si="35"/>
        <v>7.4748385715159293E-2</v>
      </c>
      <c r="J47" s="30">
        <f t="shared" si="35"/>
        <v>0.14325328480057034</v>
      </c>
      <c r="K47" s="30">
        <f t="shared" si="35"/>
        <v>0.26821387265518915</v>
      </c>
      <c r="L47" s="30">
        <f t="shared" si="35"/>
        <v>0.26348749690283135</v>
      </c>
      <c r="M47" s="30">
        <f t="shared" si="35"/>
        <v>0.30817833352505736</v>
      </c>
      <c r="N47" s="30">
        <f t="shared" si="35"/>
        <v>0.30117150294945644</v>
      </c>
      <c r="O47" s="30">
        <f t="shared" si="35"/>
        <v>0.29378689086213444</v>
      </c>
      <c r="P47" s="30">
        <f t="shared" ref="P47" si="36">IF(P44&gt;0,P44/P$8,"")</f>
        <v>0.28628032230907496</v>
      </c>
      <c r="Q47" s="30">
        <f t="shared" si="35"/>
        <v>0.28025498950187117</v>
      </c>
      <c r="R47" s="30" t="str">
        <f t="shared" si="35"/>
        <v/>
      </c>
      <c r="S47" s="30" t="str">
        <f t="shared" si="35"/>
        <v/>
      </c>
      <c r="T47" s="30" t="str">
        <f t="shared" si="35"/>
        <v/>
      </c>
      <c r="U47" s="30" t="str">
        <f t="shared" si="35"/>
        <v/>
      </c>
      <c r="V47" s="30" t="str">
        <f t="shared" si="35"/>
        <v/>
      </c>
      <c r="W47" s="30" t="str">
        <f t="shared" si="35"/>
        <v/>
      </c>
      <c r="X47" s="30" t="str">
        <f t="shared" si="35"/>
        <v/>
      </c>
    </row>
    <row r="48" spans="1:25" s="2" customFormat="1" x14ac:dyDescent="0.3">
      <c r="A48" s="87" t="s">
        <v>97</v>
      </c>
      <c r="B48" s="29"/>
      <c r="C48" s="34"/>
      <c r="D48" s="34"/>
      <c r="E48" s="7"/>
      <c r="F48" s="7"/>
      <c r="G48" s="30" t="str">
        <f t="shared" ref="G48:M48" si="37">IF(G44&gt;0,G44/G$11,"")</f>
        <v/>
      </c>
      <c r="H48" s="30" t="str">
        <f t="shared" si="37"/>
        <v/>
      </c>
      <c r="I48" s="30">
        <f t="shared" si="37"/>
        <v>7.4349561666879005E-2</v>
      </c>
      <c r="J48" s="30">
        <f t="shared" si="37"/>
        <v>0.14250621866680521</v>
      </c>
      <c r="K48" s="30">
        <f t="shared" si="37"/>
        <v>0.26684856571663179</v>
      </c>
      <c r="L48" s="30">
        <f t="shared" si="37"/>
        <v>0.26217861130941078</v>
      </c>
      <c r="M48" s="30">
        <f t="shared" si="37"/>
        <v>0.30670180881884967</v>
      </c>
      <c r="N48" s="30">
        <f>IF(N44&gt;0,N44/N$11,"")</f>
        <v>0.2997872182828924</v>
      </c>
      <c r="O48" s="30">
        <f>IF(O44&gt;0,O44/O$11,"")</f>
        <v>0.29249094586816915</v>
      </c>
      <c r="P48" s="30">
        <f>IF(P44&gt;0,P44/P$11,"")</f>
        <v>0.28506579798431197</v>
      </c>
      <c r="Q48" s="30">
        <f>IF(Q44&gt;0,Q44/Q$11,"")</f>
        <v>0.27909785262251252</v>
      </c>
      <c r="R48" s="7"/>
      <c r="S48" s="7"/>
      <c r="T48" s="7"/>
      <c r="U48" s="7"/>
    </row>
    <row r="49" spans="3:21" s="2" customFormat="1" x14ac:dyDescent="0.3">
      <c r="C49" s="16"/>
      <c r="D49" s="7"/>
      <c r="E49" s="7"/>
      <c r="F49" s="7"/>
      <c r="G49" s="7"/>
      <c r="H49" s="7"/>
      <c r="I49" s="7"/>
      <c r="J49" s="7"/>
      <c r="K49" s="31"/>
      <c r="L49" s="7"/>
      <c r="M49" s="7"/>
      <c r="N49" s="7"/>
      <c r="O49" s="7"/>
      <c r="P49" s="7"/>
      <c r="Q49" s="7"/>
      <c r="R49" s="7"/>
      <c r="S49" s="7"/>
      <c r="T49" s="7"/>
      <c r="U49" s="7"/>
    </row>
  </sheetData>
  <pageMargins left="0.25" right="0.25" top="0.75" bottom="0.75" header="0.3" footer="0.3"/>
  <pageSetup paperSize="8" scale="67" orientation="portrait" verticalDpi="300" r:id="rId1"/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51"/>
  <sheetViews>
    <sheetView zoomScale="85" zoomScaleNormal="85" workbookViewId="0">
      <selection activeCell="B1" sqref="B1"/>
    </sheetView>
  </sheetViews>
  <sheetFormatPr defaultColWidth="8.90625" defaultRowHeight="13.8" x14ac:dyDescent="0.3"/>
  <cols>
    <col min="1" max="1" width="30.81640625" style="3" customWidth="1"/>
    <col min="2" max="2" width="9.6328125" style="3" customWidth="1"/>
    <col min="3" max="3" width="9.36328125" style="2" customWidth="1"/>
    <col min="4" max="4" width="8" style="3" bestFit="1" customWidth="1"/>
    <col min="5" max="5" width="7.6328125" style="3" bestFit="1" customWidth="1"/>
    <col min="6" max="6" width="8.1796875" style="3" bestFit="1" customWidth="1"/>
    <col min="7" max="7" width="8.08984375" style="3" bestFit="1" customWidth="1"/>
    <col min="8" max="8" width="9.1796875" style="3" customWidth="1"/>
    <col min="9" max="9" width="8" style="3" bestFit="1" customWidth="1"/>
    <col min="10" max="10" width="9.90625" style="3" customWidth="1"/>
    <col min="11" max="11" width="9.6328125" style="3" customWidth="1"/>
    <col min="12" max="12" width="9.81640625" style="3" customWidth="1"/>
    <col min="13" max="21" width="11.54296875" style="3" customWidth="1"/>
    <col min="22" max="16384" width="8.90625" style="3"/>
  </cols>
  <sheetData>
    <row r="1" spans="1:22" x14ac:dyDescent="0.3">
      <c r="A1" s="1" t="s">
        <v>92</v>
      </c>
      <c r="B1" s="3" t="s">
        <v>119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</row>
    <row r="2" spans="1:22" x14ac:dyDescent="0.3">
      <c r="A2" s="3" t="s">
        <v>0</v>
      </c>
      <c r="B2" s="4">
        <v>0.05</v>
      </c>
      <c r="D2" s="80" t="s">
        <v>2</v>
      </c>
      <c r="E2" s="80" t="s">
        <v>3</v>
      </c>
      <c r="F2" s="80" t="s">
        <v>4</v>
      </c>
      <c r="G2" s="80" t="s">
        <v>5</v>
      </c>
      <c r="H2" s="80" t="s">
        <v>6</v>
      </c>
      <c r="I2" s="80" t="s">
        <v>7</v>
      </c>
      <c r="J2" s="80" t="s">
        <v>8</v>
      </c>
      <c r="K2" s="80" t="s">
        <v>9</v>
      </c>
      <c r="L2" s="80" t="s">
        <v>10</v>
      </c>
      <c r="M2" s="80" t="s">
        <v>11</v>
      </c>
      <c r="N2" s="80" t="s">
        <v>12</v>
      </c>
      <c r="O2" s="80" t="s">
        <v>13</v>
      </c>
      <c r="P2" s="80" t="s">
        <v>14</v>
      </c>
      <c r="Q2" s="80" t="s">
        <v>14</v>
      </c>
      <c r="R2" s="42"/>
      <c r="S2" s="42"/>
      <c r="T2" s="42"/>
      <c r="U2" s="42"/>
      <c r="V2" s="42"/>
    </row>
    <row r="3" spans="1:22" x14ac:dyDescent="0.3">
      <c r="A3" s="3" t="s">
        <v>22</v>
      </c>
      <c r="B3" s="83">
        <f>SUM(D3:M3)</f>
        <v>-33900578.7629558</v>
      </c>
      <c r="D3" s="8"/>
      <c r="E3" s="8"/>
      <c r="F3" s="8"/>
      <c r="G3" s="8"/>
      <c r="H3" s="36">
        <v>-537346.93442559999</v>
      </c>
      <c r="I3" s="36">
        <v>-1673137.2101971</v>
      </c>
      <c r="J3" s="36">
        <v>-14752844.605043201</v>
      </c>
      <c r="K3" s="36">
        <v>-15120059.0216686</v>
      </c>
      <c r="L3" s="36">
        <v>-1817190.9916213001</v>
      </c>
      <c r="N3" s="42"/>
      <c r="O3" s="42"/>
      <c r="P3" s="42"/>
      <c r="Q3" s="42"/>
      <c r="R3" s="42"/>
      <c r="S3" s="42"/>
      <c r="T3" s="42"/>
      <c r="U3" s="42"/>
      <c r="V3" s="42"/>
    </row>
    <row r="4" spans="1:22" x14ac:dyDescent="0.3">
      <c r="A4" s="3" t="s">
        <v>23</v>
      </c>
      <c r="B4" s="82">
        <v>1628428.5764285699</v>
      </c>
      <c r="D4" s="83"/>
      <c r="N4" s="42"/>
      <c r="O4" s="42"/>
      <c r="P4" s="42"/>
      <c r="Q4" s="42"/>
      <c r="R4" s="42"/>
      <c r="S4" s="42"/>
      <c r="T4" s="42"/>
      <c r="U4" s="42"/>
      <c r="V4" s="42"/>
    </row>
    <row r="5" spans="1:22" x14ac:dyDescent="0.3">
      <c r="A5" s="3" t="s">
        <v>24</v>
      </c>
      <c r="B5" s="8">
        <v>45</v>
      </c>
      <c r="N5" s="42"/>
      <c r="O5" s="42"/>
      <c r="P5" s="42"/>
      <c r="Q5" s="42"/>
      <c r="R5" s="42"/>
      <c r="S5" s="42"/>
      <c r="T5" s="42"/>
      <c r="U5" s="42"/>
      <c r="V5" s="42"/>
    </row>
    <row r="6" spans="1:22" x14ac:dyDescent="0.3">
      <c r="C6" s="7"/>
      <c r="M6" s="2"/>
      <c r="N6" s="2"/>
    </row>
    <row r="7" spans="1:22" x14ac:dyDescent="0.3">
      <c r="A7" s="10" t="s">
        <v>25</v>
      </c>
      <c r="B7" s="10"/>
      <c r="C7" s="11"/>
      <c r="D7" s="80" t="s">
        <v>2</v>
      </c>
      <c r="E7" s="80" t="s">
        <v>3</v>
      </c>
      <c r="F7" s="80" t="s">
        <v>4</v>
      </c>
      <c r="G7" s="80" t="s">
        <v>5</v>
      </c>
      <c r="H7" s="80" t="s">
        <v>6</v>
      </c>
      <c r="I7" s="80" t="s">
        <v>7</v>
      </c>
      <c r="J7" s="80" t="s">
        <v>8</v>
      </c>
      <c r="K7" s="80" t="s">
        <v>9</v>
      </c>
      <c r="L7" s="80" t="s">
        <v>10</v>
      </c>
      <c r="M7" s="80" t="s">
        <v>11</v>
      </c>
      <c r="N7" s="80" t="s">
        <v>12</v>
      </c>
      <c r="O7" s="80" t="s">
        <v>13</v>
      </c>
      <c r="P7" s="80" t="s">
        <v>14</v>
      </c>
      <c r="Q7" s="80" t="s">
        <v>15</v>
      </c>
      <c r="R7" s="80" t="s">
        <v>16</v>
      </c>
      <c r="S7" s="80" t="s">
        <v>17</v>
      </c>
      <c r="T7" s="80" t="s">
        <v>18</v>
      </c>
      <c r="U7" s="80" t="s">
        <v>19</v>
      </c>
      <c r="V7" s="80" t="s">
        <v>20</v>
      </c>
    </row>
    <row r="8" spans="1:22" x14ac:dyDescent="0.3">
      <c r="A8" s="3" t="s">
        <v>26</v>
      </c>
      <c r="D8" s="82">
        <v>59709.608997733798</v>
      </c>
      <c r="E8" s="82">
        <v>212718.95185455712</v>
      </c>
      <c r="F8" s="82">
        <v>271640.17512621154</v>
      </c>
      <c r="G8" s="82">
        <v>388777.23234612902</v>
      </c>
      <c r="H8" s="82">
        <v>553306.04262008995</v>
      </c>
      <c r="I8" s="82">
        <v>804909.60199272889</v>
      </c>
      <c r="J8" s="82">
        <v>1203321.077767456</v>
      </c>
      <c r="K8" s="82">
        <v>1590527.9646603051</v>
      </c>
      <c r="L8" s="82">
        <v>2133318.2896221341</v>
      </c>
      <c r="M8" s="82">
        <v>2708248.6996970545</v>
      </c>
      <c r="N8" s="82">
        <v>3390993.9877124638</v>
      </c>
      <c r="O8" s="82">
        <v>7804288.9174787132</v>
      </c>
      <c r="P8" s="82">
        <v>10612675.757984258</v>
      </c>
      <c r="Q8" s="82">
        <v>12348868.460739568</v>
      </c>
      <c r="R8" s="82">
        <v>14515104.546433991</v>
      </c>
      <c r="S8" s="82">
        <v>16681340.632128414</v>
      </c>
      <c r="T8" s="82">
        <v>18847576.717822745</v>
      </c>
      <c r="U8" s="82">
        <v>21013812.803517167</v>
      </c>
      <c r="V8" s="82">
        <v>23180048.889211588</v>
      </c>
    </row>
    <row r="9" spans="1:22" x14ac:dyDescent="0.3">
      <c r="A9" s="3" t="s">
        <v>27</v>
      </c>
      <c r="D9" s="82">
        <v>1300.3156801530297</v>
      </c>
      <c r="E9" s="82">
        <v>1438.2750566249013</v>
      </c>
      <c r="F9" s="82">
        <v>1587.8863382189656</v>
      </c>
      <c r="G9" s="82">
        <v>1750.2747149255747</v>
      </c>
      <c r="H9" s="82">
        <v>1925.2380662861465</v>
      </c>
      <c r="I9" s="82">
        <v>2113.9063924696502</v>
      </c>
      <c r="J9" s="82">
        <v>2317.0031116568703</v>
      </c>
      <c r="K9" s="82">
        <v>2535.8912331897786</v>
      </c>
      <c r="L9" s="82">
        <v>2770.1400927938912</v>
      </c>
      <c r="M9" s="82">
        <v>3021.1106780372384</v>
      </c>
      <c r="N9" s="82">
        <v>3289.6075203467908</v>
      </c>
      <c r="O9" s="82">
        <v>3577.2676208923494</v>
      </c>
      <c r="P9" s="82">
        <v>3883.3669055831406</v>
      </c>
      <c r="Q9" s="82">
        <v>4209.5326206641967</v>
      </c>
      <c r="R9" s="82">
        <v>4556.6525905594735</v>
      </c>
      <c r="S9" s="82">
        <v>4926.6775795547392</v>
      </c>
      <c r="T9" s="82">
        <v>5318.5180009634769</v>
      </c>
      <c r="U9" s="82">
        <v>5734.1062086812981</v>
      </c>
      <c r="V9" s="82">
        <v>6174.4154819746482</v>
      </c>
    </row>
    <row r="10" spans="1:22" x14ac:dyDescent="0.3">
      <c r="A10" s="10" t="s">
        <v>28</v>
      </c>
      <c r="B10" s="10"/>
      <c r="C10" s="13"/>
      <c r="D10" s="84">
        <v>7355.9914759210114</v>
      </c>
      <c r="E10" s="84">
        <v>8099.7064280118821</v>
      </c>
      <c r="F10" s="84">
        <v>8911.0628910353571</v>
      </c>
      <c r="G10" s="84">
        <v>9797.038694953535</v>
      </c>
      <c r="H10" s="84">
        <v>10757.426957343787</v>
      </c>
      <c r="I10" s="84">
        <v>11799.343693079903</v>
      </c>
      <c r="J10" s="84">
        <v>12927.759438640682</v>
      </c>
      <c r="K10" s="84">
        <v>14151.294843689317</v>
      </c>
      <c r="L10" s="84">
        <v>15468.602715743276</v>
      </c>
      <c r="M10" s="84">
        <v>16888.406394207235</v>
      </c>
      <c r="N10" s="84">
        <v>18416.397893710266</v>
      </c>
      <c r="O10" s="84">
        <v>20063.116216730115</v>
      </c>
      <c r="P10" s="84">
        <v>21825.643289713338</v>
      </c>
      <c r="Q10" s="84">
        <v>23714.576634596036</v>
      </c>
      <c r="R10" s="84">
        <v>25736.366259259026</v>
      </c>
      <c r="S10" s="84">
        <v>27903.776288322013</v>
      </c>
      <c r="T10" s="84">
        <v>30211.820891115247</v>
      </c>
      <c r="U10" s="84">
        <v>32673.269622949188</v>
      </c>
      <c r="V10" s="84">
        <v>35295.365784353766</v>
      </c>
    </row>
    <row r="11" spans="1:22" x14ac:dyDescent="0.3">
      <c r="A11" s="14" t="s">
        <v>29</v>
      </c>
      <c r="B11" s="14"/>
      <c r="C11" s="15"/>
      <c r="D11" s="83">
        <f>SUM(D8:D10)</f>
        <v>68365.916153807833</v>
      </c>
      <c r="E11" s="83">
        <f t="shared" ref="E11:V11" si="0">SUM(E8:E10)</f>
        <v>222256.9333391939</v>
      </c>
      <c r="F11" s="83">
        <f t="shared" si="0"/>
        <v>282139.12435546587</v>
      </c>
      <c r="G11" s="83">
        <f t="shared" si="0"/>
        <v>400324.54575600813</v>
      </c>
      <c r="H11" s="83">
        <f t="shared" si="0"/>
        <v>565988.70764371997</v>
      </c>
      <c r="I11" s="83">
        <f t="shared" si="0"/>
        <v>818822.85207827843</v>
      </c>
      <c r="J11" s="83">
        <f t="shared" si="0"/>
        <v>1218565.8403177534</v>
      </c>
      <c r="K11" s="83">
        <f t="shared" si="0"/>
        <v>1607215.1507371841</v>
      </c>
      <c r="L11" s="83">
        <f t="shared" si="0"/>
        <v>2151557.0324306712</v>
      </c>
      <c r="M11" s="83">
        <f t="shared" si="0"/>
        <v>2728158.216769299</v>
      </c>
      <c r="N11" s="83">
        <f t="shared" si="0"/>
        <v>3412699.9931265209</v>
      </c>
      <c r="O11" s="83">
        <f t="shared" si="0"/>
        <v>7827929.3013163358</v>
      </c>
      <c r="P11" s="83">
        <f t="shared" si="0"/>
        <v>10638384.768179554</v>
      </c>
      <c r="Q11" s="83">
        <f t="shared" si="0"/>
        <v>12376792.569994828</v>
      </c>
      <c r="R11" s="83">
        <f t="shared" si="0"/>
        <v>14545397.565283809</v>
      </c>
      <c r="S11" s="83">
        <f t="shared" si="0"/>
        <v>16714171.085996291</v>
      </c>
      <c r="T11" s="83">
        <f t="shared" si="0"/>
        <v>18883107.056714825</v>
      </c>
      <c r="U11" s="83">
        <f t="shared" si="0"/>
        <v>21052220.179348797</v>
      </c>
      <c r="V11" s="83">
        <f t="shared" si="0"/>
        <v>23221518.670477916</v>
      </c>
    </row>
    <row r="12" spans="1:22" x14ac:dyDescent="0.3">
      <c r="A12" s="14" t="s">
        <v>30</v>
      </c>
      <c r="B12" s="14"/>
      <c r="C12" s="15"/>
      <c r="D12" s="83">
        <f t="shared" ref="D12:V12" si="1">$B$4</f>
        <v>1628428.5764285699</v>
      </c>
      <c r="E12" s="83">
        <f t="shared" si="1"/>
        <v>1628428.5764285699</v>
      </c>
      <c r="F12" s="83">
        <f t="shared" si="1"/>
        <v>1628428.5764285699</v>
      </c>
      <c r="G12" s="83">
        <f t="shared" si="1"/>
        <v>1628428.5764285699</v>
      </c>
      <c r="H12" s="83">
        <f t="shared" si="1"/>
        <v>1628428.5764285699</v>
      </c>
      <c r="I12" s="83">
        <f t="shared" si="1"/>
        <v>1628428.5764285699</v>
      </c>
      <c r="J12" s="83">
        <f t="shared" si="1"/>
        <v>1628428.5764285699</v>
      </c>
      <c r="K12" s="83">
        <f t="shared" si="1"/>
        <v>1628428.5764285699</v>
      </c>
      <c r="L12" s="83">
        <f t="shared" si="1"/>
        <v>1628428.5764285699</v>
      </c>
      <c r="M12" s="83">
        <f t="shared" si="1"/>
        <v>1628428.5764285699</v>
      </c>
      <c r="N12" s="83">
        <f t="shared" si="1"/>
        <v>1628428.5764285699</v>
      </c>
      <c r="O12" s="83">
        <f t="shared" si="1"/>
        <v>1628428.5764285699</v>
      </c>
      <c r="P12" s="83">
        <f t="shared" si="1"/>
        <v>1628428.5764285699</v>
      </c>
      <c r="Q12" s="83">
        <f t="shared" si="1"/>
        <v>1628428.5764285699</v>
      </c>
      <c r="R12" s="83">
        <f t="shared" si="1"/>
        <v>1628428.5764285699</v>
      </c>
      <c r="S12" s="83">
        <f t="shared" si="1"/>
        <v>1628428.5764285699</v>
      </c>
      <c r="T12" s="83">
        <f t="shared" si="1"/>
        <v>1628428.5764285699</v>
      </c>
      <c r="U12" s="83">
        <f t="shared" si="1"/>
        <v>1628428.5764285699</v>
      </c>
      <c r="V12" s="83">
        <f t="shared" si="1"/>
        <v>1628428.5764285699</v>
      </c>
    </row>
    <row r="13" spans="1:22" x14ac:dyDescent="0.3">
      <c r="A13" s="14" t="s">
        <v>31</v>
      </c>
      <c r="B13" s="14"/>
      <c r="C13" s="15"/>
      <c r="D13" s="83">
        <f t="shared" ref="D13:V13" si="2">D11-D12</f>
        <v>-1560062.660274762</v>
      </c>
      <c r="E13" s="83">
        <f t="shared" si="2"/>
        <v>-1406171.6430893759</v>
      </c>
      <c r="F13" s="83">
        <f t="shared" si="2"/>
        <v>-1346289.452073104</v>
      </c>
      <c r="G13" s="83">
        <f t="shared" si="2"/>
        <v>-1228104.0306725618</v>
      </c>
      <c r="H13" s="83">
        <f t="shared" si="2"/>
        <v>-1062439.86878485</v>
      </c>
      <c r="I13" s="83">
        <f t="shared" si="2"/>
        <v>-809605.72435029142</v>
      </c>
      <c r="J13" s="83">
        <f t="shared" si="2"/>
        <v>-409862.73611081648</v>
      </c>
      <c r="K13" s="83">
        <f t="shared" si="2"/>
        <v>-21213.425691385753</v>
      </c>
      <c r="L13" s="83">
        <f t="shared" si="2"/>
        <v>523128.4560021013</v>
      </c>
      <c r="M13" s="83">
        <f t="shared" si="2"/>
        <v>1099729.6403407292</v>
      </c>
      <c r="N13" s="83">
        <f t="shared" si="2"/>
        <v>1784271.416697951</v>
      </c>
      <c r="O13" s="83">
        <f t="shared" si="2"/>
        <v>6199500.7248877659</v>
      </c>
      <c r="P13" s="83">
        <f t="shared" si="2"/>
        <v>9009956.1917509846</v>
      </c>
      <c r="Q13" s="83">
        <f t="shared" si="2"/>
        <v>10748363.993566258</v>
      </c>
      <c r="R13" s="83">
        <f t="shared" si="2"/>
        <v>12916968.988855239</v>
      </c>
      <c r="S13" s="83">
        <f t="shared" si="2"/>
        <v>15085742.509567721</v>
      </c>
      <c r="T13" s="83">
        <f t="shared" si="2"/>
        <v>17254678.480286255</v>
      </c>
      <c r="U13" s="83">
        <f t="shared" si="2"/>
        <v>19423791.602920227</v>
      </c>
      <c r="V13" s="83">
        <f t="shared" si="2"/>
        <v>21593090.094049346</v>
      </c>
    </row>
    <row r="14" spans="1:22" x14ac:dyDescent="0.3">
      <c r="A14" s="14"/>
      <c r="B14" s="14"/>
      <c r="C14" s="15"/>
      <c r="D14" s="7"/>
      <c r="E14" s="7"/>
      <c r="M14" s="7"/>
      <c r="N14" s="7"/>
      <c r="O14" s="7"/>
      <c r="P14" s="7"/>
      <c r="Q14" s="7"/>
      <c r="R14" s="7"/>
      <c r="S14" s="7"/>
      <c r="T14" s="7"/>
    </row>
    <row r="15" spans="1:22" x14ac:dyDescent="0.3">
      <c r="A15" s="18" t="s">
        <v>93</v>
      </c>
      <c r="B15" s="81" t="s">
        <v>94</v>
      </c>
      <c r="C15" s="19">
        <v>2</v>
      </c>
      <c r="D15" s="19">
        <v>3</v>
      </c>
      <c r="E15" s="19">
        <v>4</v>
      </c>
      <c r="F15" s="19">
        <v>5</v>
      </c>
      <c r="G15" s="19">
        <v>6</v>
      </c>
      <c r="H15" s="19">
        <v>7</v>
      </c>
      <c r="I15" s="19">
        <v>8</v>
      </c>
      <c r="J15" s="19">
        <v>9</v>
      </c>
      <c r="K15" s="19">
        <v>10</v>
      </c>
      <c r="L15" s="19">
        <v>11</v>
      </c>
      <c r="M15" s="19">
        <v>12</v>
      </c>
      <c r="N15" s="19">
        <v>13</v>
      </c>
      <c r="O15" s="19">
        <v>14</v>
      </c>
      <c r="P15" s="19">
        <v>15</v>
      </c>
      <c r="Q15" s="19">
        <v>16</v>
      </c>
      <c r="R15" s="19">
        <v>17</v>
      </c>
      <c r="S15" s="19">
        <v>18</v>
      </c>
      <c r="T15" s="19">
        <v>19</v>
      </c>
    </row>
    <row r="16" spans="1:22" x14ac:dyDescent="0.3">
      <c r="A16" s="3" t="s">
        <v>26</v>
      </c>
      <c r="B16" s="20">
        <v>2</v>
      </c>
      <c r="C16" s="3"/>
      <c r="D16" s="8"/>
      <c r="E16" s="8"/>
      <c r="F16" s="82">
        <v>253163.59842775567</v>
      </c>
      <c r="G16" s="82">
        <v>354772.05354276462</v>
      </c>
      <c r="H16" s="82">
        <v>495477.99692749593</v>
      </c>
      <c r="I16" s="82">
        <v>719497.90824754199</v>
      </c>
      <c r="J16" s="82">
        <v>1072077.6975051828</v>
      </c>
      <c r="K16" s="82">
        <v>1423168.1478640002</v>
      </c>
      <c r="L16" s="82">
        <v>1915918.3601240651</v>
      </c>
      <c r="M16" s="82">
        <v>2490693.8681612848</v>
      </c>
      <c r="N16" s="82">
        <v>3237902.0286096702</v>
      </c>
      <c r="Q16" s="8"/>
      <c r="R16" s="8"/>
      <c r="S16" s="8"/>
      <c r="T16" s="8"/>
    </row>
    <row r="17" spans="1:23" x14ac:dyDescent="0.3">
      <c r="A17" s="3" t="s">
        <v>26</v>
      </c>
      <c r="B17" s="20">
        <v>3</v>
      </c>
      <c r="C17" s="3"/>
      <c r="D17" s="8"/>
      <c r="E17" s="8"/>
      <c r="F17" s="82">
        <v>243822.80930225362</v>
      </c>
      <c r="G17" s="82">
        <v>337812.76519852696</v>
      </c>
      <c r="H17" s="82">
        <v>470238.49585325288</v>
      </c>
      <c r="I17" s="82">
        <v>678749.09720550303</v>
      </c>
      <c r="J17" s="82">
        <v>1010904.7699834368</v>
      </c>
      <c r="K17" s="82">
        <v>1345965.1414101955</v>
      </c>
      <c r="L17" s="82">
        <v>1814967.9575794812</v>
      </c>
      <c r="M17" s="82">
        <v>2359458.3448533257</v>
      </c>
      <c r="N17" s="82">
        <v>3067295.8483093237</v>
      </c>
      <c r="Q17" s="8"/>
      <c r="R17" s="8"/>
      <c r="S17" s="8"/>
      <c r="T17" s="8"/>
    </row>
    <row r="18" spans="1:23" x14ac:dyDescent="0.3">
      <c r="A18" s="3" t="s">
        <v>26</v>
      </c>
      <c r="B18" s="20">
        <v>4</v>
      </c>
      <c r="C18" s="3"/>
      <c r="D18" s="8"/>
      <c r="E18" s="8"/>
      <c r="F18" s="82">
        <v>234413.90351318376</v>
      </c>
      <c r="G18" s="82">
        <v>320744.93979340798</v>
      </c>
      <c r="H18" s="82">
        <v>444671.29059403832</v>
      </c>
      <c r="I18" s="82">
        <v>642139.3969640719</v>
      </c>
      <c r="J18" s="82">
        <v>957777.88835961372</v>
      </c>
      <c r="K18" s="82">
        <v>1269607.7426836165</v>
      </c>
      <c r="L18" s="82">
        <v>1719813.9569483483</v>
      </c>
      <c r="M18" s="82">
        <v>2235758.1440328527</v>
      </c>
      <c r="N18" s="82">
        <v>2906485.5872427085</v>
      </c>
      <c r="Q18" s="8"/>
      <c r="R18" s="8"/>
      <c r="S18" s="8"/>
      <c r="T18" s="8"/>
    </row>
    <row r="19" spans="1:23" x14ac:dyDescent="0.3">
      <c r="A19" s="3" t="s">
        <v>26</v>
      </c>
      <c r="B19" s="20">
        <v>6</v>
      </c>
      <c r="C19" s="3"/>
      <c r="D19" s="8"/>
      <c r="E19" s="8"/>
      <c r="F19" s="82">
        <v>219701.14022355471</v>
      </c>
      <c r="G19" s="82">
        <v>299745.10720629012</v>
      </c>
      <c r="H19" s="82">
        <v>404320.02222653129</v>
      </c>
      <c r="I19" s="82">
        <v>572219.55816704931</v>
      </c>
      <c r="J19" s="82">
        <v>853990.61854042904</v>
      </c>
      <c r="K19" s="82">
        <v>1135556.5330183995</v>
      </c>
      <c r="L19" s="82">
        <v>1540127.7870346347</v>
      </c>
      <c r="M19" s="82">
        <v>2002166.1231450252</v>
      </c>
      <c r="N19" s="82">
        <v>2602815.9600885329</v>
      </c>
      <c r="O19" s="8"/>
      <c r="P19" s="8"/>
      <c r="Q19" s="8"/>
      <c r="R19" s="8"/>
      <c r="S19" s="8"/>
      <c r="T19" s="8"/>
    </row>
    <row r="20" spans="1:23" x14ac:dyDescent="0.3">
      <c r="A20" s="3" t="s">
        <v>26</v>
      </c>
      <c r="B20" s="20">
        <v>8</v>
      </c>
      <c r="C20" s="3"/>
      <c r="D20" s="8"/>
      <c r="E20" s="8"/>
      <c r="F20" s="82">
        <v>204928.13965892451</v>
      </c>
      <c r="G20" s="82">
        <v>279906.47179965489</v>
      </c>
      <c r="H20" s="82">
        <v>367916.31927329989</v>
      </c>
      <c r="I20" s="82">
        <v>518148.91198813077</v>
      </c>
      <c r="J20" s="82">
        <v>762868.50594113674</v>
      </c>
      <c r="K20" s="82">
        <v>1015205.8004877338</v>
      </c>
      <c r="L20" s="82">
        <v>1377505.0110208637</v>
      </c>
      <c r="M20" s="82">
        <v>1790756.5143271228</v>
      </c>
      <c r="N20" s="82">
        <v>2327983.4686252596</v>
      </c>
      <c r="O20" s="8"/>
      <c r="P20" s="8"/>
      <c r="Q20" s="8"/>
      <c r="R20" s="8"/>
      <c r="S20" s="8"/>
      <c r="T20" s="8"/>
    </row>
    <row r="21" spans="1:23" x14ac:dyDescent="0.3">
      <c r="A21" s="3" t="s">
        <v>26</v>
      </c>
      <c r="B21" s="20">
        <v>10</v>
      </c>
      <c r="C21" s="3"/>
      <c r="D21" s="8"/>
      <c r="E21" s="8"/>
      <c r="F21" s="82">
        <v>190203.64434043624</v>
      </c>
      <c r="G21" s="82">
        <v>260134.3112570525</v>
      </c>
      <c r="H21" s="82">
        <v>341584.42268594081</v>
      </c>
      <c r="I21" s="82">
        <v>467875.62871160923</v>
      </c>
      <c r="J21" s="82">
        <v>683676.4094492431</v>
      </c>
      <c r="K21" s="82">
        <v>911170.37189895462</v>
      </c>
      <c r="L21" s="82">
        <v>1234406.1314127159</v>
      </c>
      <c r="M21" s="82">
        <v>1604727.9708365307</v>
      </c>
      <c r="N21" s="82">
        <v>2086146.36208749</v>
      </c>
      <c r="O21" s="8"/>
      <c r="P21" s="8"/>
      <c r="Q21" s="8"/>
      <c r="R21" s="8"/>
      <c r="S21" s="8"/>
      <c r="T21" s="8"/>
    </row>
    <row r="22" spans="1:23" x14ac:dyDescent="0.3">
      <c r="B22" s="14"/>
      <c r="C22" s="20"/>
      <c r="D22" s="7"/>
      <c r="E22" s="7"/>
      <c r="F22" s="7"/>
      <c r="G22" s="7"/>
      <c r="H22" s="7"/>
      <c r="I22" s="7"/>
      <c r="J22" s="7"/>
      <c r="K22" s="7"/>
      <c r="L22" s="8"/>
      <c r="M22" s="8"/>
      <c r="N22" s="8"/>
      <c r="O22" s="8"/>
      <c r="P22" s="8"/>
      <c r="Q22" s="8"/>
      <c r="R22" s="8"/>
      <c r="S22" s="8"/>
      <c r="T22" s="8"/>
    </row>
    <row r="23" spans="1:23" x14ac:dyDescent="0.3">
      <c r="A23" s="22" t="s">
        <v>33</v>
      </c>
      <c r="B23" s="22"/>
      <c r="C23" s="23"/>
    </row>
    <row r="24" spans="1:23" x14ac:dyDescent="0.3">
      <c r="A24" s="10" t="s">
        <v>34</v>
      </c>
      <c r="B24" s="10"/>
      <c r="C24" s="11" t="s">
        <v>35</v>
      </c>
      <c r="D24" s="80" t="s">
        <v>2</v>
      </c>
      <c r="E24" s="80" t="s">
        <v>3</v>
      </c>
      <c r="F24" s="80" t="s">
        <v>4</v>
      </c>
      <c r="G24" s="80" t="s">
        <v>5</v>
      </c>
      <c r="H24" s="80" t="s">
        <v>6</v>
      </c>
      <c r="I24" s="80" t="s">
        <v>7</v>
      </c>
      <c r="J24" s="80" t="s">
        <v>8</v>
      </c>
      <c r="K24" s="80" t="s">
        <v>9</v>
      </c>
      <c r="L24" s="80" t="s">
        <v>10</v>
      </c>
      <c r="M24" s="80" t="s">
        <v>11</v>
      </c>
      <c r="N24" s="80" t="s">
        <v>12</v>
      </c>
      <c r="O24" s="80" t="s">
        <v>13</v>
      </c>
      <c r="P24" s="80" t="s">
        <v>14</v>
      </c>
      <c r="Q24" s="80" t="s">
        <v>15</v>
      </c>
      <c r="R24" s="80" t="s">
        <v>16</v>
      </c>
      <c r="S24" s="80" t="s">
        <v>17</v>
      </c>
      <c r="T24" s="80" t="s">
        <v>18</v>
      </c>
      <c r="U24" s="80" t="s">
        <v>19</v>
      </c>
      <c r="V24" s="80" t="s">
        <v>20</v>
      </c>
    </row>
    <row r="25" spans="1:23" x14ac:dyDescent="0.3">
      <c r="A25" s="3" t="s">
        <v>36</v>
      </c>
      <c r="C25" s="83">
        <f t="shared" ref="C25:C30" si="3">NPV($B$2,D25:V25)</f>
        <v>61983164.896892495</v>
      </c>
      <c r="D25" s="24">
        <f t="shared" ref="D25:V25" si="4">IF(D$31=1,D8,0)</f>
        <v>0</v>
      </c>
      <c r="E25" s="24">
        <f t="shared" si="4"/>
        <v>0</v>
      </c>
      <c r="F25" s="24">
        <f t="shared" si="4"/>
        <v>0</v>
      </c>
      <c r="G25" s="24">
        <f t="shared" si="4"/>
        <v>0</v>
      </c>
      <c r="H25" s="24">
        <f t="shared" si="4"/>
        <v>0</v>
      </c>
      <c r="I25" s="24">
        <f t="shared" si="4"/>
        <v>0</v>
      </c>
      <c r="J25" s="24">
        <f t="shared" si="4"/>
        <v>0</v>
      </c>
      <c r="K25" s="24">
        <f t="shared" si="4"/>
        <v>0</v>
      </c>
      <c r="L25" s="24">
        <f t="shared" si="4"/>
        <v>2133318.2896221341</v>
      </c>
      <c r="M25" s="24">
        <f t="shared" si="4"/>
        <v>2708248.6996970545</v>
      </c>
      <c r="N25" s="24">
        <f t="shared" si="4"/>
        <v>3390993.9877124638</v>
      </c>
      <c r="O25" s="24">
        <f t="shared" si="4"/>
        <v>7804288.9174787132</v>
      </c>
      <c r="P25" s="24">
        <f t="shared" si="4"/>
        <v>10612675.757984258</v>
      </c>
      <c r="Q25" s="24">
        <f t="shared" si="4"/>
        <v>12348868.460739568</v>
      </c>
      <c r="R25" s="24">
        <f t="shared" si="4"/>
        <v>14515104.546433991</v>
      </c>
      <c r="S25" s="24">
        <f t="shared" si="4"/>
        <v>16681340.632128414</v>
      </c>
      <c r="T25" s="24">
        <f t="shared" si="4"/>
        <v>18847576.717822745</v>
      </c>
      <c r="U25" s="24">
        <f t="shared" si="4"/>
        <v>21013812.803517167</v>
      </c>
      <c r="V25" s="24">
        <f t="shared" si="4"/>
        <v>23180048.889211588</v>
      </c>
    </row>
    <row r="26" spans="1:23" x14ac:dyDescent="0.3">
      <c r="A26" s="3" t="s">
        <v>37</v>
      </c>
      <c r="C26" s="83">
        <f t="shared" si="3"/>
        <v>23336.523942499436</v>
      </c>
      <c r="D26" s="24">
        <f t="shared" ref="D26:V26" si="5">IF(D$31=1,D9,0)</f>
        <v>0</v>
      </c>
      <c r="E26" s="24">
        <f t="shared" si="5"/>
        <v>0</v>
      </c>
      <c r="F26" s="24">
        <f t="shared" si="5"/>
        <v>0</v>
      </c>
      <c r="G26" s="24">
        <f t="shared" si="5"/>
        <v>0</v>
      </c>
      <c r="H26" s="24">
        <f t="shared" si="5"/>
        <v>0</v>
      </c>
      <c r="I26" s="24">
        <f t="shared" si="5"/>
        <v>0</v>
      </c>
      <c r="J26" s="24">
        <f t="shared" si="5"/>
        <v>0</v>
      </c>
      <c r="K26" s="24">
        <f t="shared" si="5"/>
        <v>0</v>
      </c>
      <c r="L26" s="24">
        <f t="shared" si="5"/>
        <v>2770.1400927938912</v>
      </c>
      <c r="M26" s="24">
        <f t="shared" si="5"/>
        <v>3021.1106780372384</v>
      </c>
      <c r="N26" s="24">
        <f t="shared" si="5"/>
        <v>3289.6075203467908</v>
      </c>
      <c r="O26" s="24">
        <f t="shared" si="5"/>
        <v>3577.2676208923494</v>
      </c>
      <c r="P26" s="24">
        <f t="shared" si="5"/>
        <v>3883.3669055831406</v>
      </c>
      <c r="Q26" s="24">
        <f t="shared" si="5"/>
        <v>4209.5326206641967</v>
      </c>
      <c r="R26" s="24">
        <f t="shared" si="5"/>
        <v>4556.6525905594735</v>
      </c>
      <c r="S26" s="24">
        <f t="shared" si="5"/>
        <v>4926.6775795547392</v>
      </c>
      <c r="T26" s="24">
        <f t="shared" si="5"/>
        <v>5318.5180009634769</v>
      </c>
      <c r="U26" s="24">
        <f t="shared" si="5"/>
        <v>5734.1062086812981</v>
      </c>
      <c r="V26" s="24">
        <f t="shared" si="5"/>
        <v>6174.4154819746482</v>
      </c>
    </row>
    <row r="27" spans="1:23" x14ac:dyDescent="0.3">
      <c r="A27" s="3" t="s">
        <v>38</v>
      </c>
      <c r="C27" s="83">
        <f t="shared" si="3"/>
        <v>131718.85749268104</v>
      </c>
      <c r="D27" s="24">
        <f t="shared" ref="D27:V27" si="6">IF(D$31=1,D10,0)</f>
        <v>0</v>
      </c>
      <c r="E27" s="24">
        <f t="shared" si="6"/>
        <v>0</v>
      </c>
      <c r="F27" s="24">
        <f t="shared" si="6"/>
        <v>0</v>
      </c>
      <c r="G27" s="24">
        <f t="shared" si="6"/>
        <v>0</v>
      </c>
      <c r="H27" s="24">
        <f t="shared" si="6"/>
        <v>0</v>
      </c>
      <c r="I27" s="24">
        <f t="shared" si="6"/>
        <v>0</v>
      </c>
      <c r="J27" s="24">
        <f t="shared" si="6"/>
        <v>0</v>
      </c>
      <c r="K27" s="24">
        <f t="shared" si="6"/>
        <v>0</v>
      </c>
      <c r="L27" s="24">
        <f t="shared" si="6"/>
        <v>15468.602715743276</v>
      </c>
      <c r="M27" s="24">
        <f t="shared" si="6"/>
        <v>16888.406394207235</v>
      </c>
      <c r="N27" s="24">
        <f t="shared" si="6"/>
        <v>18416.397893710266</v>
      </c>
      <c r="O27" s="24">
        <f t="shared" si="6"/>
        <v>20063.116216730115</v>
      </c>
      <c r="P27" s="24">
        <f t="shared" si="6"/>
        <v>21825.643289713338</v>
      </c>
      <c r="Q27" s="24">
        <f t="shared" si="6"/>
        <v>23714.576634596036</v>
      </c>
      <c r="R27" s="24">
        <f t="shared" si="6"/>
        <v>25736.366259259026</v>
      </c>
      <c r="S27" s="24">
        <f t="shared" si="6"/>
        <v>27903.776288322013</v>
      </c>
      <c r="T27" s="24">
        <f t="shared" si="6"/>
        <v>30211.820891115247</v>
      </c>
      <c r="U27" s="24">
        <f t="shared" si="6"/>
        <v>32673.269622949188</v>
      </c>
      <c r="V27" s="24">
        <f t="shared" si="6"/>
        <v>35295.365784353766</v>
      </c>
    </row>
    <row r="28" spans="1:23" s="2" customFormat="1" x14ac:dyDescent="0.3">
      <c r="A28" s="3" t="s">
        <v>22</v>
      </c>
      <c r="B28" s="3"/>
      <c r="C28" s="83">
        <f t="shared" si="3"/>
        <v>-23559345.975375902</v>
      </c>
      <c r="D28" s="36">
        <v>0</v>
      </c>
      <c r="E28" s="36">
        <v>0</v>
      </c>
      <c r="F28" s="36">
        <v>0</v>
      </c>
      <c r="G28" s="36">
        <v>0</v>
      </c>
      <c r="H28" s="36">
        <v>-537346.93442559999</v>
      </c>
      <c r="I28" s="36">
        <v>-1673137.2101971</v>
      </c>
      <c r="J28" s="36">
        <v>-14752844.605043201</v>
      </c>
      <c r="K28" s="36">
        <v>-15120059.0216686</v>
      </c>
      <c r="L28" s="36">
        <v>-1817190.9916213001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</row>
    <row r="29" spans="1:23" s="2" customFormat="1" x14ac:dyDescent="0.3">
      <c r="A29" s="10" t="s">
        <v>39</v>
      </c>
      <c r="B29" s="10"/>
      <c r="C29" s="86">
        <f t="shared" si="3"/>
        <v>10136238.801925559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43">
        <f>SUM(D28:V28)*($B$5-SUM(D31:V31))/-$B$5</f>
        <v>25613770.620899938</v>
      </c>
    </row>
    <row r="30" spans="1:23" s="2" customFormat="1" x14ac:dyDescent="0.3">
      <c r="A30" s="3" t="s">
        <v>31</v>
      </c>
      <c r="B30" s="3"/>
      <c r="C30" s="83">
        <f t="shared" si="3"/>
        <v>48715113.104877345</v>
      </c>
      <c r="D30" s="83">
        <f>SUM(D25:D29)</f>
        <v>0</v>
      </c>
      <c r="E30" s="83">
        <f t="shared" ref="E30:S30" si="7">SUM(E25:E29)</f>
        <v>0</v>
      </c>
      <c r="F30" s="83">
        <f t="shared" si="7"/>
        <v>0</v>
      </c>
      <c r="G30" s="83">
        <f t="shared" si="7"/>
        <v>0</v>
      </c>
      <c r="H30" s="83">
        <f>SUM(H25:H29)</f>
        <v>-537346.93442559999</v>
      </c>
      <c r="I30" s="83">
        <f t="shared" si="7"/>
        <v>-1673137.2101971</v>
      </c>
      <c r="J30" s="83">
        <f t="shared" si="7"/>
        <v>-14752844.605043201</v>
      </c>
      <c r="K30" s="83">
        <f t="shared" si="7"/>
        <v>-15120059.0216686</v>
      </c>
      <c r="L30" s="83">
        <f t="shared" si="7"/>
        <v>334366.04080937104</v>
      </c>
      <c r="M30" s="83">
        <f t="shared" si="7"/>
        <v>2728158.216769299</v>
      </c>
      <c r="N30" s="83">
        <f t="shared" si="7"/>
        <v>3412699.9931265209</v>
      </c>
      <c r="O30" s="83">
        <f t="shared" si="7"/>
        <v>7827929.3013163358</v>
      </c>
      <c r="P30" s="83">
        <f t="shared" si="7"/>
        <v>10638384.768179554</v>
      </c>
      <c r="Q30" s="83">
        <f t="shared" si="7"/>
        <v>12376792.569994828</v>
      </c>
      <c r="R30" s="83">
        <f t="shared" si="7"/>
        <v>14545397.565283809</v>
      </c>
      <c r="S30" s="83">
        <f t="shared" si="7"/>
        <v>16714171.085996291</v>
      </c>
      <c r="T30" s="83">
        <f>SUM(T25:T29)</f>
        <v>18883107.056714825</v>
      </c>
      <c r="U30" s="83">
        <f t="shared" ref="U30:V30" si="8">SUM(U25:U29)</f>
        <v>21052220.179348797</v>
      </c>
      <c r="V30" s="83">
        <f t="shared" si="8"/>
        <v>48835289.291377857</v>
      </c>
    </row>
    <row r="31" spans="1:23" s="2" customFormat="1" x14ac:dyDescent="0.3">
      <c r="A31" s="25"/>
      <c r="B31" s="25"/>
      <c r="C31" s="25"/>
      <c r="D31" s="88">
        <v>0</v>
      </c>
      <c r="E31" s="88">
        <v>0</v>
      </c>
      <c r="F31" s="88">
        <v>0</v>
      </c>
      <c r="G31" s="88">
        <v>0</v>
      </c>
      <c r="H31" s="88">
        <v>0</v>
      </c>
      <c r="I31" s="88">
        <v>0</v>
      </c>
      <c r="J31" s="88">
        <v>0</v>
      </c>
      <c r="K31" s="88">
        <v>0</v>
      </c>
      <c r="L31" s="88">
        <v>1</v>
      </c>
      <c r="M31" s="88">
        <v>1</v>
      </c>
      <c r="N31" s="88">
        <v>1</v>
      </c>
      <c r="O31" s="88">
        <v>1</v>
      </c>
      <c r="P31" s="88">
        <v>1</v>
      </c>
      <c r="Q31" s="88">
        <v>1</v>
      </c>
      <c r="R31" s="88">
        <v>1</v>
      </c>
      <c r="S31" s="88">
        <v>1</v>
      </c>
      <c r="T31" s="88">
        <v>1</v>
      </c>
      <c r="U31" s="88">
        <v>1</v>
      </c>
      <c r="V31" s="88">
        <v>1</v>
      </c>
      <c r="W31" s="8"/>
    </row>
    <row r="32" spans="1:23" x14ac:dyDescent="0.3">
      <c r="A32" s="22"/>
      <c r="B32" s="22"/>
      <c r="C32" s="23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</row>
    <row r="33" spans="1:23" s="2" customFormat="1" x14ac:dyDescent="0.3">
      <c r="A33" s="22" t="s">
        <v>95</v>
      </c>
      <c r="R33" s="26"/>
      <c r="S33" s="26"/>
      <c r="T33" s="26"/>
    </row>
    <row r="34" spans="1:23" x14ac:dyDescent="0.3">
      <c r="A34" s="3" t="s">
        <v>96</v>
      </c>
      <c r="B34" s="2"/>
      <c r="C34" s="25"/>
      <c r="D34" s="44"/>
      <c r="E34" s="44"/>
      <c r="F34" s="85">
        <v>2</v>
      </c>
      <c r="G34" s="85">
        <v>4</v>
      </c>
      <c r="H34" s="85">
        <v>6</v>
      </c>
      <c r="I34" s="85">
        <v>8</v>
      </c>
      <c r="J34" s="85">
        <v>10</v>
      </c>
      <c r="K34" s="85">
        <v>10</v>
      </c>
      <c r="L34" s="85">
        <v>10</v>
      </c>
      <c r="M34" s="85">
        <v>10</v>
      </c>
      <c r="N34" s="85">
        <v>10</v>
      </c>
    </row>
    <row r="35" spans="1:23" x14ac:dyDescent="0.3">
      <c r="A35" s="13" t="s">
        <v>34</v>
      </c>
      <c r="B35" s="11" t="s">
        <v>40</v>
      </c>
      <c r="C35" s="11" t="s">
        <v>35</v>
      </c>
      <c r="D35" s="80" t="s">
        <v>2</v>
      </c>
      <c r="E35" s="80" t="s">
        <v>3</v>
      </c>
      <c r="F35" s="80" t="s">
        <v>4</v>
      </c>
      <c r="G35" s="80" t="s">
        <v>5</v>
      </c>
      <c r="H35" s="80" t="s">
        <v>6</v>
      </c>
      <c r="I35" s="80" t="s">
        <v>7</v>
      </c>
      <c r="J35" s="80" t="s">
        <v>8</v>
      </c>
      <c r="K35" s="80" t="s">
        <v>9</v>
      </c>
      <c r="L35" s="80" t="s">
        <v>10</v>
      </c>
      <c r="M35" s="80" t="s">
        <v>11</v>
      </c>
      <c r="N35" s="80" t="s">
        <v>12</v>
      </c>
      <c r="O35" s="80" t="s">
        <v>13</v>
      </c>
      <c r="P35" s="80" t="s">
        <v>14</v>
      </c>
      <c r="Q35" s="80" t="s">
        <v>15</v>
      </c>
      <c r="R35" s="80" t="s">
        <v>16</v>
      </c>
      <c r="S35" s="80" t="s">
        <v>17</v>
      </c>
      <c r="T35" s="80" t="s">
        <v>18</v>
      </c>
      <c r="U35" s="80" t="s">
        <v>19</v>
      </c>
      <c r="V35" s="80" t="s">
        <v>20</v>
      </c>
    </row>
    <row r="36" spans="1:23" x14ac:dyDescent="0.3">
      <c r="A36" s="2" t="s">
        <v>36</v>
      </c>
      <c r="B36" s="28">
        <f>C36-C25</f>
        <v>-5020429.7152815834</v>
      </c>
      <c r="C36" s="83">
        <f t="shared" ref="C36:C44" si="9">NPV($B$2,D36:V36)</f>
        <v>56962735.181610912</v>
      </c>
      <c r="D36" s="24">
        <f t="shared" ref="D36:V36" si="10">IF(D$45=1,D8,0)</f>
        <v>0</v>
      </c>
      <c r="E36" s="24">
        <f t="shared" si="10"/>
        <v>0</v>
      </c>
      <c r="F36" s="24">
        <f t="shared" si="10"/>
        <v>0</v>
      </c>
      <c r="G36" s="24">
        <f t="shared" si="10"/>
        <v>0</v>
      </c>
      <c r="H36" s="24">
        <f t="shared" si="10"/>
        <v>0</v>
      </c>
      <c r="I36" s="24">
        <f t="shared" si="10"/>
        <v>0</v>
      </c>
      <c r="J36" s="24">
        <f t="shared" si="10"/>
        <v>0</v>
      </c>
      <c r="K36" s="24">
        <f t="shared" si="10"/>
        <v>0</v>
      </c>
      <c r="L36" s="24">
        <f t="shared" si="10"/>
        <v>0</v>
      </c>
      <c r="M36" s="24">
        <f t="shared" si="10"/>
        <v>0</v>
      </c>
      <c r="N36" s="24">
        <f t="shared" si="10"/>
        <v>0</v>
      </c>
      <c r="O36" s="24">
        <f t="shared" si="10"/>
        <v>7804288.9174787132</v>
      </c>
      <c r="P36" s="24">
        <f t="shared" si="10"/>
        <v>10612675.757984258</v>
      </c>
      <c r="Q36" s="24">
        <f t="shared" si="10"/>
        <v>12348868.460739568</v>
      </c>
      <c r="R36" s="24">
        <f t="shared" si="10"/>
        <v>14515104.546433991</v>
      </c>
      <c r="S36" s="24">
        <f t="shared" si="10"/>
        <v>16681340.632128414</v>
      </c>
      <c r="T36" s="24">
        <f t="shared" si="10"/>
        <v>18847576.717822745</v>
      </c>
      <c r="U36" s="24">
        <f t="shared" si="10"/>
        <v>21013812.803517167</v>
      </c>
      <c r="V36" s="24">
        <f t="shared" si="10"/>
        <v>23180048.889211588</v>
      </c>
    </row>
    <row r="37" spans="1:23" x14ac:dyDescent="0.3">
      <c r="A37" s="2" t="s">
        <v>37</v>
      </c>
      <c r="B37" s="28">
        <f>C37-C26</f>
        <v>-5563.7222750176661</v>
      </c>
      <c r="C37" s="83">
        <f t="shared" si="9"/>
        <v>17772.80166748177</v>
      </c>
      <c r="D37" s="24">
        <f t="shared" ref="D37:V37" si="11">IF(D$45=1,D9,0)</f>
        <v>0</v>
      </c>
      <c r="E37" s="24">
        <f t="shared" si="11"/>
        <v>0</v>
      </c>
      <c r="F37" s="24">
        <f t="shared" si="11"/>
        <v>0</v>
      </c>
      <c r="G37" s="24">
        <f t="shared" si="11"/>
        <v>0</v>
      </c>
      <c r="H37" s="24">
        <f t="shared" si="11"/>
        <v>0</v>
      </c>
      <c r="I37" s="24">
        <f t="shared" si="11"/>
        <v>0</v>
      </c>
      <c r="J37" s="24">
        <f t="shared" si="11"/>
        <v>0</v>
      </c>
      <c r="K37" s="24">
        <f t="shared" si="11"/>
        <v>0</v>
      </c>
      <c r="L37" s="24">
        <f t="shared" si="11"/>
        <v>0</v>
      </c>
      <c r="M37" s="24">
        <f t="shared" si="11"/>
        <v>0</v>
      </c>
      <c r="N37" s="24">
        <f t="shared" si="11"/>
        <v>0</v>
      </c>
      <c r="O37" s="24">
        <f t="shared" si="11"/>
        <v>3577.2676208923494</v>
      </c>
      <c r="P37" s="24">
        <f t="shared" si="11"/>
        <v>3883.3669055831406</v>
      </c>
      <c r="Q37" s="24">
        <f t="shared" si="11"/>
        <v>4209.5326206641967</v>
      </c>
      <c r="R37" s="24">
        <f t="shared" si="11"/>
        <v>4556.6525905594735</v>
      </c>
      <c r="S37" s="24">
        <f t="shared" si="11"/>
        <v>4926.6775795547392</v>
      </c>
      <c r="T37" s="24">
        <f t="shared" si="11"/>
        <v>5318.5180009634769</v>
      </c>
      <c r="U37" s="24">
        <f t="shared" si="11"/>
        <v>5734.1062086812981</v>
      </c>
      <c r="V37" s="24">
        <f t="shared" si="11"/>
        <v>6174.4154819746482</v>
      </c>
    </row>
    <row r="38" spans="1:23" x14ac:dyDescent="0.3">
      <c r="A38" s="2" t="s">
        <v>38</v>
      </c>
      <c r="B38" s="28">
        <f>C38-C27</f>
        <v>-31106.902176612741</v>
      </c>
      <c r="C38" s="83">
        <f t="shared" si="9"/>
        <v>100611.9553160683</v>
      </c>
      <c r="D38" s="24">
        <f t="shared" ref="D38:V38" si="12">IF(D$45=1,D10,0)</f>
        <v>0</v>
      </c>
      <c r="E38" s="24">
        <f t="shared" si="12"/>
        <v>0</v>
      </c>
      <c r="F38" s="24">
        <f t="shared" si="12"/>
        <v>0</v>
      </c>
      <c r="G38" s="24">
        <f t="shared" si="12"/>
        <v>0</v>
      </c>
      <c r="H38" s="24">
        <f t="shared" si="12"/>
        <v>0</v>
      </c>
      <c r="I38" s="24">
        <f t="shared" si="12"/>
        <v>0</v>
      </c>
      <c r="J38" s="24">
        <f t="shared" si="12"/>
        <v>0</v>
      </c>
      <c r="K38" s="24">
        <f t="shared" si="12"/>
        <v>0</v>
      </c>
      <c r="L38" s="24">
        <f t="shared" si="12"/>
        <v>0</v>
      </c>
      <c r="M38" s="24">
        <f t="shared" si="12"/>
        <v>0</v>
      </c>
      <c r="N38" s="24">
        <f t="shared" si="12"/>
        <v>0</v>
      </c>
      <c r="O38" s="24">
        <f t="shared" si="12"/>
        <v>20063.116216730115</v>
      </c>
      <c r="P38" s="24">
        <f t="shared" si="12"/>
        <v>21825.643289713338</v>
      </c>
      <c r="Q38" s="24">
        <f t="shared" si="12"/>
        <v>23714.576634596036</v>
      </c>
      <c r="R38" s="24">
        <f t="shared" si="12"/>
        <v>25736.366259259026</v>
      </c>
      <c r="S38" s="24">
        <f t="shared" si="12"/>
        <v>27903.776288322013</v>
      </c>
      <c r="T38" s="24">
        <f t="shared" si="12"/>
        <v>30211.820891115247</v>
      </c>
      <c r="U38" s="24">
        <f t="shared" si="12"/>
        <v>32673.269622949188</v>
      </c>
      <c r="V38" s="24">
        <f t="shared" si="12"/>
        <v>35295.365784353766</v>
      </c>
    </row>
    <row r="39" spans="1:23" s="2" customFormat="1" x14ac:dyDescent="0.3">
      <c r="A39" s="2" t="s">
        <v>22</v>
      </c>
      <c r="B39" s="28">
        <f>C39-C28</f>
        <v>3207897.1250349879</v>
      </c>
      <c r="C39" s="83">
        <f t="shared" si="9"/>
        <v>-20351448.850340914</v>
      </c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-537346.93442559999</v>
      </c>
      <c r="L39" s="36">
        <v>-1673137.2101971</v>
      </c>
      <c r="M39" s="36">
        <v>-14752844.605043201</v>
      </c>
      <c r="N39" s="36">
        <v>-15120059.0216686</v>
      </c>
      <c r="O39" s="36">
        <v>-1817190.9916213001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36">
        <v>0</v>
      </c>
    </row>
    <row r="40" spans="1:23" s="2" customFormat="1" x14ac:dyDescent="0.3">
      <c r="A40" s="2" t="s">
        <v>39</v>
      </c>
      <c r="B40" s="28">
        <f>C40-C29</f>
        <v>894374.01193460822</v>
      </c>
      <c r="C40" s="83">
        <f t="shared" si="9"/>
        <v>11030612.813860167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46">
        <f>SUM(D39:V39)*($B$5-SUM(D45:V45))/-$B$5</f>
        <v>27873809.205096994</v>
      </c>
    </row>
    <row r="41" spans="1:23" s="2" customFormat="1" x14ac:dyDescent="0.3">
      <c r="A41" s="2" t="s">
        <v>43</v>
      </c>
      <c r="B41" s="28">
        <f>C41</f>
        <v>3470334.5902137193</v>
      </c>
      <c r="C41" s="83">
        <f t="shared" si="9"/>
        <v>3470334.5902137193</v>
      </c>
      <c r="D41" s="36">
        <v>0</v>
      </c>
      <c r="E41" s="24">
        <f>-E39*Assumptions!C6</f>
        <v>0</v>
      </c>
      <c r="F41" s="24">
        <f>-F39*Assumptions!D6</f>
        <v>0</v>
      </c>
      <c r="G41" s="24">
        <f>-G39*Assumptions!E6</f>
        <v>0</v>
      </c>
      <c r="H41" s="24">
        <f>-H39*Assumptions!F6</f>
        <v>0</v>
      </c>
      <c r="I41" s="24">
        <f>-I39*Assumptions!G6</f>
        <v>0</v>
      </c>
      <c r="J41" s="24">
        <f>-J39*Assumptions!H6</f>
        <v>0</v>
      </c>
      <c r="K41" s="24">
        <f>-K39*Assumptions!I6</f>
        <v>76468.60220672001</v>
      </c>
      <c r="L41" s="24">
        <f>-L39*Assumptions!J6</f>
        <v>257405.72464570776</v>
      </c>
      <c r="M41" s="24">
        <f>-M39*Assumptions!K6</f>
        <v>2439893.5308340685</v>
      </c>
      <c r="N41" s="24">
        <f>-N39*Assumptions!L6</f>
        <v>2675087.3653721381</v>
      </c>
      <c r="O41" s="24">
        <f>-O39*Assumptions!M6</f>
        <v>342470.60995939904</v>
      </c>
      <c r="P41" s="24">
        <f>-P39*Assumptions!N6</f>
        <v>0</v>
      </c>
      <c r="Q41" s="24">
        <f>-Q39*Assumptions!O6</f>
        <v>0</v>
      </c>
      <c r="R41" s="24">
        <f>-R39*R33</f>
        <v>0</v>
      </c>
      <c r="S41" s="24">
        <f>-S39*S33</f>
        <v>0</v>
      </c>
      <c r="T41" s="24">
        <f>-T39*T33</f>
        <v>0</v>
      </c>
      <c r="U41" s="24">
        <f>-U39*U33</f>
        <v>0</v>
      </c>
      <c r="V41" s="24">
        <f>-V39*V33</f>
        <v>0</v>
      </c>
    </row>
    <row r="42" spans="1:23" s="2" customFormat="1" x14ac:dyDescent="0.3">
      <c r="A42" s="2" t="s">
        <v>41</v>
      </c>
      <c r="B42" s="28">
        <f>C42</f>
        <v>-5792076.3931488777</v>
      </c>
      <c r="C42" s="83">
        <f t="shared" si="9"/>
        <v>-5792076.3931488777</v>
      </c>
      <c r="D42" s="36">
        <v>0</v>
      </c>
      <c r="E42" s="36">
        <v>0</v>
      </c>
      <c r="F42" s="28">
        <f>-Assumptions!D14*(F34-E34)*1000*Assumptions!$C9-Assumptions!D15*F34*1000*Assumptions!$C10</f>
        <v>-1292000</v>
      </c>
      <c r="G42" s="28">
        <f>-Assumptions!E14*(G34-F34)*1000*Assumptions!$C9-Assumptions!E15*G34*1000*Assumptions!$C10</f>
        <v>-1299600</v>
      </c>
      <c r="H42" s="28">
        <f>-Assumptions!F14*(H34-G34)*1000*Assumptions!$C9-Assumptions!F15*H34*1000*Assumptions!$C10</f>
        <v>-1303210</v>
      </c>
      <c r="I42" s="28">
        <f>-Assumptions!G14*(I34-H34)*1000*Assumptions!$C9-Assumptions!G15*I34*1000*Assumptions!$C10</f>
        <v>-1303209.9999999998</v>
      </c>
      <c r="J42" s="28">
        <f>-Assumptions!H14*(J34-I34)*1000*Assumptions!$C9-Assumptions!H15*J34*1000*Assumptions!$C10</f>
        <v>-1299951.9749999999</v>
      </c>
      <c r="K42" s="28">
        <f>-Assumptions!I14*(K34-J34)*1000*Assumptions!$C9-Assumptions!I15*K34*1000*Assumptions!$C10</f>
        <v>-294036.75624999998</v>
      </c>
      <c r="L42" s="28">
        <f>-Assumptions!J14*(L34-K34)*1000*Assumptions!$C9-Assumptions!J15*L34*1000*Assumptions!$C10</f>
        <v>-279334.91843749996</v>
      </c>
      <c r="M42" s="28">
        <f>-Assumptions!K14*(M34-L34)*1000*Assumptions!$C9-Assumptions!K15*M34*1000*Assumptions!$C10</f>
        <v>-265368.1725156249</v>
      </c>
      <c r="N42" s="28">
        <f>-Assumptions!L14*(N34-M34)*1000*Assumptions!$C9-Assumptions!L15*N34*1000*Assumptions!$C10</f>
        <v>-252099.76388984366</v>
      </c>
      <c r="O42" s="36">
        <v>0</v>
      </c>
      <c r="P42" s="36">
        <v>0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36">
        <v>0</v>
      </c>
    </row>
    <row r="43" spans="1:23" s="2" customFormat="1" x14ac:dyDescent="0.3">
      <c r="A43" s="13" t="s">
        <v>42</v>
      </c>
      <c r="B43" s="45">
        <f>C43</f>
        <v>3251598.6834897902</v>
      </c>
      <c r="C43" s="86">
        <f t="shared" si="9"/>
        <v>3251598.6834897902</v>
      </c>
      <c r="D43" s="86">
        <f t="shared" ref="D43:E43" si="13">IF(D34&gt;0,D$8-VLOOKUP(D34,$B$16:$S$21,D$15,FALSE),0)</f>
        <v>0</v>
      </c>
      <c r="E43" s="86">
        <f t="shared" si="13"/>
        <v>0</v>
      </c>
      <c r="F43" s="86">
        <f t="shared" ref="F43:N43" si="14">IF(F34&gt;0,F$8-VLOOKUP(F34,$B$16:$S$21,F$15,FALSE),0)</f>
        <v>18476.576698455872</v>
      </c>
      <c r="G43" s="86">
        <f t="shared" si="14"/>
        <v>68032.292552721046</v>
      </c>
      <c r="H43" s="86">
        <f t="shared" si="14"/>
        <v>148986.02039355866</v>
      </c>
      <c r="I43" s="86">
        <f t="shared" si="14"/>
        <v>286760.69000459812</v>
      </c>
      <c r="J43" s="86">
        <f t="shared" si="14"/>
        <v>519644.66831821285</v>
      </c>
      <c r="K43" s="86">
        <f t="shared" si="14"/>
        <v>679357.59276135045</v>
      </c>
      <c r="L43" s="86">
        <f t="shared" si="14"/>
        <v>898912.15820941818</v>
      </c>
      <c r="M43" s="86">
        <f t="shared" si="14"/>
        <v>1103520.7288605238</v>
      </c>
      <c r="N43" s="86">
        <f t="shared" si="14"/>
        <v>1304847.6256249738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</row>
    <row r="44" spans="1:23" s="2" customFormat="1" x14ac:dyDescent="0.3">
      <c r="A44" s="2" t="s">
        <v>31</v>
      </c>
      <c r="B44" s="83">
        <f>SUM(B36:B43)</f>
        <v>-24972.322208986152</v>
      </c>
      <c r="C44" s="83">
        <f t="shared" si="9"/>
        <v>48690140.782668352</v>
      </c>
      <c r="D44" s="83">
        <f t="shared" ref="D44:S44" si="15">SUM(D36:D43)</f>
        <v>0</v>
      </c>
      <c r="E44" s="83">
        <f t="shared" si="15"/>
        <v>0</v>
      </c>
      <c r="F44" s="83">
        <f t="shared" si="15"/>
        <v>-1273523.423301544</v>
      </c>
      <c r="G44" s="83">
        <f t="shared" si="15"/>
        <v>-1231567.707447279</v>
      </c>
      <c r="H44" s="83">
        <f t="shared" si="15"/>
        <v>-1154223.9796064412</v>
      </c>
      <c r="I44" s="83">
        <f t="shared" si="15"/>
        <v>-1016449.3099954017</v>
      </c>
      <c r="J44" s="83">
        <f t="shared" si="15"/>
        <v>-780307.30668178701</v>
      </c>
      <c r="K44" s="83">
        <f t="shared" si="15"/>
        <v>-75557.495707529481</v>
      </c>
      <c r="L44" s="83">
        <f t="shared" si="15"/>
        <v>-796154.24577947403</v>
      </c>
      <c r="M44" s="83">
        <f t="shared" si="15"/>
        <v>-11474798.517864233</v>
      </c>
      <c r="N44" s="83">
        <f t="shared" si="15"/>
        <v>-11392223.794561332</v>
      </c>
      <c r="O44" s="83">
        <f t="shared" si="15"/>
        <v>6353208.9196544345</v>
      </c>
      <c r="P44" s="83">
        <f t="shared" si="15"/>
        <v>10638384.768179554</v>
      </c>
      <c r="Q44" s="83">
        <f t="shared" si="15"/>
        <v>12376792.569994828</v>
      </c>
      <c r="R44" s="83">
        <f t="shared" si="15"/>
        <v>14545397.565283809</v>
      </c>
      <c r="S44" s="83">
        <f t="shared" si="15"/>
        <v>16714171.085996291</v>
      </c>
      <c r="T44" s="83">
        <f t="shared" ref="T44:V44" si="16">SUM(T36:T43)</f>
        <v>18883107.056714825</v>
      </c>
      <c r="U44" s="83">
        <f t="shared" si="16"/>
        <v>21052220.179348797</v>
      </c>
      <c r="V44" s="83">
        <f t="shared" si="16"/>
        <v>51095327.875574909</v>
      </c>
    </row>
    <row r="45" spans="1:23" s="2" customFormat="1" x14ac:dyDescent="0.3">
      <c r="C45" s="23"/>
      <c r="D45" s="88">
        <v>0</v>
      </c>
      <c r="E45" s="88">
        <v>0</v>
      </c>
      <c r="F45" s="88">
        <v>0</v>
      </c>
      <c r="G45" s="88">
        <v>0</v>
      </c>
      <c r="H45" s="88">
        <v>0</v>
      </c>
      <c r="I45" s="88">
        <v>0</v>
      </c>
      <c r="J45" s="88">
        <v>0</v>
      </c>
      <c r="K45" s="88">
        <v>0</v>
      </c>
      <c r="L45" s="88">
        <v>0</v>
      </c>
      <c r="M45" s="88">
        <v>0</v>
      </c>
      <c r="N45" s="88">
        <v>0</v>
      </c>
      <c r="O45" s="88">
        <v>1</v>
      </c>
      <c r="P45" s="88">
        <v>1</v>
      </c>
      <c r="Q45" s="88">
        <v>1</v>
      </c>
      <c r="R45" s="88">
        <v>1</v>
      </c>
      <c r="S45" s="88">
        <v>1</v>
      </c>
      <c r="T45" s="88">
        <v>1</v>
      </c>
      <c r="U45" s="88">
        <v>1</v>
      </c>
      <c r="V45" s="88">
        <v>1</v>
      </c>
    </row>
    <row r="46" spans="1:23" x14ac:dyDescent="0.3">
      <c r="A46" s="87" t="s">
        <v>98</v>
      </c>
      <c r="B46" s="22"/>
      <c r="C46" s="3"/>
      <c r="D46" s="30" t="str">
        <f t="shared" ref="D46:J46" si="17">IF(D43&gt;0,D43/D$8,"")</f>
        <v/>
      </c>
      <c r="E46" s="30" t="str">
        <f t="shared" si="17"/>
        <v/>
      </c>
      <c r="F46" s="30">
        <f t="shared" si="17"/>
        <v>6.8018571589681623E-2</v>
      </c>
      <c r="G46" s="30">
        <f t="shared" si="17"/>
        <v>0.17499042354453459</v>
      </c>
      <c r="H46" s="30">
        <f t="shared" si="17"/>
        <v>0.26926512439311129</v>
      </c>
      <c r="I46" s="30">
        <f t="shared" si="17"/>
        <v>0.35626446658688082</v>
      </c>
      <c r="J46" s="30">
        <f t="shared" si="17"/>
        <v>0.43184207267632951</v>
      </c>
      <c r="K46" s="30">
        <f>IF(K43&gt;0,K43/K$8,"")</f>
        <v>0.42712709732610288</v>
      </c>
      <c r="L46" s="30">
        <f t="shared" ref="L46:T46" si="18">IF(L43&gt;0,L43/L$8,"")</f>
        <v>0.42136804553840806</v>
      </c>
      <c r="M46" s="30">
        <f t="shared" si="18"/>
        <v>0.40746654064080745</v>
      </c>
      <c r="N46" s="30">
        <f t="shared" si="18"/>
        <v>0.38479797674463384</v>
      </c>
      <c r="O46" s="30" t="str">
        <f t="shared" si="18"/>
        <v/>
      </c>
      <c r="P46" s="30" t="str">
        <f t="shared" si="18"/>
        <v/>
      </c>
      <c r="Q46" s="30" t="str">
        <f t="shared" si="18"/>
        <v/>
      </c>
      <c r="R46" s="30" t="str">
        <f t="shared" si="18"/>
        <v/>
      </c>
      <c r="S46" s="30" t="str">
        <f t="shared" si="18"/>
        <v/>
      </c>
      <c r="T46" s="30" t="str">
        <f t="shared" si="18"/>
        <v/>
      </c>
      <c r="U46" s="30" t="str">
        <f t="shared" ref="U46:W46" si="19">IF(U43&gt;0,U43/U$7,"")</f>
        <v/>
      </c>
      <c r="V46" s="30" t="str">
        <f t="shared" si="19"/>
        <v/>
      </c>
      <c r="W46" s="30" t="str">
        <f t="shared" si="19"/>
        <v/>
      </c>
    </row>
    <row r="47" spans="1:23" x14ac:dyDescent="0.3">
      <c r="A47" s="87" t="s">
        <v>97</v>
      </c>
      <c r="B47" s="22"/>
      <c r="C47" s="23"/>
      <c r="D47" s="30"/>
      <c r="E47" s="30"/>
      <c r="F47" s="30">
        <f t="shared" ref="F47:K47" si="20">IF(F43&gt;0,F43/F$11,"")</f>
        <v>6.5487467364424484E-2</v>
      </c>
      <c r="G47" s="30">
        <f t="shared" si="20"/>
        <v>0.16994284580837499</v>
      </c>
      <c r="H47" s="30">
        <f t="shared" si="20"/>
        <v>0.2632314362132871</v>
      </c>
      <c r="I47" s="30">
        <f t="shared" si="20"/>
        <v>0.35021090248856923</v>
      </c>
      <c r="J47" s="30">
        <f t="shared" si="20"/>
        <v>0.426439549776572</v>
      </c>
      <c r="K47" s="30">
        <f t="shared" si="20"/>
        <v>0.42269237721517766</v>
      </c>
      <c r="L47" s="30">
        <f>IF(L43&gt;0,L43/L$11,"")</f>
        <v>0.41779610982186849</v>
      </c>
      <c r="M47" s="30">
        <f>IF(M43&gt;0,M43/M$11,"")</f>
        <v>0.40449293669167014</v>
      </c>
      <c r="N47" s="30">
        <f>IF(N43&gt;0,N43/N$11,"")</f>
        <v>0.38235052253437224</v>
      </c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3">
      <c r="A48" s="22"/>
      <c r="B48" s="22"/>
      <c r="C48" s="23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</row>
    <row r="49" spans="1:23" x14ac:dyDescent="0.3">
      <c r="A49" s="22"/>
      <c r="B49" s="22"/>
      <c r="C49" s="23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x14ac:dyDescent="0.3">
      <c r="A50" s="22"/>
      <c r="B50" s="22"/>
      <c r="C50" s="23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3">
      <c r="A51" s="22"/>
      <c r="B51" s="22"/>
      <c r="C51" s="23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</row>
  </sheetData>
  <pageMargins left="0.25" right="0.25" top="0.75" bottom="0.75" header="0.3" footer="0.3"/>
  <pageSetup paperSize="8" scale="63" orientation="portrait" verticalDpi="300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41"/>
  <sheetViews>
    <sheetView workbookViewId="0">
      <selection activeCell="B13" sqref="B13"/>
    </sheetView>
  </sheetViews>
  <sheetFormatPr defaultRowHeight="15" outlineLevelRow="1" x14ac:dyDescent="0.25"/>
  <sheetData>
    <row r="2" spans="2:21" s="95" customFormat="1" ht="11.25" customHeight="1" outlineLevel="1" x14ac:dyDescent="0.2">
      <c r="C2" s="96" t="s">
        <v>123</v>
      </c>
      <c r="D2" s="97"/>
      <c r="E2" s="97"/>
      <c r="F2" s="97"/>
      <c r="G2" s="97"/>
      <c r="H2" s="97"/>
      <c r="J2" s="98" t="s">
        <v>124</v>
      </c>
      <c r="K2" s="98" t="s">
        <v>125</v>
      </c>
      <c r="L2" s="98" t="s">
        <v>126</v>
      </c>
      <c r="M2" s="98" t="s">
        <v>127</v>
      </c>
      <c r="N2" s="98" t="s">
        <v>128</v>
      </c>
      <c r="O2" s="98" t="s">
        <v>129</v>
      </c>
      <c r="P2" s="99"/>
      <c r="Q2" s="99"/>
      <c r="R2" s="99"/>
      <c r="S2" s="99"/>
      <c r="T2" s="99"/>
    </row>
    <row r="3" spans="2:21" s="95" customFormat="1" ht="11.25" customHeight="1" outlineLevel="1" x14ac:dyDescent="0.2">
      <c r="C3" s="96"/>
      <c r="D3" s="97"/>
      <c r="E3" s="97"/>
      <c r="F3" s="97"/>
      <c r="G3" s="97"/>
      <c r="H3" s="97"/>
      <c r="J3" s="100"/>
      <c r="K3" s="100"/>
      <c r="L3" s="100"/>
      <c r="M3" s="100"/>
      <c r="N3" s="100"/>
      <c r="O3" s="100"/>
      <c r="P3" s="99"/>
      <c r="Q3" s="99"/>
      <c r="R3" s="99"/>
      <c r="S3" s="99"/>
      <c r="T3" s="99"/>
    </row>
    <row r="4" spans="2:21" s="95" customFormat="1" ht="11.25" customHeight="1" outlineLevel="1" x14ac:dyDescent="0.2">
      <c r="C4" s="101" t="s">
        <v>130</v>
      </c>
      <c r="D4" s="102" t="s">
        <v>131</v>
      </c>
      <c r="E4" s="97" t="s">
        <v>132</v>
      </c>
      <c r="F4" s="97"/>
      <c r="G4" s="97"/>
      <c r="H4" s="97"/>
      <c r="I4" s="97"/>
      <c r="J4" s="103">
        <v>1.0301556420233464</v>
      </c>
      <c r="K4" s="103">
        <v>1.0457198443579767</v>
      </c>
      <c r="L4" s="103">
        <v>1.056420233463035</v>
      </c>
      <c r="M4" s="103">
        <v>1.0768482490272373</v>
      </c>
      <c r="N4" s="103">
        <v>1.0979768334028743</v>
      </c>
      <c r="O4" s="103">
        <v>1.1225931267736482</v>
      </c>
    </row>
    <row r="5" spans="2:21" s="95" customFormat="1" ht="11.25" customHeight="1" outlineLevel="1" x14ac:dyDescent="0.2">
      <c r="C5" s="101" t="s">
        <v>124</v>
      </c>
      <c r="D5" s="102" t="s">
        <v>131</v>
      </c>
      <c r="E5" s="97" t="s">
        <v>132</v>
      </c>
      <c r="F5" s="97"/>
      <c r="G5" s="97"/>
      <c r="H5" s="97"/>
      <c r="I5" s="97"/>
      <c r="J5" s="103">
        <v>1</v>
      </c>
      <c r="K5" s="103">
        <v>1.0151085930122756</v>
      </c>
      <c r="L5" s="103">
        <v>1.0254957507082152</v>
      </c>
      <c r="M5" s="103">
        <v>1.0453257790368271</v>
      </c>
      <c r="N5" s="103">
        <v>1.0658358684968412</v>
      </c>
      <c r="O5" s="103">
        <v>1.089731571598971</v>
      </c>
      <c r="P5" s="104"/>
    </row>
    <row r="6" spans="2:21" s="95" customFormat="1" ht="11.25" customHeight="1" outlineLevel="1" x14ac:dyDescent="0.2">
      <c r="C6" s="101" t="s">
        <v>125</v>
      </c>
      <c r="D6" s="102" t="s">
        <v>131</v>
      </c>
      <c r="E6" s="97" t="s">
        <v>132</v>
      </c>
      <c r="F6" s="97"/>
      <c r="G6" s="97"/>
      <c r="H6" s="97"/>
      <c r="I6" s="103"/>
      <c r="J6" s="103">
        <v>0.98511627906976751</v>
      </c>
      <c r="K6" s="103">
        <v>1</v>
      </c>
      <c r="L6" s="103">
        <v>1.0102325581395348</v>
      </c>
      <c r="M6" s="103">
        <v>1.029767441860465</v>
      </c>
      <c r="N6" s="103">
        <v>1.0499722648727021</v>
      </c>
      <c r="O6" s="103">
        <v>1.0735123109984284</v>
      </c>
      <c r="P6" s="104"/>
      <c r="Q6" s="105"/>
    </row>
    <row r="7" spans="2:21" s="95" customFormat="1" ht="11.25" customHeight="1" outlineLevel="1" x14ac:dyDescent="0.2">
      <c r="C7" s="101" t="s">
        <v>126</v>
      </c>
      <c r="D7" s="102" t="s">
        <v>131</v>
      </c>
      <c r="E7" s="97" t="s">
        <v>132</v>
      </c>
      <c r="F7" s="97"/>
      <c r="G7" s="97"/>
      <c r="H7" s="97"/>
      <c r="I7" s="103"/>
      <c r="J7" s="103">
        <v>0.97513812154696156</v>
      </c>
      <c r="K7" s="103">
        <v>0.98987108655616951</v>
      </c>
      <c r="L7" s="103">
        <v>1</v>
      </c>
      <c r="M7" s="103">
        <v>1.0193370165745856</v>
      </c>
      <c r="N7" s="103">
        <v>1.0393371866833838</v>
      </c>
      <c r="O7" s="103">
        <v>1.0626387977194387</v>
      </c>
      <c r="P7" s="104"/>
      <c r="U7" s="105"/>
    </row>
    <row r="8" spans="2:21" s="95" customFormat="1" ht="11.25" customHeight="1" outlineLevel="1" x14ac:dyDescent="0.2">
      <c r="C8" s="101" t="s">
        <v>127</v>
      </c>
      <c r="D8" s="102" t="s">
        <v>131</v>
      </c>
      <c r="E8" s="97" t="s">
        <v>132</v>
      </c>
      <c r="F8" s="97"/>
      <c r="G8" s="97"/>
      <c r="H8" s="97"/>
      <c r="I8" s="103"/>
      <c r="J8" s="103">
        <v>0.95663956639566416</v>
      </c>
      <c r="K8" s="103">
        <v>0.97109304426377607</v>
      </c>
      <c r="L8" s="103">
        <v>0.98102981029810299</v>
      </c>
      <c r="M8" s="103">
        <v>1</v>
      </c>
      <c r="N8" s="103">
        <v>1.0196207630877641</v>
      </c>
      <c r="O8" s="106">
        <v>1.0424803381421053</v>
      </c>
      <c r="P8" s="104"/>
    </row>
    <row r="9" spans="2:21" s="95" customFormat="1" ht="11.25" customHeight="1" outlineLevel="1" x14ac:dyDescent="0.2">
      <c r="C9" s="101" t="s">
        <v>128</v>
      </c>
      <c r="D9" s="102" t="s">
        <v>131</v>
      </c>
      <c r="E9" s="97" t="s">
        <v>132</v>
      </c>
      <c r="F9" s="97"/>
      <c r="G9" s="97"/>
      <c r="H9" s="97"/>
      <c r="I9" s="103"/>
      <c r="J9" s="103">
        <v>0.93823076287562923</v>
      </c>
      <c r="K9" s="103">
        <v>0.95240610962351402</v>
      </c>
      <c r="L9" s="103">
        <v>0.96215166051268486</v>
      </c>
      <c r="M9" s="103">
        <v>0.9807568031192837</v>
      </c>
      <c r="N9" s="103">
        <v>1</v>
      </c>
      <c r="O9" s="103">
        <v>1.0224196837509609</v>
      </c>
      <c r="P9" s="104"/>
    </row>
    <row r="10" spans="2:21" s="95" customFormat="1" ht="11.25" customHeight="1" outlineLevel="1" x14ac:dyDescent="0.2">
      <c r="C10" s="101" t="s">
        <v>129</v>
      </c>
      <c r="D10" s="102" t="s">
        <v>131</v>
      </c>
      <c r="E10" s="97" t="s">
        <v>132</v>
      </c>
      <c r="F10" s="97"/>
      <c r="G10" s="97"/>
      <c r="H10" s="97"/>
      <c r="I10" s="103"/>
      <c r="J10" s="103">
        <v>0.91765717912778544</v>
      </c>
      <c r="K10" s="103">
        <v>0.93152168797202006</v>
      </c>
      <c r="L10" s="103">
        <v>0.94105353780243139</v>
      </c>
      <c r="M10" s="103">
        <v>0.95925070566048942</v>
      </c>
      <c r="N10" s="103">
        <v>0.97807193649802437</v>
      </c>
      <c r="O10" s="103">
        <v>1</v>
      </c>
    </row>
    <row r="12" spans="2:21" x14ac:dyDescent="0.25">
      <c r="B12" s="123" t="s">
        <v>133</v>
      </c>
      <c r="C12" s="123"/>
      <c r="D12" s="123"/>
      <c r="E12" s="123"/>
      <c r="F12" s="123"/>
      <c r="G12" s="123"/>
      <c r="H12" s="123"/>
      <c r="M12" s="123" t="s">
        <v>134</v>
      </c>
      <c r="N12" s="123"/>
      <c r="O12" s="123"/>
      <c r="P12" s="123"/>
      <c r="Q12" s="123"/>
      <c r="R12" s="123"/>
      <c r="S12" s="123"/>
    </row>
    <row r="13" spans="2:21" ht="15.6" thickBot="1" x14ac:dyDescent="0.3">
      <c r="B13" s="107"/>
      <c r="C13" s="107" t="s">
        <v>135</v>
      </c>
      <c r="D13" s="107" t="s">
        <v>136</v>
      </c>
      <c r="E13" s="107" t="s">
        <v>137</v>
      </c>
      <c r="F13" s="107" t="s">
        <v>138</v>
      </c>
      <c r="G13" s="107" t="s">
        <v>139</v>
      </c>
      <c r="H13" s="107" t="s">
        <v>44</v>
      </c>
      <c r="M13" s="107"/>
      <c r="N13" s="107" t="s">
        <v>135</v>
      </c>
      <c r="O13" s="107" t="s">
        <v>136</v>
      </c>
      <c r="P13" s="107" t="s">
        <v>137</v>
      </c>
      <c r="Q13" s="107" t="s">
        <v>138</v>
      </c>
      <c r="R13" s="107" t="s">
        <v>139</v>
      </c>
      <c r="S13" s="107" t="s">
        <v>44</v>
      </c>
    </row>
    <row r="14" spans="2:21" ht="24" thickTop="1" thickBot="1" x14ac:dyDescent="0.3">
      <c r="B14" s="108" t="s">
        <v>140</v>
      </c>
      <c r="C14" s="109">
        <f>Summary!H14/1000000</f>
        <v>-0.64600000000000002</v>
      </c>
      <c r="D14" s="109">
        <f>Summary!I14/1000000</f>
        <v>-0.64980000000000004</v>
      </c>
      <c r="E14" s="109">
        <f>Summary!J14/1000000</f>
        <v>-1.2346200000000001</v>
      </c>
      <c r="F14" s="109">
        <f>Summary!K14/1000000</f>
        <v>-0.68418524999999997</v>
      </c>
      <c r="G14" s="109">
        <f>Summary!L14/1000000</f>
        <v>-1.2070982625</v>
      </c>
      <c r="H14" s="110">
        <f>SUM(C14:G14)</f>
        <v>-4.4217035125000006</v>
      </c>
      <c r="M14" s="108" t="s">
        <v>140</v>
      </c>
      <c r="N14" s="116">
        <f>ABS(C14*($O$8))</f>
        <v>0.67344229843980008</v>
      </c>
      <c r="O14" s="116">
        <f t="shared" ref="O14:S21" si="0">ABS(D14*($O$8))</f>
        <v>0.67740372372474</v>
      </c>
      <c r="P14" s="116">
        <f t="shared" si="0"/>
        <v>1.2870670750770061</v>
      </c>
      <c r="Q14" s="116">
        <f t="shared" si="0"/>
        <v>0.71324967077184076</v>
      </c>
      <c r="R14" s="116">
        <f t="shared" si="0"/>
        <v>1.2583762048617477</v>
      </c>
      <c r="S14" s="117">
        <f t="shared" si="0"/>
        <v>4.6095389728751357</v>
      </c>
    </row>
    <row r="15" spans="2:21" ht="35.4" thickTop="1" thickBot="1" x14ac:dyDescent="0.3">
      <c r="B15" s="108" t="s">
        <v>141</v>
      </c>
      <c r="C15" s="109">
        <f>Summary!H18/1000000</f>
        <v>0</v>
      </c>
      <c r="D15" s="109">
        <f>Summary!I18/1000000</f>
        <v>0</v>
      </c>
      <c r="E15" s="109">
        <f>Summary!J18/1000000</f>
        <v>-0.58301499999999995</v>
      </c>
      <c r="F15" s="109">
        <f>Summary!K18/1000000</f>
        <v>-0.58644449999999992</v>
      </c>
      <c r="G15" s="109">
        <f>Summary!L18/1000000</f>
        <v>-6.1902474999999992E-2</v>
      </c>
      <c r="H15" s="110">
        <f t="shared" ref="H15:H21" si="1">SUM(C15:G15)</f>
        <v>-1.2313619749999998</v>
      </c>
      <c r="M15" s="108" t="s">
        <v>141</v>
      </c>
      <c r="N15" s="116">
        <f t="shared" ref="N15:N21" si="2">ABS(C15*($O$8))</f>
        <v>0</v>
      </c>
      <c r="O15" s="116">
        <f t="shared" si="0"/>
        <v>0</v>
      </c>
      <c r="P15" s="116">
        <f t="shared" si="0"/>
        <v>0.60778167434191943</v>
      </c>
      <c r="Q15" s="116">
        <f t="shared" si="0"/>
        <v>0.61135686066157779</v>
      </c>
      <c r="R15" s="116">
        <f t="shared" si="0"/>
        <v>6.4532113069833211E-2</v>
      </c>
      <c r="S15" s="117">
        <f t="shared" si="0"/>
        <v>1.2836706480733304</v>
      </c>
    </row>
    <row r="16" spans="2:21" ht="24" thickTop="1" thickBot="1" x14ac:dyDescent="0.3">
      <c r="B16" s="108" t="s">
        <v>142</v>
      </c>
      <c r="C16" s="109">
        <f>Summary!H22/1000000</f>
        <v>0</v>
      </c>
      <c r="D16" s="109">
        <f>Summary!I22/1000000</f>
        <v>0</v>
      </c>
      <c r="E16" s="109">
        <f>Summary!J22/1000000</f>
        <v>-0.58301499999999995</v>
      </c>
      <c r="F16" s="109">
        <f>Summary!K22/1000000</f>
        <v>-0.58644449999999992</v>
      </c>
      <c r="G16" s="109">
        <f>Summary!L22/1000000</f>
        <v>-0.58807351249999995</v>
      </c>
      <c r="H16" s="110">
        <f t="shared" si="1"/>
        <v>-1.7575330124999997</v>
      </c>
      <c r="M16" s="108" t="s">
        <v>142</v>
      </c>
      <c r="N16" s="116">
        <f t="shared" si="2"/>
        <v>0</v>
      </c>
      <c r="O16" s="116">
        <f t="shared" si="0"/>
        <v>0</v>
      </c>
      <c r="P16" s="116">
        <f t="shared" si="0"/>
        <v>0.60778167434191943</v>
      </c>
      <c r="Q16" s="116">
        <f t="shared" si="0"/>
        <v>0.61135686066157779</v>
      </c>
      <c r="R16" s="116">
        <f t="shared" si="0"/>
        <v>0.61305507416341554</v>
      </c>
      <c r="S16" s="117">
        <f t="shared" si="0"/>
        <v>1.8321936091669127</v>
      </c>
    </row>
    <row r="17" spans="2:20" ht="24" thickTop="1" thickBot="1" x14ac:dyDescent="0.3">
      <c r="B17" s="108" t="s">
        <v>143</v>
      </c>
      <c r="C17" s="109">
        <f>Summary!H26/1000000</f>
        <v>-1.292</v>
      </c>
      <c r="D17" s="109">
        <f>Summary!I26/1000000</f>
        <v>-0.68589999999999995</v>
      </c>
      <c r="E17" s="109">
        <f>Summary!J26/1000000</f>
        <v>-0.68589999999999995</v>
      </c>
      <c r="F17" s="109">
        <f>Summary!K26/1000000</f>
        <v>-1.2380494999999998</v>
      </c>
      <c r="G17" s="109">
        <f>Summary!L26/1000000</f>
        <v>-0.18570742499999998</v>
      </c>
      <c r="H17" s="110">
        <f t="shared" si="1"/>
        <v>-4.0875569250000003</v>
      </c>
      <c r="M17" s="108" t="s">
        <v>143</v>
      </c>
      <c r="N17" s="116">
        <f t="shared" si="2"/>
        <v>1.3468845968796002</v>
      </c>
      <c r="O17" s="116">
        <f t="shared" si="0"/>
        <v>0.71503726393167</v>
      </c>
      <c r="P17" s="116">
        <f t="shared" si="0"/>
        <v>0.71503726393167</v>
      </c>
      <c r="Q17" s="116">
        <f t="shared" si="0"/>
        <v>1.2906422613966642</v>
      </c>
      <c r="R17" s="116">
        <f t="shared" si="0"/>
        <v>0.19359633920949965</v>
      </c>
      <c r="S17" s="117">
        <f t="shared" si="0"/>
        <v>4.2611977253491045</v>
      </c>
    </row>
    <row r="18" spans="2:20" ht="24" thickTop="1" thickBot="1" x14ac:dyDescent="0.3">
      <c r="B18" s="108" t="s">
        <v>144</v>
      </c>
      <c r="C18" s="109">
        <f>Summary!H30/1000000</f>
        <v>0</v>
      </c>
      <c r="D18" s="109">
        <f>Summary!I30/1000000</f>
        <v>0</v>
      </c>
      <c r="E18" s="109">
        <f>Summary!J30/1000000</f>
        <v>-0.58301499999999995</v>
      </c>
      <c r="F18" s="109">
        <f>Summary!K30/1000000</f>
        <v>-0.58644449999999992</v>
      </c>
      <c r="G18" s="109">
        <f>Summary!L30/1000000</f>
        <v>-1.1142445499999998</v>
      </c>
      <c r="H18" s="110">
        <f t="shared" si="1"/>
        <v>-2.2837040499999999</v>
      </c>
      <c r="M18" s="108" t="s">
        <v>144</v>
      </c>
      <c r="N18" s="116">
        <f t="shared" si="2"/>
        <v>0</v>
      </c>
      <c r="O18" s="116">
        <f t="shared" si="0"/>
        <v>0</v>
      </c>
      <c r="P18" s="116">
        <f t="shared" si="0"/>
        <v>0.60778167434191943</v>
      </c>
      <c r="Q18" s="116">
        <f t="shared" si="0"/>
        <v>0.61135686066157779</v>
      </c>
      <c r="R18" s="116">
        <f t="shared" si="0"/>
        <v>1.1615780352569978</v>
      </c>
      <c r="S18" s="117">
        <f t="shared" si="0"/>
        <v>2.3807165702604953</v>
      </c>
    </row>
    <row r="19" spans="2:20" ht="46.8" thickTop="1" thickBot="1" x14ac:dyDescent="0.3">
      <c r="B19" s="108" t="s">
        <v>145</v>
      </c>
      <c r="C19" s="109">
        <f>Summary!H34/1000000</f>
        <v>-1.292</v>
      </c>
      <c r="D19" s="109">
        <f>Summary!I34/1000000</f>
        <v>-1.2996000000000001</v>
      </c>
      <c r="E19" s="109">
        <f>Summary!J34/1000000</f>
        <v>-1.30321</v>
      </c>
      <c r="F19" s="109">
        <f>Summary!K34/1000000</f>
        <v>-1.3032099999999998</v>
      </c>
      <c r="G19" s="109">
        <f>Summary!L34/1000000</f>
        <v>-1.2999519749999999</v>
      </c>
      <c r="H19" s="110">
        <f t="shared" si="1"/>
        <v>-6.4979719749999996</v>
      </c>
      <c r="M19" s="108" t="s">
        <v>145</v>
      </c>
      <c r="N19" s="116">
        <f t="shared" si="2"/>
        <v>1.3468845968796002</v>
      </c>
      <c r="O19" s="116">
        <f t="shared" si="0"/>
        <v>1.35480744744948</v>
      </c>
      <c r="P19" s="116">
        <f t="shared" si="0"/>
        <v>1.358570801470173</v>
      </c>
      <c r="Q19" s="116">
        <f t="shared" si="0"/>
        <v>1.3585708014701727</v>
      </c>
      <c r="R19" s="116">
        <f t="shared" si="0"/>
        <v>1.3551743744664975</v>
      </c>
      <c r="S19" s="117">
        <f t="shared" si="0"/>
        <v>6.7740080217359235</v>
      </c>
    </row>
    <row r="20" spans="2:20" ht="24" thickTop="1" thickBot="1" x14ac:dyDescent="0.3">
      <c r="B20" s="108" t="s">
        <v>146</v>
      </c>
      <c r="C20" s="109">
        <f>Summary!H10/1000000</f>
        <v>-0.30016565988441768</v>
      </c>
      <c r="D20" s="109">
        <f>Summary!I10/1000000</f>
        <v>-0.8913757634868904</v>
      </c>
      <c r="E20" s="109">
        <f>Summary!J10/1000000</f>
        <v>-1.2787397128624647</v>
      </c>
      <c r="F20" s="109">
        <f>Summary!K10/1000000</f>
        <v>-1.3088277061062872</v>
      </c>
      <c r="G20" s="109">
        <f>Summary!L10/1000000</f>
        <v>-1.0029331081274231</v>
      </c>
      <c r="H20" s="110">
        <f t="shared" si="1"/>
        <v>-4.7820419504674829</v>
      </c>
      <c r="M20" s="108" t="s">
        <v>146</v>
      </c>
      <c r="N20" s="116">
        <f t="shared" si="2"/>
        <v>0.31291679861495592</v>
      </c>
      <c r="O20" s="116">
        <f t="shared" si="0"/>
        <v>0.92924170733149081</v>
      </c>
      <c r="P20" s="116">
        <f t="shared" si="0"/>
        <v>1.3330610082606007</v>
      </c>
      <c r="Q20" s="116">
        <f t="shared" si="0"/>
        <v>1.3644271496314382</v>
      </c>
      <c r="R20" s="116">
        <f t="shared" si="0"/>
        <v>1.0455380456945886</v>
      </c>
      <c r="S20" s="117">
        <f t="shared" si="0"/>
        <v>4.9851847095330744</v>
      </c>
    </row>
    <row r="21" spans="2:20" ht="16.2" thickTop="1" thickBot="1" x14ac:dyDescent="0.3">
      <c r="B21" s="111" t="s">
        <v>44</v>
      </c>
      <c r="C21" s="110">
        <f>SUM(C14:C20)</f>
        <v>-3.530165659884418</v>
      </c>
      <c r="D21" s="110">
        <f t="shared" ref="D21:G21" si="3">SUM(D14:D20)</f>
        <v>-3.5266757634868906</v>
      </c>
      <c r="E21" s="110">
        <f t="shared" si="3"/>
        <v>-6.2515147128624653</v>
      </c>
      <c r="F21" s="110">
        <f t="shared" si="3"/>
        <v>-6.293605956106286</v>
      </c>
      <c r="G21" s="110">
        <f t="shared" si="3"/>
        <v>-5.4599113081274222</v>
      </c>
      <c r="H21" s="110">
        <f t="shared" si="1"/>
        <v>-25.061873400467483</v>
      </c>
      <c r="M21" s="111" t="s">
        <v>44</v>
      </c>
      <c r="N21" s="117">
        <f t="shared" si="2"/>
        <v>3.6801282908139563</v>
      </c>
      <c r="O21" s="117">
        <f t="shared" si="0"/>
        <v>3.6764901424373808</v>
      </c>
      <c r="P21" s="117">
        <f t="shared" si="0"/>
        <v>6.5170811717652093</v>
      </c>
      <c r="Q21" s="117">
        <f t="shared" si="0"/>
        <v>6.5609604652548486</v>
      </c>
      <c r="R21" s="117">
        <f t="shared" si="0"/>
        <v>5.6918501867225793</v>
      </c>
      <c r="S21" s="117">
        <f t="shared" si="0"/>
        <v>26.126510256993978</v>
      </c>
    </row>
    <row r="22" spans="2:20" ht="15.6" thickTop="1" x14ac:dyDescent="0.25">
      <c r="B22" s="112"/>
      <c r="M22" s="112"/>
    </row>
    <row r="23" spans="2:20" x14ac:dyDescent="0.25">
      <c r="B23" s="123" t="s">
        <v>147</v>
      </c>
      <c r="C23" s="123"/>
      <c r="D23" s="123"/>
      <c r="E23" s="123"/>
      <c r="F23" s="123"/>
      <c r="G23" s="123"/>
      <c r="H23" s="123"/>
      <c r="I23" s="123"/>
      <c r="M23" s="123" t="s">
        <v>148</v>
      </c>
      <c r="N23" s="123"/>
      <c r="O23" s="123"/>
      <c r="P23" s="123"/>
      <c r="Q23" s="123"/>
      <c r="R23" s="123"/>
      <c r="S23" s="123"/>
      <c r="T23" s="123"/>
    </row>
    <row r="24" spans="2:20" ht="15.6" thickBot="1" x14ac:dyDescent="0.3">
      <c r="B24" s="107"/>
      <c r="C24" s="107"/>
      <c r="D24" s="107" t="s">
        <v>135</v>
      </c>
      <c r="E24" s="107" t="s">
        <v>136</v>
      </c>
      <c r="F24" s="107" t="s">
        <v>137</v>
      </c>
      <c r="G24" s="107" t="s">
        <v>138</v>
      </c>
      <c r="H24" s="107" t="s">
        <v>139</v>
      </c>
      <c r="I24" s="107" t="s">
        <v>44</v>
      </c>
      <c r="M24" s="107"/>
      <c r="N24" s="107"/>
      <c r="O24" s="107" t="s">
        <v>135</v>
      </c>
      <c r="P24" s="107" t="s">
        <v>136</v>
      </c>
      <c r="Q24" s="107" t="s">
        <v>137</v>
      </c>
      <c r="R24" s="107" t="s">
        <v>138</v>
      </c>
      <c r="S24" s="107" t="s">
        <v>139</v>
      </c>
      <c r="T24" s="107" t="s">
        <v>44</v>
      </c>
    </row>
    <row r="25" spans="2:20" ht="24" thickTop="1" thickBot="1" x14ac:dyDescent="0.3">
      <c r="B25" s="121" t="s">
        <v>140</v>
      </c>
      <c r="C25" s="113" t="s">
        <v>149</v>
      </c>
      <c r="D25" s="109">
        <f>Summary!H11/1000000</f>
        <v>-10.297207188030601</v>
      </c>
      <c r="E25" s="109">
        <f>Summary!I11/1000000</f>
        <v>-9.185130149555599</v>
      </c>
      <c r="F25" s="109">
        <f>Summary!J11/1000000</f>
        <v>-1.4865225280460999</v>
      </c>
      <c r="G25" s="109">
        <f>Summary!K11/1000000</f>
        <v>0</v>
      </c>
      <c r="H25" s="109">
        <f>Summary!L11/1000000</f>
        <v>0</v>
      </c>
      <c r="I25" s="109">
        <f>SUM(D25:H25)</f>
        <v>-20.9688598656323</v>
      </c>
      <c r="M25" s="121" t="s">
        <v>140</v>
      </c>
      <c r="N25" s="113" t="s">
        <v>150</v>
      </c>
      <c r="O25" s="116">
        <f>ABS(D25*($O$8))</f>
        <v>10.734636031297459</v>
      </c>
      <c r="P25" s="116">
        <f t="shared" ref="P25:T40" si="4">ABS(E25*($O$8))</f>
        <v>9.5753175841879674</v>
      </c>
      <c r="Q25" s="116">
        <f t="shared" si="4"/>
        <v>1.5496705076933555</v>
      </c>
      <c r="R25" s="116">
        <f t="shared" si="4"/>
        <v>0</v>
      </c>
      <c r="S25" s="116">
        <f t="shared" si="4"/>
        <v>0</v>
      </c>
      <c r="T25" s="116">
        <f t="shared" si="4"/>
        <v>21.859624123178779</v>
      </c>
    </row>
    <row r="26" spans="2:20" ht="24" thickTop="1" thickBot="1" x14ac:dyDescent="0.3">
      <c r="B26" s="122"/>
      <c r="C26" s="113" t="s">
        <v>151</v>
      </c>
      <c r="D26" s="109">
        <f>Summary!H12/1000000</f>
        <v>0</v>
      </c>
      <c r="E26" s="109">
        <f>Summary!I12/1000000</f>
        <v>-8.6819687034400003E-2</v>
      </c>
      <c r="F26" s="109">
        <f>Summary!J12/1000000</f>
        <v>-1.0687580750555998</v>
      </c>
      <c r="G26" s="109">
        <f>Summary!K12/1000000</f>
        <v>-5.6444671571434002</v>
      </c>
      <c r="H26" s="109">
        <f>Summary!L12/1000000</f>
        <v>-13.3694684926734</v>
      </c>
      <c r="I26" s="109">
        <f t="shared" ref="I26:I40" si="5">SUM(D26:H26)</f>
        <v>-20.169513411906799</v>
      </c>
      <c r="M26" s="122"/>
      <c r="N26" s="113" t="s">
        <v>152</v>
      </c>
      <c r="O26" s="116">
        <f t="shared" ref="O26:O40" si="6">ABS(D26*($O$8))</f>
        <v>0</v>
      </c>
      <c r="P26" s="116">
        <f t="shared" si="4"/>
        <v>9.0507816697013063E-2</v>
      </c>
      <c r="Q26" s="116">
        <f t="shared" si="4"/>
        <v>1.1141592794760673</v>
      </c>
      <c r="R26" s="116">
        <f t="shared" si="4"/>
        <v>5.8842460306108597</v>
      </c>
      <c r="S26" s="116">
        <f t="shared" si="4"/>
        <v>13.937408035022388</v>
      </c>
      <c r="T26" s="116">
        <f t="shared" si="4"/>
        <v>21.026321161806326</v>
      </c>
    </row>
    <row r="27" spans="2:20" ht="18" customHeight="1" thickTop="1" thickBot="1" x14ac:dyDescent="0.3">
      <c r="B27" s="121" t="s">
        <v>141</v>
      </c>
      <c r="C27" s="113" t="s">
        <v>149</v>
      </c>
      <c r="D27" s="109">
        <f>Summary!H15/1000000</f>
        <v>0</v>
      </c>
      <c r="E27" s="109">
        <f>Summary!I15/1000000</f>
        <v>0</v>
      </c>
      <c r="F27" s="109">
        <f>Summary!J15/1000000</f>
        <v>-5.3281314076000001E-2</v>
      </c>
      <c r="G27" s="109">
        <f>Summary!K15/1000000</f>
        <v>-0.79539819827629998</v>
      </c>
      <c r="H27" s="109">
        <f>Summary!L15/1000000</f>
        <v>-2.1488437726042</v>
      </c>
      <c r="I27" s="109">
        <f t="shared" si="5"/>
        <v>-2.9975232849564999</v>
      </c>
      <c r="M27" s="121" t="s">
        <v>141</v>
      </c>
      <c r="N27" s="113" t="s">
        <v>150</v>
      </c>
      <c r="O27" s="116">
        <f t="shared" si="6"/>
        <v>0</v>
      </c>
      <c r="P27" s="116">
        <f t="shared" si="4"/>
        <v>0</v>
      </c>
      <c r="Q27" s="116">
        <f t="shared" si="4"/>
        <v>5.5544722314604195E-2</v>
      </c>
      <c r="R27" s="116">
        <f t="shared" si="4"/>
        <v>0.82918698269669855</v>
      </c>
      <c r="S27" s="116">
        <f t="shared" si="4"/>
        <v>2.2401273826789838</v>
      </c>
      <c r="T27" s="116">
        <f t="shared" si="4"/>
        <v>3.1248590876902864</v>
      </c>
    </row>
    <row r="28" spans="2:20" ht="24" thickTop="1" thickBot="1" x14ac:dyDescent="0.3">
      <c r="B28" s="122"/>
      <c r="C28" s="113" t="s">
        <v>151</v>
      </c>
      <c r="D28" s="109">
        <f>Summary!H16/1000000</f>
        <v>0</v>
      </c>
      <c r="E28" s="109">
        <f>Summary!I16/1000000</f>
        <v>0</v>
      </c>
      <c r="F28" s="109">
        <f>Summary!J16/1000000</f>
        <v>0</v>
      </c>
      <c r="G28" s="109">
        <f>Summary!K16/1000000</f>
        <v>0</v>
      </c>
      <c r="H28" s="109">
        <f>Summary!L16/1000000</f>
        <v>0</v>
      </c>
      <c r="I28" s="109">
        <f t="shared" si="5"/>
        <v>0</v>
      </c>
      <c r="M28" s="122"/>
      <c r="N28" s="113" t="s">
        <v>152</v>
      </c>
      <c r="O28" s="116">
        <f t="shared" si="6"/>
        <v>0</v>
      </c>
      <c r="P28" s="116">
        <f t="shared" si="4"/>
        <v>0</v>
      </c>
      <c r="Q28" s="116">
        <f t="shared" si="4"/>
        <v>0</v>
      </c>
      <c r="R28" s="116">
        <f t="shared" si="4"/>
        <v>0</v>
      </c>
      <c r="S28" s="116">
        <f t="shared" si="4"/>
        <v>0</v>
      </c>
      <c r="T28" s="116">
        <f t="shared" si="4"/>
        <v>0</v>
      </c>
    </row>
    <row r="29" spans="2:20" ht="24" thickTop="1" thickBot="1" x14ac:dyDescent="0.3">
      <c r="B29" s="121" t="s">
        <v>142</v>
      </c>
      <c r="C29" s="113" t="s">
        <v>149</v>
      </c>
      <c r="D29" s="109">
        <f>Summary!H19/1000000</f>
        <v>0</v>
      </c>
      <c r="E29" s="109">
        <f>Summary!I19/1000000</f>
        <v>0</v>
      </c>
      <c r="F29" s="109">
        <f>Summary!J19/1000000</f>
        <v>0</v>
      </c>
      <c r="G29" s="109">
        <f>Summary!K19/1000000</f>
        <v>0</v>
      </c>
      <c r="H29" s="109">
        <f>Summary!L19/1000000</f>
        <v>-3.7851380225200001E-2</v>
      </c>
      <c r="I29" s="109">
        <f t="shared" si="5"/>
        <v>-3.7851380225200001E-2</v>
      </c>
      <c r="M29" s="121" t="s">
        <v>142</v>
      </c>
      <c r="N29" s="113" t="s">
        <v>150</v>
      </c>
      <c r="O29" s="116">
        <f t="shared" si="6"/>
        <v>0</v>
      </c>
      <c r="P29" s="116">
        <f t="shared" si="4"/>
        <v>0</v>
      </c>
      <c r="Q29" s="116">
        <f t="shared" si="4"/>
        <v>0</v>
      </c>
      <c r="R29" s="116">
        <f t="shared" si="4"/>
        <v>0</v>
      </c>
      <c r="S29" s="116">
        <f t="shared" si="4"/>
        <v>3.9459319656311893E-2</v>
      </c>
      <c r="T29" s="116">
        <f t="shared" si="4"/>
        <v>3.9459319656311893E-2</v>
      </c>
    </row>
    <row r="30" spans="2:20" ht="24" thickTop="1" thickBot="1" x14ac:dyDescent="0.3">
      <c r="B30" s="122"/>
      <c r="C30" s="113" t="s">
        <v>151</v>
      </c>
      <c r="D30" s="109">
        <f>Summary!H20/1000000</f>
        <v>0</v>
      </c>
      <c r="E30" s="109">
        <f>Summary!I20/1000000</f>
        <v>0</v>
      </c>
      <c r="F30" s="109">
        <f>Summary!J20/1000000</f>
        <v>0</v>
      </c>
      <c r="G30" s="109">
        <f>Summary!K20/1000000</f>
        <v>0</v>
      </c>
      <c r="H30" s="109">
        <f>Summary!L20/1000000</f>
        <v>0</v>
      </c>
      <c r="I30" s="109">
        <f t="shared" si="5"/>
        <v>0</v>
      </c>
      <c r="M30" s="122"/>
      <c r="N30" s="113" t="s">
        <v>152</v>
      </c>
      <c r="O30" s="116">
        <f t="shared" si="6"/>
        <v>0</v>
      </c>
      <c r="P30" s="116">
        <f t="shared" si="4"/>
        <v>0</v>
      </c>
      <c r="Q30" s="116">
        <f t="shared" si="4"/>
        <v>0</v>
      </c>
      <c r="R30" s="116">
        <f t="shared" si="4"/>
        <v>0</v>
      </c>
      <c r="S30" s="116">
        <f t="shared" si="4"/>
        <v>0</v>
      </c>
      <c r="T30" s="116">
        <f t="shared" si="4"/>
        <v>0</v>
      </c>
    </row>
    <row r="31" spans="2:20" ht="24" thickTop="1" thickBot="1" x14ac:dyDescent="0.3">
      <c r="B31" s="121" t="s">
        <v>143</v>
      </c>
      <c r="C31" s="113" t="s">
        <v>149</v>
      </c>
      <c r="D31" s="109">
        <f>Summary!H23/1000000</f>
        <v>-2.3075694916873997</v>
      </c>
      <c r="E31" s="109">
        <f>Summary!I23/1000000</f>
        <v>-17.424944494965501</v>
      </c>
      <c r="F31" s="109">
        <f>Summary!J23/1000000</f>
        <v>-21.294136694454799</v>
      </c>
      <c r="G31" s="109">
        <f>Summary!K23/1000000</f>
        <v>-6.4251505467354999</v>
      </c>
      <c r="H31" s="109">
        <f>Summary!L23/1000000</f>
        <v>-0.22070551091780002</v>
      </c>
      <c r="I31" s="109">
        <f t="shared" si="5"/>
        <v>-47.672506738761001</v>
      </c>
      <c r="M31" s="121" t="s">
        <v>143</v>
      </c>
      <c r="N31" s="113" t="s">
        <v>150</v>
      </c>
      <c r="O31" s="116">
        <f t="shared" si="6"/>
        <v>2.4055958239806863</v>
      </c>
      <c r="P31" s="116">
        <f t="shared" si="4"/>
        <v>18.165162029219051</v>
      </c>
      <c r="Q31" s="116">
        <f t="shared" si="4"/>
        <v>22.198718821679453</v>
      </c>
      <c r="R31" s="116">
        <f t="shared" si="4"/>
        <v>6.6980931145747569</v>
      </c>
      <c r="S31" s="116">
        <f t="shared" si="4"/>
        <v>0.23008115565141427</v>
      </c>
      <c r="T31" s="116">
        <f t="shared" si="4"/>
        <v>49.697650945105359</v>
      </c>
    </row>
    <row r="32" spans="2:20" ht="24" thickTop="1" thickBot="1" x14ac:dyDescent="0.3">
      <c r="B32" s="122"/>
      <c r="C32" s="113" t="s">
        <v>151</v>
      </c>
      <c r="D32" s="109">
        <f>Summary!H24/1000000</f>
        <v>0</v>
      </c>
      <c r="E32" s="109">
        <f>Summary!I24/1000000</f>
        <v>-8.880219012719999E-2</v>
      </c>
      <c r="F32" s="109">
        <f>Summary!J24/1000000</f>
        <v>-1.3365911348082</v>
      </c>
      <c r="G32" s="109">
        <f>Summary!K24/1000000</f>
        <v>-2.3075694916873997</v>
      </c>
      <c r="H32" s="109">
        <f>Summary!L24/1000000</f>
        <v>-17.424944494965501</v>
      </c>
      <c r="I32" s="109">
        <f t="shared" si="5"/>
        <v>-21.1579073115883</v>
      </c>
      <c r="M32" s="122"/>
      <c r="N32" s="113" t="s">
        <v>152</v>
      </c>
      <c r="O32" s="116">
        <f t="shared" si="6"/>
        <v>0</v>
      </c>
      <c r="P32" s="116">
        <f t="shared" si="4"/>
        <v>9.2574537191562972E-2</v>
      </c>
      <c r="Q32" s="116">
        <f t="shared" si="4"/>
        <v>1.3933699781725926</v>
      </c>
      <c r="R32" s="116">
        <f t="shared" si="4"/>
        <v>2.4055958239806863</v>
      </c>
      <c r="S32" s="116">
        <f t="shared" si="4"/>
        <v>18.165162029219051</v>
      </c>
      <c r="T32" s="116">
        <f t="shared" si="4"/>
        <v>22.056702368563894</v>
      </c>
    </row>
    <row r="33" spans="2:21" ht="24" thickTop="1" thickBot="1" x14ac:dyDescent="0.3">
      <c r="B33" s="121" t="s">
        <v>144</v>
      </c>
      <c r="C33" s="113" t="s">
        <v>149</v>
      </c>
      <c r="D33" s="109">
        <f>Summary!H27/1000000</f>
        <v>0</v>
      </c>
      <c r="E33" s="109">
        <f>Summary!I27/1000000</f>
        <v>0</v>
      </c>
      <c r="F33" s="109">
        <f>Summary!J27/1000000</f>
        <v>0</v>
      </c>
      <c r="G33" s="109">
        <f>Summary!K27/1000000</f>
        <v>-8.8802190126899994E-2</v>
      </c>
      <c r="H33" s="109">
        <f>Summary!L27/1000000</f>
        <v>-1.230117370246</v>
      </c>
      <c r="I33" s="109">
        <f t="shared" si="5"/>
        <v>-1.3189195603729</v>
      </c>
      <c r="M33" s="121" t="s">
        <v>144</v>
      </c>
      <c r="N33" s="113" t="s">
        <v>150</v>
      </c>
      <c r="O33" s="116">
        <f t="shared" si="6"/>
        <v>0</v>
      </c>
      <c r="P33" s="116">
        <f t="shared" si="4"/>
        <v>0</v>
      </c>
      <c r="Q33" s="116">
        <f t="shared" si="4"/>
        <v>0</v>
      </c>
      <c r="R33" s="116">
        <f t="shared" si="4"/>
        <v>9.2574537191250222E-2</v>
      </c>
      <c r="S33" s="116">
        <f t="shared" si="4"/>
        <v>1.2823731720885274</v>
      </c>
      <c r="T33" s="116">
        <f t="shared" si="4"/>
        <v>1.3749477092797777</v>
      </c>
    </row>
    <row r="34" spans="2:21" ht="24" thickTop="1" thickBot="1" x14ac:dyDescent="0.3">
      <c r="B34" s="122"/>
      <c r="C34" s="113" t="s">
        <v>151</v>
      </c>
      <c r="D34" s="109">
        <f>Summary!H28/1000000</f>
        <v>0</v>
      </c>
      <c r="E34" s="109">
        <f>Summary!I28/1000000</f>
        <v>0</v>
      </c>
      <c r="F34" s="109">
        <f>Summary!J28/1000000</f>
        <v>0</v>
      </c>
      <c r="G34" s="109">
        <f>Summary!K28/1000000</f>
        <v>0</v>
      </c>
      <c r="H34" s="109">
        <f>Summary!L28/1000000</f>
        <v>0</v>
      </c>
      <c r="I34" s="109">
        <f t="shared" si="5"/>
        <v>0</v>
      </c>
      <c r="M34" s="122"/>
      <c r="N34" s="113" t="s">
        <v>152</v>
      </c>
      <c r="O34" s="116">
        <f t="shared" si="6"/>
        <v>0</v>
      </c>
      <c r="P34" s="116">
        <f t="shared" si="4"/>
        <v>0</v>
      </c>
      <c r="Q34" s="116">
        <f t="shared" si="4"/>
        <v>0</v>
      </c>
      <c r="R34" s="116">
        <f t="shared" si="4"/>
        <v>0</v>
      </c>
      <c r="S34" s="116">
        <f t="shared" si="4"/>
        <v>0</v>
      </c>
      <c r="T34" s="116">
        <f t="shared" si="4"/>
        <v>0</v>
      </c>
    </row>
    <row r="35" spans="2:21" ht="29.4" customHeight="1" thickTop="1" thickBot="1" x14ac:dyDescent="0.3">
      <c r="B35" s="121" t="s">
        <v>145</v>
      </c>
      <c r="C35" s="113" t="s">
        <v>149</v>
      </c>
      <c r="D35" s="109">
        <f>Summary!H31/1000000</f>
        <v>0</v>
      </c>
      <c r="E35" s="109">
        <f>Summary!I31/1000000</f>
        <v>0</v>
      </c>
      <c r="F35" s="109">
        <f>Summary!J31/1000000</f>
        <v>-0.5373469344256</v>
      </c>
      <c r="G35" s="109">
        <f>Summary!K31/1000000</f>
        <v>-1.6731372101971</v>
      </c>
      <c r="H35" s="109">
        <f>Summary!L31/1000000</f>
        <v>-14.752844605043201</v>
      </c>
      <c r="I35" s="109">
        <f t="shared" si="5"/>
        <v>-16.963328749665902</v>
      </c>
      <c r="M35" s="121" t="s">
        <v>145</v>
      </c>
      <c r="N35" s="113" t="s">
        <v>150</v>
      </c>
      <c r="O35" s="116">
        <f t="shared" si="6"/>
        <v>0</v>
      </c>
      <c r="P35" s="116">
        <f t="shared" si="4"/>
        <v>0</v>
      </c>
      <c r="Q35" s="116">
        <f t="shared" si="4"/>
        <v>0.56017361389962317</v>
      </c>
      <c r="R35" s="116">
        <f t="shared" si="4"/>
        <v>1.7442126446444115</v>
      </c>
      <c r="S35" s="116">
        <f t="shared" si="4"/>
        <v>15.37955043242337</v>
      </c>
      <c r="T35" s="116">
        <f t="shared" si="4"/>
        <v>17.683936690967403</v>
      </c>
    </row>
    <row r="36" spans="2:21" ht="24" thickTop="1" thickBot="1" x14ac:dyDescent="0.3">
      <c r="B36" s="122"/>
      <c r="C36" s="113" t="s">
        <v>151</v>
      </c>
      <c r="D36" s="109">
        <f>Summary!H32/1000000</f>
        <v>0</v>
      </c>
      <c r="E36" s="109">
        <f>Summary!I32/1000000</f>
        <v>0</v>
      </c>
      <c r="F36" s="109">
        <f>Summary!J32/1000000</f>
        <v>0</v>
      </c>
      <c r="G36" s="109">
        <f>Summary!K32/1000000</f>
        <v>0</v>
      </c>
      <c r="H36" s="109">
        <f>Summary!L32/1000000</f>
        <v>0</v>
      </c>
      <c r="I36" s="109">
        <f t="shared" si="5"/>
        <v>0</v>
      </c>
      <c r="M36" s="122"/>
      <c r="N36" s="113" t="s">
        <v>152</v>
      </c>
      <c r="O36" s="116">
        <f t="shared" si="6"/>
        <v>0</v>
      </c>
      <c r="P36" s="116">
        <f t="shared" si="4"/>
        <v>0</v>
      </c>
      <c r="Q36" s="116">
        <f t="shared" si="4"/>
        <v>0</v>
      </c>
      <c r="R36" s="116">
        <f t="shared" si="4"/>
        <v>0</v>
      </c>
      <c r="S36" s="116">
        <f t="shared" si="4"/>
        <v>0</v>
      </c>
      <c r="T36" s="116">
        <f t="shared" si="4"/>
        <v>0</v>
      </c>
    </row>
    <row r="37" spans="2:21" ht="24" thickTop="1" thickBot="1" x14ac:dyDescent="0.3">
      <c r="B37" s="121" t="s">
        <v>146</v>
      </c>
      <c r="C37" s="113" t="s">
        <v>149</v>
      </c>
      <c r="D37" s="109">
        <f>Summary!H7/1000000</f>
        <v>-8.6091961629304699</v>
      </c>
      <c r="E37" s="109">
        <f>Summary!I7/1000000</f>
        <v>-17.2094158096385</v>
      </c>
      <c r="F37" s="109">
        <f>Summary!J7/1000000</f>
        <v>-17.2094158096385</v>
      </c>
      <c r="G37" s="109">
        <f>Summary!K7/1000000</f>
        <v>-17.2094158096385</v>
      </c>
      <c r="H37" s="109">
        <f>Summary!L7/1000000</f>
        <v>-17.2094158096385</v>
      </c>
      <c r="I37" s="109">
        <f t="shared" si="5"/>
        <v>-77.446859401484474</v>
      </c>
      <c r="M37" s="121" t="s">
        <v>146</v>
      </c>
      <c r="N37" s="113" t="s">
        <v>150</v>
      </c>
      <c r="O37" s="116">
        <f t="shared" si="6"/>
        <v>8.9749177270634721</v>
      </c>
      <c r="P37" s="116">
        <f t="shared" si="4"/>
        <v>17.940477612460036</v>
      </c>
      <c r="Q37" s="116">
        <f t="shared" si="4"/>
        <v>17.940477612460036</v>
      </c>
      <c r="R37" s="116">
        <f t="shared" si="4"/>
        <v>17.940477612460036</v>
      </c>
      <c r="S37" s="116">
        <f t="shared" si="4"/>
        <v>17.940477612460036</v>
      </c>
      <c r="T37" s="116">
        <f t="shared" si="4"/>
        <v>80.736828176903614</v>
      </c>
    </row>
    <row r="38" spans="2:21" ht="24" thickTop="1" thickBot="1" x14ac:dyDescent="0.3">
      <c r="B38" s="122"/>
      <c r="C38" s="113" t="s">
        <v>151</v>
      </c>
      <c r="D38" s="109">
        <f>Summary!H8/1000000</f>
        <v>-7.360862719305552</v>
      </c>
      <c r="E38" s="109">
        <f>Summary!I8/1000000</f>
        <v>-13.961463974282296</v>
      </c>
      <c r="F38" s="109">
        <f>Summary!J8/1000000</f>
        <v>-14.520769988095546</v>
      </c>
      <c r="G38" s="109">
        <f>Summary!K8/1000000</f>
        <v>-11.745426290078276</v>
      </c>
      <c r="H38" s="109">
        <f>Summary!L8/1000000</f>
        <v>-12.648920620084297</v>
      </c>
      <c r="I38" s="109">
        <f t="shared" si="5"/>
        <v>-60.237443591845967</v>
      </c>
      <c r="M38" s="122"/>
      <c r="N38" s="113" t="s">
        <v>152</v>
      </c>
      <c r="O38" s="116">
        <f t="shared" si="6"/>
        <v>7.6735546566392685</v>
      </c>
      <c r="P38" s="116">
        <f t="shared" si="4"/>
        <v>14.554551684868629</v>
      </c>
      <c r="Q38" s="116">
        <f t="shared" si="4"/>
        <v>15.137617207273578</v>
      </c>
      <c r="R38" s="116">
        <f t="shared" si="4"/>
        <v>12.244375970503974</v>
      </c>
      <c r="S38" s="116">
        <f t="shared" si="4"/>
        <v>13.186251045158127</v>
      </c>
      <c r="T38" s="116">
        <f t="shared" si="4"/>
        <v>62.796350564443578</v>
      </c>
    </row>
    <row r="39" spans="2:21" ht="24" thickTop="1" thickBot="1" x14ac:dyDescent="0.3">
      <c r="B39" s="119" t="s">
        <v>44</v>
      </c>
      <c r="C39" s="114" t="s">
        <v>149</v>
      </c>
      <c r="D39" s="109">
        <f>SUM(D25,D27,D29,D31,D33,D35,D37)</f>
        <v>-21.21397284264847</v>
      </c>
      <c r="E39" s="109">
        <f t="shared" ref="E39:H40" si="7">SUM(E25,E27,E29,E31,E33,E35,E37)</f>
        <v>-43.819490454159599</v>
      </c>
      <c r="F39" s="109">
        <f t="shared" si="7"/>
        <v>-40.580703280641004</v>
      </c>
      <c r="G39" s="109">
        <f t="shared" si="7"/>
        <v>-26.1919039549743</v>
      </c>
      <c r="H39" s="109">
        <f t="shared" si="7"/>
        <v>-35.599778448674897</v>
      </c>
      <c r="I39" s="109">
        <f t="shared" si="5"/>
        <v>-167.40584898109827</v>
      </c>
      <c r="M39" s="119" t="s">
        <v>44</v>
      </c>
      <c r="N39" s="113" t="s">
        <v>150</v>
      </c>
      <c r="O39" s="116">
        <f t="shared" si="6"/>
        <v>22.115149582341616</v>
      </c>
      <c r="P39" s="116">
        <f t="shared" si="4"/>
        <v>45.680957225867054</v>
      </c>
      <c r="Q39" s="116">
        <f t="shared" si="4"/>
        <v>42.304585278047071</v>
      </c>
      <c r="R39" s="116">
        <f t="shared" si="4"/>
        <v>27.304544891567154</v>
      </c>
      <c r="S39" s="116">
        <f t="shared" si="4"/>
        <v>37.11206907495864</v>
      </c>
      <c r="T39" s="116">
        <f t="shared" si="4"/>
        <v>174.51730605278155</v>
      </c>
    </row>
    <row r="40" spans="2:21" ht="24" thickTop="1" thickBot="1" x14ac:dyDescent="0.3">
      <c r="B40" s="120"/>
      <c r="C40" s="113" t="s">
        <v>151</v>
      </c>
      <c r="D40" s="109">
        <f>SUM(D26,D28,D30,D32,D34,D36,D38)</f>
        <v>-7.360862719305552</v>
      </c>
      <c r="E40" s="109">
        <f t="shared" si="7"/>
        <v>-14.137085851443896</v>
      </c>
      <c r="F40" s="109">
        <f t="shared" si="7"/>
        <v>-16.926119197959345</v>
      </c>
      <c r="G40" s="109">
        <f t="shared" si="7"/>
        <v>-19.697462938909077</v>
      </c>
      <c r="H40" s="109">
        <f t="shared" si="7"/>
        <v>-43.443333607723197</v>
      </c>
      <c r="I40" s="109">
        <f t="shared" si="5"/>
        <v>-101.56486431534107</v>
      </c>
      <c r="M40" s="120"/>
      <c r="N40" s="113" t="s">
        <v>152</v>
      </c>
      <c r="O40" s="116">
        <f t="shared" si="6"/>
        <v>7.6735546566392685</v>
      </c>
      <c r="P40" s="116">
        <f t="shared" si="4"/>
        <v>14.737634038757205</v>
      </c>
      <c r="Q40" s="116">
        <f t="shared" si="4"/>
        <v>17.645146464922238</v>
      </c>
      <c r="R40" s="116">
        <f t="shared" si="4"/>
        <v>20.534217825095521</v>
      </c>
      <c r="S40" s="116">
        <f t="shared" si="4"/>
        <v>45.288821109399564</v>
      </c>
      <c r="T40" s="116">
        <f t="shared" si="4"/>
        <v>105.8793740948138</v>
      </c>
    </row>
    <row r="41" spans="2:21" ht="15.6" thickTop="1" x14ac:dyDescent="0.25">
      <c r="B41" s="115"/>
      <c r="M41" s="115"/>
      <c r="U41">
        <f>T39-T40</f>
        <v>68.637931957967751</v>
      </c>
    </row>
  </sheetData>
  <mergeCells count="20">
    <mergeCell ref="B12:H12"/>
    <mergeCell ref="M12:S12"/>
    <mergeCell ref="B23:I23"/>
    <mergeCell ref="M23:T23"/>
    <mergeCell ref="B25:B26"/>
    <mergeCell ref="M25:M26"/>
    <mergeCell ref="B27:B28"/>
    <mergeCell ref="M27:M28"/>
    <mergeCell ref="B29:B30"/>
    <mergeCell ref="M29:M30"/>
    <mergeCell ref="B31:B32"/>
    <mergeCell ref="M31:M32"/>
    <mergeCell ref="B39:B40"/>
    <mergeCell ref="M39:M40"/>
    <mergeCell ref="B33:B34"/>
    <mergeCell ref="M33:M34"/>
    <mergeCell ref="B35:B36"/>
    <mergeCell ref="M35:M36"/>
    <mergeCell ref="B37:B38"/>
    <mergeCell ref="M37:M3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zoomScale="85" zoomScaleNormal="85" workbookViewId="0">
      <selection activeCell="J15" sqref="J15:L15"/>
    </sheetView>
  </sheetViews>
  <sheetFormatPr defaultRowHeight="15" x14ac:dyDescent="0.25"/>
  <cols>
    <col min="1" max="1" width="13.81640625" customWidth="1"/>
    <col min="3" max="4" width="9.81640625" customWidth="1"/>
    <col min="7" max="7" width="10.54296875" bestFit="1" customWidth="1"/>
    <col min="21" max="21" width="11.54296875" bestFit="1" customWidth="1"/>
  </cols>
  <sheetData>
    <row r="1" spans="1:20" ht="15.6" x14ac:dyDescent="0.3">
      <c r="A1" s="77" t="s">
        <v>120</v>
      </c>
      <c r="H1">
        <v>4</v>
      </c>
      <c r="I1">
        <v>3</v>
      </c>
      <c r="J1">
        <v>2</v>
      </c>
      <c r="K1">
        <v>1</v>
      </c>
      <c r="L1">
        <v>0</v>
      </c>
    </row>
    <row r="2" spans="1:20" ht="15.6" x14ac:dyDescent="0.3">
      <c r="A2" s="59" t="s">
        <v>48</v>
      </c>
      <c r="B2" s="59"/>
      <c r="C2" s="59" t="s">
        <v>50</v>
      </c>
      <c r="D2" s="59" t="s">
        <v>51</v>
      </c>
      <c r="E2" s="59">
        <v>2017</v>
      </c>
      <c r="F2" s="59">
        <v>2018</v>
      </c>
      <c r="G2" s="59">
        <v>2019</v>
      </c>
      <c r="H2" s="78">
        <v>2020</v>
      </c>
      <c r="I2" s="78">
        <v>2021</v>
      </c>
      <c r="J2" s="78">
        <v>2022</v>
      </c>
      <c r="K2" s="78">
        <v>2023</v>
      </c>
      <c r="L2" s="78">
        <v>2024</v>
      </c>
      <c r="M2" s="59">
        <v>2025</v>
      </c>
      <c r="N2" s="59">
        <v>2026</v>
      </c>
      <c r="O2" s="59">
        <v>2027</v>
      </c>
      <c r="P2" s="59">
        <v>2028</v>
      </c>
      <c r="Q2" s="59">
        <v>2029</v>
      </c>
      <c r="R2" s="59">
        <v>2030</v>
      </c>
      <c r="S2" s="59">
        <v>2031</v>
      </c>
      <c r="T2" s="59">
        <v>2032</v>
      </c>
    </row>
    <row r="3" spans="1:20" ht="15.6" x14ac:dyDescent="0.3">
      <c r="A3" s="56" t="s">
        <v>44</v>
      </c>
      <c r="B3" s="56" t="s">
        <v>90</v>
      </c>
      <c r="C3" s="57">
        <f>SUM(E3:T3)</f>
        <v>-220213261.75259703</v>
      </c>
      <c r="D3" s="57">
        <f t="shared" ref="D3:D34" si="0">SUM(H3:L3)</f>
        <v>-167405848.98109826</v>
      </c>
      <c r="E3" s="57">
        <f t="shared" ref="E3:T6" si="1">SUMIF($B$7:$B$34,$B3,E$7:E$34)</f>
        <v>0</v>
      </c>
      <c r="F3" s="57">
        <f t="shared" si="1"/>
        <v>-260478.14663560002</v>
      </c>
      <c r="G3" s="57">
        <f t="shared" si="1"/>
        <v>-3726004.7656815001</v>
      </c>
      <c r="H3" s="58">
        <f t="shared" si="1"/>
        <v>-21213972.842648469</v>
      </c>
      <c r="I3" s="58">
        <f t="shared" si="1"/>
        <v>-43819490.454159603</v>
      </c>
      <c r="J3" s="58">
        <f t="shared" si="1"/>
        <v>-40580703.280640997</v>
      </c>
      <c r="K3" s="58">
        <f t="shared" si="1"/>
        <v>-26191903.954974297</v>
      </c>
      <c r="L3" s="58">
        <f t="shared" si="1"/>
        <v>-35599778.448674902</v>
      </c>
      <c r="M3" s="57">
        <f t="shared" si="1"/>
        <v>-23788844.9241166</v>
      </c>
      <c r="N3" s="57">
        <f t="shared" si="1"/>
        <v>-12774759.742701199</v>
      </c>
      <c r="O3" s="57">
        <f t="shared" si="1"/>
        <v>-5903527.161566399</v>
      </c>
      <c r="P3" s="57">
        <f t="shared" si="1"/>
        <v>-3449448.6117663002</v>
      </c>
      <c r="Q3" s="57">
        <f t="shared" si="1"/>
        <v>-2904349.4190310999</v>
      </c>
      <c r="R3" s="57">
        <f t="shared" si="1"/>
        <v>0</v>
      </c>
      <c r="S3" s="57">
        <f t="shared" si="1"/>
        <v>0</v>
      </c>
      <c r="T3" s="57">
        <f t="shared" si="1"/>
        <v>0</v>
      </c>
    </row>
    <row r="4" spans="1:20" ht="15.6" x14ac:dyDescent="0.3">
      <c r="A4" s="56"/>
      <c r="B4" s="56" t="s">
        <v>91</v>
      </c>
      <c r="C4" s="57">
        <f t="shared" ref="C4:C34" si="2">SUM(E4:T4)</f>
        <v>-218390240.38555413</v>
      </c>
      <c r="D4" s="57">
        <f t="shared" si="0"/>
        <v>-101564864.31534107</v>
      </c>
      <c r="E4" s="57">
        <f t="shared" si="1"/>
        <v>0</v>
      </c>
      <c r="F4" s="57">
        <f t="shared" si="1"/>
        <v>0</v>
      </c>
      <c r="G4" s="57">
        <f t="shared" si="1"/>
        <v>0</v>
      </c>
      <c r="H4" s="58">
        <f t="shared" si="1"/>
        <v>-7360862.7193055516</v>
      </c>
      <c r="I4" s="58">
        <f t="shared" si="1"/>
        <v>-14137085.851443896</v>
      </c>
      <c r="J4" s="58">
        <f t="shared" si="1"/>
        <v>-16926119.197959345</v>
      </c>
      <c r="K4" s="58">
        <f t="shared" si="1"/>
        <v>-19697462.938909076</v>
      </c>
      <c r="L4" s="58">
        <f t="shared" si="1"/>
        <v>-43443333.607723199</v>
      </c>
      <c r="M4" s="57">
        <f t="shared" si="1"/>
        <v>-30822228.415165253</v>
      </c>
      <c r="N4" s="57">
        <f t="shared" si="1"/>
        <v>-18791855.156829745</v>
      </c>
      <c r="O4" s="57">
        <f t="shared" si="1"/>
        <v>-18390362.639036402</v>
      </c>
      <c r="P4" s="57">
        <f t="shared" si="1"/>
        <v>-23788844.9241166</v>
      </c>
      <c r="Q4" s="57">
        <f t="shared" si="1"/>
        <v>-12774759.742701199</v>
      </c>
      <c r="R4" s="57">
        <f t="shared" si="1"/>
        <v>-5903527.161566399</v>
      </c>
      <c r="S4" s="57">
        <f t="shared" si="1"/>
        <v>-3449448.6117663002</v>
      </c>
      <c r="T4" s="57">
        <f t="shared" si="1"/>
        <v>-2904349.4190310999</v>
      </c>
    </row>
    <row r="5" spans="1:20" ht="15.6" x14ac:dyDescent="0.3">
      <c r="A5" s="56"/>
      <c r="B5" s="56" t="s">
        <v>49</v>
      </c>
      <c r="C5" s="57">
        <f t="shared" si="2"/>
        <v>1823021.3670429061</v>
      </c>
      <c r="D5" s="57">
        <f t="shared" si="0"/>
        <v>65840984.665757202</v>
      </c>
      <c r="E5" s="57">
        <f t="shared" si="1"/>
        <v>0</v>
      </c>
      <c r="F5" s="57">
        <f t="shared" si="1"/>
        <v>260478.14663560002</v>
      </c>
      <c r="G5" s="57">
        <f t="shared" si="1"/>
        <v>3726004.7656815001</v>
      </c>
      <c r="H5" s="58">
        <f t="shared" si="1"/>
        <v>13853110.123342918</v>
      </c>
      <c r="I5" s="58">
        <f t="shared" si="1"/>
        <v>29682404.602715701</v>
      </c>
      <c r="J5" s="58">
        <f t="shared" si="1"/>
        <v>23654584.082681652</v>
      </c>
      <c r="K5" s="58">
        <f t="shared" si="1"/>
        <v>6494441.0160652231</v>
      </c>
      <c r="L5" s="58">
        <f t="shared" si="1"/>
        <v>-7843555.1590482946</v>
      </c>
      <c r="M5" s="57">
        <f t="shared" si="1"/>
        <v>-7033383.4910486545</v>
      </c>
      <c r="N5" s="57">
        <f t="shared" si="1"/>
        <v>-6017095.4141285438</v>
      </c>
      <c r="O5" s="57">
        <f t="shared" si="1"/>
        <v>-12486835.477470001</v>
      </c>
      <c r="P5" s="57">
        <f t="shared" si="1"/>
        <v>-20339396.312350299</v>
      </c>
      <c r="Q5" s="57">
        <f t="shared" si="1"/>
        <v>-9870410.3236701004</v>
      </c>
      <c r="R5" s="57">
        <f t="shared" si="1"/>
        <v>-5903527.161566399</v>
      </c>
      <c r="S5" s="57">
        <f t="shared" si="1"/>
        <v>-3449448.6117663002</v>
      </c>
      <c r="T5" s="57">
        <f t="shared" si="1"/>
        <v>-2904349.4190310999</v>
      </c>
    </row>
    <row r="6" spans="1:20" ht="15.6" x14ac:dyDescent="0.3">
      <c r="A6" s="59"/>
      <c r="B6" s="59" t="s">
        <v>89</v>
      </c>
      <c r="C6" s="60">
        <f t="shared" si="2"/>
        <v>-31322904.236700628</v>
      </c>
      <c r="D6" s="60">
        <f t="shared" si="0"/>
        <v>-25061873.400467481</v>
      </c>
      <c r="E6" s="60">
        <f t="shared" si="1"/>
        <v>0</v>
      </c>
      <c r="F6" s="60">
        <f t="shared" si="1"/>
        <v>0</v>
      </c>
      <c r="G6" s="60">
        <f t="shared" si="1"/>
        <v>0</v>
      </c>
      <c r="H6" s="61">
        <f t="shared" si="1"/>
        <v>-3530165.6598844174</v>
      </c>
      <c r="I6" s="61">
        <f t="shared" si="1"/>
        <v>-3526675.7634868901</v>
      </c>
      <c r="J6" s="61">
        <f t="shared" si="1"/>
        <v>-6251514.7128624646</v>
      </c>
      <c r="K6" s="61">
        <f t="shared" si="1"/>
        <v>-6293605.9561062865</v>
      </c>
      <c r="L6" s="61">
        <f t="shared" si="1"/>
        <v>-5459911.3081274219</v>
      </c>
      <c r="M6" s="60">
        <f t="shared" si="1"/>
        <v>-1734816.8618749995</v>
      </c>
      <c r="N6" s="60">
        <f t="shared" si="1"/>
        <v>-1229073.6411249998</v>
      </c>
      <c r="O6" s="60">
        <f t="shared" si="1"/>
        <v>-1008399.0555593746</v>
      </c>
      <c r="P6" s="60">
        <f t="shared" si="1"/>
        <v>-554619.48055765615</v>
      </c>
      <c r="Q6" s="60">
        <f t="shared" si="1"/>
        <v>-622686.4168079138</v>
      </c>
      <c r="R6" s="60">
        <f t="shared" si="1"/>
        <v>-614304.09965857654</v>
      </c>
      <c r="S6" s="60">
        <f t="shared" si="1"/>
        <v>-497131.2806496257</v>
      </c>
      <c r="T6" s="60">
        <f t="shared" si="1"/>
        <v>0</v>
      </c>
    </row>
    <row r="7" spans="1:20" ht="15.6" x14ac:dyDescent="0.3">
      <c r="A7" s="92" t="s">
        <v>88</v>
      </c>
      <c r="B7" s="92" t="s">
        <v>90</v>
      </c>
      <c r="C7" s="50">
        <f t="shared" si="2"/>
        <v>-77446859.401484475</v>
      </c>
      <c r="D7" s="50">
        <f t="shared" si="0"/>
        <v>-77446859.401484475</v>
      </c>
      <c r="E7" s="36"/>
      <c r="F7" s="36"/>
      <c r="G7" s="36"/>
      <c r="H7" s="53">
        <f>HV!D6</f>
        <v>-8609196.16293047</v>
      </c>
      <c r="I7" s="53">
        <f>HV!E6</f>
        <v>-17209415.8096385</v>
      </c>
      <c r="J7" s="53">
        <f>HV!F6</f>
        <v>-17209415.8096385</v>
      </c>
      <c r="K7" s="53">
        <f>HV!G6</f>
        <v>-17209415.8096385</v>
      </c>
      <c r="L7" s="53">
        <f>HV!H6</f>
        <v>-17209415.8096385</v>
      </c>
      <c r="M7" s="36"/>
      <c r="N7" s="36"/>
      <c r="O7" s="36"/>
      <c r="P7" s="36"/>
      <c r="Q7" s="36"/>
      <c r="R7" s="36"/>
      <c r="S7" s="36"/>
      <c r="T7" s="36"/>
    </row>
    <row r="8" spans="1:20" ht="15.6" x14ac:dyDescent="0.3">
      <c r="A8" s="92"/>
      <c r="B8" s="92" t="s">
        <v>91</v>
      </c>
      <c r="C8" s="50">
        <f t="shared" si="2"/>
        <v>-77446859.40148446</v>
      </c>
      <c r="D8" s="50">
        <f t="shared" si="0"/>
        <v>-60237443.591845959</v>
      </c>
      <c r="E8" s="36"/>
      <c r="F8" s="36"/>
      <c r="G8" s="36"/>
      <c r="H8" s="53">
        <f>HV!D52</f>
        <v>-7360862.7193055516</v>
      </c>
      <c r="I8" s="53">
        <f>HV!E52</f>
        <v>-13961463.974282296</v>
      </c>
      <c r="J8" s="53">
        <f>HV!F52</f>
        <v>-14520769.988095546</v>
      </c>
      <c r="K8" s="53">
        <f>HV!G52</f>
        <v>-11745426.290078277</v>
      </c>
      <c r="L8" s="53">
        <f>HV!H52</f>
        <v>-12648920.620084297</v>
      </c>
      <c r="M8" s="36">
        <f>HV!I52</f>
        <v>-7400048.7981445547</v>
      </c>
      <c r="N8" s="36">
        <f>HV!J52</f>
        <v>-9809367.0114939455</v>
      </c>
      <c r="O8" s="36"/>
      <c r="P8" s="36"/>
      <c r="Q8" s="36"/>
      <c r="R8" s="36"/>
      <c r="S8" s="36"/>
      <c r="T8" s="36"/>
    </row>
    <row r="9" spans="1:20" ht="15.6" x14ac:dyDescent="0.3">
      <c r="A9" s="92"/>
      <c r="B9" s="92" t="s">
        <v>49</v>
      </c>
      <c r="C9" s="50">
        <f t="shared" si="2"/>
        <v>3.7252902984619141E-9</v>
      </c>
      <c r="D9" s="50">
        <f t="shared" si="0"/>
        <v>17209415.809638504</v>
      </c>
      <c r="E9" s="50"/>
      <c r="F9" s="50"/>
      <c r="G9" s="50"/>
      <c r="H9" s="52">
        <f t="shared" ref="H9:S9" si="3">H8-H7</f>
        <v>1248333.4436249183</v>
      </c>
      <c r="I9" s="52">
        <f t="shared" si="3"/>
        <v>3247951.8353562038</v>
      </c>
      <c r="J9" s="52">
        <f t="shared" si="3"/>
        <v>2688645.8215429541</v>
      </c>
      <c r="K9" s="52">
        <f t="shared" si="3"/>
        <v>5463989.5195602234</v>
      </c>
      <c r="L9" s="52">
        <f t="shared" si="3"/>
        <v>4560495.1895542033</v>
      </c>
      <c r="M9" s="50">
        <f t="shared" si="3"/>
        <v>-7400048.7981445547</v>
      </c>
      <c r="N9" s="50">
        <f t="shared" si="3"/>
        <v>-9809367.0114939455</v>
      </c>
      <c r="O9" s="50">
        <f t="shared" si="3"/>
        <v>0</v>
      </c>
      <c r="P9" s="50">
        <f t="shared" si="3"/>
        <v>0</v>
      </c>
      <c r="Q9" s="50">
        <f t="shared" si="3"/>
        <v>0</v>
      </c>
      <c r="R9" s="50">
        <f t="shared" si="3"/>
        <v>0</v>
      </c>
      <c r="S9" s="50">
        <f t="shared" si="3"/>
        <v>0</v>
      </c>
      <c r="T9" s="50">
        <f t="shared" ref="T9" si="4">T8-T7</f>
        <v>0</v>
      </c>
    </row>
    <row r="10" spans="1:20" ht="15.6" x14ac:dyDescent="0.3">
      <c r="A10" s="93"/>
      <c r="B10" s="93" t="s">
        <v>89</v>
      </c>
      <c r="C10" s="51">
        <f t="shared" si="2"/>
        <v>-4782041.9504674822</v>
      </c>
      <c r="D10" s="51">
        <f t="shared" si="0"/>
        <v>-4782041.9504674822</v>
      </c>
      <c r="E10" s="54"/>
      <c r="F10" s="54"/>
      <c r="G10" s="54"/>
      <c r="H10" s="55">
        <f>HV!D33</f>
        <v>-300165.65988441766</v>
      </c>
      <c r="I10" s="55">
        <f>HV!E33</f>
        <v>-891375.76348689036</v>
      </c>
      <c r="J10" s="55">
        <f>HV!F33</f>
        <v>-1278739.7128624646</v>
      </c>
      <c r="K10" s="55">
        <f>HV!G33</f>
        <v>-1308827.7061062872</v>
      </c>
      <c r="L10" s="55">
        <f>HV!H33</f>
        <v>-1002933.1081274231</v>
      </c>
      <c r="M10" s="54"/>
      <c r="N10" s="54"/>
      <c r="O10" s="54"/>
      <c r="P10" s="54"/>
      <c r="Q10" s="54"/>
      <c r="R10" s="54"/>
      <c r="S10" s="54"/>
      <c r="T10" s="54"/>
    </row>
    <row r="11" spans="1:20" ht="15.6" x14ac:dyDescent="0.3">
      <c r="A11" s="92" t="s">
        <v>52</v>
      </c>
      <c r="B11" s="92" t="s">
        <v>90</v>
      </c>
      <c r="C11" s="50">
        <f t="shared" si="2"/>
        <v>-23529949.453014001</v>
      </c>
      <c r="D11" s="50">
        <f t="shared" si="0"/>
        <v>-20968859.865632303</v>
      </c>
      <c r="E11" s="36">
        <f>'Concord SWG'!D30</f>
        <v>0</v>
      </c>
      <c r="F11" s="36">
        <f>'Concord SWG'!E30</f>
        <v>-171675.95650840001</v>
      </c>
      <c r="G11" s="36">
        <f>'Concord SWG'!F30</f>
        <v>-2389413.6308733001</v>
      </c>
      <c r="H11" s="53">
        <f>'Concord SWG'!G30</f>
        <v>-10297207.188030601</v>
      </c>
      <c r="I11" s="53">
        <f>'Concord SWG'!H30</f>
        <v>-9185130.1495555993</v>
      </c>
      <c r="J11" s="53">
        <f>'Concord SWG'!I30</f>
        <v>-1486522.5280460999</v>
      </c>
      <c r="K11" s="53">
        <f>'Concord SWG'!J30</f>
        <v>0</v>
      </c>
      <c r="L11" s="53">
        <f>'Concord SWG'!K30</f>
        <v>0</v>
      </c>
      <c r="M11" s="36">
        <f>'Concord SWG'!L30</f>
        <v>0</v>
      </c>
      <c r="N11" s="36">
        <f>'Concord SWG'!M30</f>
        <v>0</v>
      </c>
      <c r="O11" s="36">
        <f>'Concord SWG'!N30</f>
        <v>0</v>
      </c>
      <c r="P11" s="36">
        <f>'Concord SWG'!O30</f>
        <v>0</v>
      </c>
      <c r="Q11" s="36">
        <f>'Concord SWG'!P30</f>
        <v>0</v>
      </c>
      <c r="R11" s="36">
        <f>'Concord SWG'!Q30</f>
        <v>0</v>
      </c>
      <c r="S11" s="36">
        <f>'Concord SWG'!R30</f>
        <v>0</v>
      </c>
      <c r="T11" s="36">
        <f>'Concord SWG'!S30</f>
        <v>0</v>
      </c>
    </row>
    <row r="12" spans="1:20" ht="15.6" x14ac:dyDescent="0.3">
      <c r="A12" s="92"/>
      <c r="B12" s="92" t="s">
        <v>91</v>
      </c>
      <c r="C12" s="50">
        <f t="shared" si="2"/>
        <v>-21706928.085971102</v>
      </c>
      <c r="D12" s="50">
        <f t="shared" si="0"/>
        <v>-20169513.411906801</v>
      </c>
      <c r="E12" s="36">
        <f>'Concord SWG'!D41</f>
        <v>0</v>
      </c>
      <c r="F12" s="36">
        <f>'Concord SWG'!E41</f>
        <v>0</v>
      </c>
      <c r="G12" s="36">
        <f>'Concord SWG'!F41</f>
        <v>0</v>
      </c>
      <c r="H12" s="53">
        <f>'Concord SWG'!G41</f>
        <v>0</v>
      </c>
      <c r="I12" s="53">
        <f>'Concord SWG'!H41</f>
        <v>-86819.687034400005</v>
      </c>
      <c r="J12" s="53">
        <f>'Concord SWG'!I41</f>
        <v>-1068758.0750555999</v>
      </c>
      <c r="K12" s="53">
        <f>'Concord SWG'!J41</f>
        <v>-5644467.1571434001</v>
      </c>
      <c r="L12" s="53">
        <f>'Concord SWG'!K41</f>
        <v>-13369468.492673401</v>
      </c>
      <c r="M12" s="36">
        <f>'Concord SWG'!L41</f>
        <v>-1537414.6740643</v>
      </c>
      <c r="N12" s="36">
        <f>'Concord SWG'!M41</f>
        <v>0</v>
      </c>
      <c r="O12" s="36">
        <f>'Concord SWG'!N41</f>
        <v>0</v>
      </c>
      <c r="P12" s="36">
        <f>'Concord SWG'!O41</f>
        <v>0</v>
      </c>
      <c r="Q12" s="36">
        <f>'Concord SWG'!P41</f>
        <v>0</v>
      </c>
      <c r="R12" s="36">
        <f>'Concord SWG'!Q41</f>
        <v>0</v>
      </c>
      <c r="S12" s="36">
        <f>'Concord SWG'!R41</f>
        <v>0</v>
      </c>
      <c r="T12" s="36">
        <f>'Concord SWG'!S41</f>
        <v>0</v>
      </c>
    </row>
    <row r="13" spans="1:20" ht="15.6" x14ac:dyDescent="0.3">
      <c r="A13" s="92"/>
      <c r="B13" s="92" t="s">
        <v>49</v>
      </c>
      <c r="C13" s="50">
        <f t="shared" si="2"/>
        <v>1823021.3670429001</v>
      </c>
      <c r="D13" s="50">
        <f t="shared" si="0"/>
        <v>799346.45372549817</v>
      </c>
      <c r="E13" s="50">
        <f t="shared" ref="E13:S13" si="5">E12-E11</f>
        <v>0</v>
      </c>
      <c r="F13" s="50">
        <f t="shared" si="5"/>
        <v>171675.95650840001</v>
      </c>
      <c r="G13" s="50">
        <f t="shared" si="5"/>
        <v>2389413.6308733001</v>
      </c>
      <c r="H13" s="52">
        <f t="shared" si="5"/>
        <v>10297207.188030601</v>
      </c>
      <c r="I13" s="52">
        <f t="shared" si="5"/>
        <v>9098310.4625211991</v>
      </c>
      <c r="J13" s="52">
        <f t="shared" si="5"/>
        <v>417764.45299050002</v>
      </c>
      <c r="K13" s="52">
        <f t="shared" si="5"/>
        <v>-5644467.1571434001</v>
      </c>
      <c r="L13" s="52">
        <f t="shared" si="5"/>
        <v>-13369468.492673401</v>
      </c>
      <c r="M13" s="50">
        <f t="shared" si="5"/>
        <v>-1537414.6740643</v>
      </c>
      <c r="N13" s="50">
        <f t="shared" si="5"/>
        <v>0</v>
      </c>
      <c r="O13" s="50">
        <f t="shared" si="5"/>
        <v>0</v>
      </c>
      <c r="P13" s="50">
        <f t="shared" si="5"/>
        <v>0</v>
      </c>
      <c r="Q13" s="50">
        <f t="shared" si="5"/>
        <v>0</v>
      </c>
      <c r="R13" s="50">
        <f t="shared" si="5"/>
        <v>0</v>
      </c>
      <c r="S13" s="50">
        <f t="shared" si="5"/>
        <v>0</v>
      </c>
      <c r="T13" s="50">
        <f t="shared" ref="T13" si="6">T12-T11</f>
        <v>0</v>
      </c>
    </row>
    <row r="14" spans="1:20" ht="15.6" x14ac:dyDescent="0.3">
      <c r="A14" s="93"/>
      <c r="B14" s="93" t="s">
        <v>89</v>
      </c>
      <c r="C14" s="51">
        <f t="shared" si="2"/>
        <v>-4421703.5125000002</v>
      </c>
      <c r="D14" s="51">
        <f t="shared" si="0"/>
        <v>-4421703.5125000002</v>
      </c>
      <c r="E14" s="54">
        <f>'Concord SWG'!D44</f>
        <v>0</v>
      </c>
      <c r="F14" s="54">
        <f>'Concord SWG'!E44</f>
        <v>0</v>
      </c>
      <c r="G14" s="54">
        <f>'Concord SWG'!F44</f>
        <v>0</v>
      </c>
      <c r="H14" s="55">
        <f>'Concord SWG'!G44</f>
        <v>-646000</v>
      </c>
      <c r="I14" s="55">
        <f>'Concord SWG'!H44</f>
        <v>-649800</v>
      </c>
      <c r="J14" s="55">
        <f>'Concord SWG'!I44</f>
        <v>-1234620</v>
      </c>
      <c r="K14" s="55">
        <f>'Concord SWG'!J44</f>
        <v>-684185.25</v>
      </c>
      <c r="L14" s="55">
        <f>'Concord SWG'!K44</f>
        <v>-1207098.2625</v>
      </c>
      <c r="M14" s="54">
        <f>'Concord SWG'!L44</f>
        <v>0</v>
      </c>
      <c r="N14" s="54">
        <f>'Concord SWG'!M44</f>
        <v>0</v>
      </c>
      <c r="O14" s="54">
        <f>'Concord SWG'!N44</f>
        <v>0</v>
      </c>
      <c r="P14" s="54">
        <f>'Concord SWG'!O44</f>
        <v>0</v>
      </c>
      <c r="Q14" s="54">
        <f>'Concord SWG'!P44</f>
        <v>0</v>
      </c>
      <c r="R14" s="54">
        <f>'Concord SWG'!Q44</f>
        <v>0</v>
      </c>
      <c r="S14" s="54">
        <f>'Concord SWG'!R44</f>
        <v>0</v>
      </c>
      <c r="T14" s="54">
        <f>'Concord SWG'!S44</f>
        <v>0</v>
      </c>
    </row>
    <row r="15" spans="1:20" ht="15.6" x14ac:dyDescent="0.3">
      <c r="A15" s="92" t="s">
        <v>45</v>
      </c>
      <c r="B15" s="92" t="s">
        <v>90</v>
      </c>
      <c r="C15" s="50">
        <f t="shared" si="2"/>
        <v>-7856814.7633592999</v>
      </c>
      <c r="D15" s="50">
        <f t="shared" si="0"/>
        <v>-2997523.2849564999</v>
      </c>
      <c r="E15" s="36">
        <f>'Leightonfield SWG'!D26</f>
        <v>0</v>
      </c>
      <c r="F15" s="36">
        <f>'Leightonfield SWG'!E26</f>
        <v>0</v>
      </c>
      <c r="G15" s="36">
        <f>'Leightonfield SWG'!F26</f>
        <v>0</v>
      </c>
      <c r="H15" s="53">
        <f>'Leightonfield SWG'!G26</f>
        <v>0</v>
      </c>
      <c r="I15" s="53">
        <f>'Leightonfield SWG'!H26</f>
        <v>0</v>
      </c>
      <c r="J15" s="53">
        <f>'Leightonfield SWG'!I26</f>
        <v>-53281.314076000002</v>
      </c>
      <c r="K15" s="53">
        <f>'Leightonfield SWG'!J26</f>
        <v>-795398.19827629998</v>
      </c>
      <c r="L15" s="53">
        <f>'Leightonfield SWG'!K26</f>
        <v>-2148843.7726042001</v>
      </c>
      <c r="M15" s="36">
        <f>'Leightonfield SWG'!L26</f>
        <v>-4295988.1845054999</v>
      </c>
      <c r="N15" s="36">
        <f>'Leightonfield SWG'!M26</f>
        <v>-561067.69407670002</v>
      </c>
      <c r="O15" s="36">
        <f>'Leightonfield SWG'!N26</f>
        <v>-2235.5998205999999</v>
      </c>
      <c r="P15" s="36">
        <f>'Leightonfield SWG'!O26</f>
        <v>0</v>
      </c>
      <c r="Q15" s="36">
        <f>'Leightonfield SWG'!P26</f>
        <v>0</v>
      </c>
      <c r="R15" s="36">
        <f>'Leightonfield SWG'!Q26</f>
        <v>0</v>
      </c>
      <c r="S15" s="36">
        <f>'Leightonfield SWG'!R26</f>
        <v>0</v>
      </c>
      <c r="T15" s="36">
        <f>'Leightonfield SWG'!S26</f>
        <v>0</v>
      </c>
    </row>
    <row r="16" spans="1:20" ht="15.6" x14ac:dyDescent="0.3">
      <c r="A16" s="92"/>
      <c r="B16" s="92" t="s">
        <v>91</v>
      </c>
      <c r="C16" s="50">
        <f t="shared" si="2"/>
        <v>-7856814.7633592999</v>
      </c>
      <c r="D16" s="50">
        <f t="shared" si="0"/>
        <v>0</v>
      </c>
      <c r="E16" s="36">
        <f>'Leightonfield SWG'!D37</f>
        <v>0</v>
      </c>
      <c r="F16" s="36">
        <f>'Leightonfield SWG'!E37</f>
        <v>0</v>
      </c>
      <c r="G16" s="36">
        <f>'Leightonfield SWG'!F37</f>
        <v>0</v>
      </c>
      <c r="H16" s="53">
        <f>'Leightonfield SWG'!G37</f>
        <v>0</v>
      </c>
      <c r="I16" s="53">
        <f>'Leightonfield SWG'!H37</f>
        <v>0</v>
      </c>
      <c r="J16" s="53">
        <f>'Leightonfield SWG'!I37</f>
        <v>0</v>
      </c>
      <c r="K16" s="53">
        <f>'Leightonfield SWG'!J37</f>
        <v>0</v>
      </c>
      <c r="L16" s="53">
        <f>'Leightonfield SWG'!K37</f>
        <v>0</v>
      </c>
      <c r="M16" s="36">
        <f>'Leightonfield SWG'!L37</f>
        <v>-53281.314076000002</v>
      </c>
      <c r="N16" s="36">
        <f>'Leightonfield SWG'!M37</f>
        <v>-795398.19827629998</v>
      </c>
      <c r="O16" s="36">
        <f>'Leightonfield SWG'!N37</f>
        <v>-2148843.7726042001</v>
      </c>
      <c r="P16" s="36">
        <f>'Leightonfield SWG'!O37</f>
        <v>-4295988.1845054999</v>
      </c>
      <c r="Q16" s="36">
        <f>'Leightonfield SWG'!P37</f>
        <v>-561067.69407670002</v>
      </c>
      <c r="R16" s="36">
        <f>'Leightonfield SWG'!Q37</f>
        <v>-2235.5998205999999</v>
      </c>
      <c r="S16" s="36">
        <f>'Leightonfield SWG'!R37</f>
        <v>0</v>
      </c>
      <c r="T16" s="36">
        <f>'Leightonfield SWG'!S37</f>
        <v>0</v>
      </c>
    </row>
    <row r="17" spans="1:20" ht="15.6" x14ac:dyDescent="0.3">
      <c r="A17" s="92"/>
      <c r="B17" s="92" t="s">
        <v>49</v>
      </c>
      <c r="C17" s="50">
        <f t="shared" si="2"/>
        <v>7.73070496506989E-12</v>
      </c>
      <c r="D17" s="50">
        <f t="shared" si="0"/>
        <v>2997523.2849564999</v>
      </c>
      <c r="E17" s="50">
        <f>E16-E15</f>
        <v>0</v>
      </c>
      <c r="F17" s="50">
        <f t="shared" ref="F17" si="7">F16-F15</f>
        <v>0</v>
      </c>
      <c r="G17" s="50">
        <f t="shared" ref="G17" si="8">G16-G15</f>
        <v>0</v>
      </c>
      <c r="H17" s="52">
        <f t="shared" ref="H17" si="9">H16-H15</f>
        <v>0</v>
      </c>
      <c r="I17" s="52">
        <f t="shared" ref="I17" si="10">I16-I15</f>
        <v>0</v>
      </c>
      <c r="J17" s="52">
        <f t="shared" ref="J17" si="11">J16-J15</f>
        <v>53281.314076000002</v>
      </c>
      <c r="K17" s="52">
        <f t="shared" ref="K17" si="12">K16-K15</f>
        <v>795398.19827629998</v>
      </c>
      <c r="L17" s="52">
        <f t="shared" ref="L17" si="13">L16-L15</f>
        <v>2148843.7726042001</v>
      </c>
      <c r="M17" s="50">
        <f t="shared" ref="M17" si="14">M16-M15</f>
        <v>4242706.8704295</v>
      </c>
      <c r="N17" s="50">
        <f t="shared" ref="N17" si="15">N16-N15</f>
        <v>-234330.50419959996</v>
      </c>
      <c r="O17" s="50">
        <f t="shared" ref="O17" si="16">O16-O15</f>
        <v>-2146608.1727836002</v>
      </c>
      <c r="P17" s="50">
        <f t="shared" ref="P17" si="17">P16-P15</f>
        <v>-4295988.1845054999</v>
      </c>
      <c r="Q17" s="50">
        <f t="shared" ref="Q17" si="18">Q16-Q15</f>
        <v>-561067.69407670002</v>
      </c>
      <c r="R17" s="50">
        <f t="shared" ref="R17:S17" si="19">R16-R15</f>
        <v>-2235.5998205999999</v>
      </c>
      <c r="S17" s="50">
        <f t="shared" si="19"/>
        <v>0</v>
      </c>
      <c r="T17" s="50">
        <f t="shared" ref="T17" si="20">T16-T15</f>
        <v>0</v>
      </c>
    </row>
    <row r="18" spans="1:20" ht="15.6" x14ac:dyDescent="0.3">
      <c r="A18" s="93"/>
      <c r="B18" s="93" t="s">
        <v>89</v>
      </c>
      <c r="C18" s="51">
        <f t="shared" si="2"/>
        <v>-2029072.6683278903</v>
      </c>
      <c r="D18" s="51">
        <f t="shared" si="0"/>
        <v>-1231361.9750000001</v>
      </c>
      <c r="E18" s="54">
        <f>'Leightonfield SWG'!D40</f>
        <v>0</v>
      </c>
      <c r="F18" s="54">
        <f>'Leightonfield SWG'!E40</f>
        <v>0</v>
      </c>
      <c r="G18" s="54">
        <f>'Leightonfield SWG'!F40</f>
        <v>0</v>
      </c>
      <c r="H18" s="55">
        <f>'Leightonfield SWG'!G40</f>
        <v>0</v>
      </c>
      <c r="I18" s="55">
        <f>'Leightonfield SWG'!H40</f>
        <v>0</v>
      </c>
      <c r="J18" s="55">
        <f>'Leightonfield SWG'!I40</f>
        <v>-583015</v>
      </c>
      <c r="K18" s="55">
        <f>'Leightonfield SWG'!J40</f>
        <v>-586444.49999999988</v>
      </c>
      <c r="L18" s="55">
        <f>'Leightonfield SWG'!K40</f>
        <v>-61902.474999999991</v>
      </c>
      <c r="M18" s="54">
        <f>'Leightonfield SWG'!L40</f>
        <v>-558669.8368749998</v>
      </c>
      <c r="N18" s="54">
        <f>'Leightonfield SWG'!M40</f>
        <v>-83800.475531249991</v>
      </c>
      <c r="O18" s="54">
        <f>'Leightonfield SWG'!N40</f>
        <v>-79610.45175468747</v>
      </c>
      <c r="P18" s="54">
        <f>'Leightonfield SWG'!O40</f>
        <v>-75629.929166953094</v>
      </c>
      <c r="Q18" s="54">
        <f>'Leightonfield SWG'!P40</f>
        <v>0</v>
      </c>
      <c r="R18" s="54">
        <f>'Leightonfield SWG'!Q40</f>
        <v>0</v>
      </c>
      <c r="S18" s="54">
        <f>'Leightonfield SWG'!R40</f>
        <v>0</v>
      </c>
      <c r="T18" s="54">
        <f>'Leightonfield SWG'!S40</f>
        <v>0</v>
      </c>
    </row>
    <row r="19" spans="1:20" ht="15.6" x14ac:dyDescent="0.3">
      <c r="A19" s="92" t="s">
        <v>46</v>
      </c>
      <c r="B19" s="92" t="s">
        <v>90</v>
      </c>
      <c r="C19" s="50">
        <f t="shared" si="2"/>
        <v>-13747435.382914999</v>
      </c>
      <c r="D19" s="50">
        <f t="shared" si="0"/>
        <v>-37851.380225200002</v>
      </c>
      <c r="E19" s="36">
        <f>'Lidcombe SWG'!D30</f>
        <v>0</v>
      </c>
      <c r="F19" s="36">
        <f>'Lidcombe SWG'!E30</f>
        <v>0</v>
      </c>
      <c r="G19" s="36">
        <f>'Lidcombe SWG'!F30</f>
        <v>0</v>
      </c>
      <c r="H19" s="53">
        <f>'Lidcombe SWG'!G30</f>
        <v>0</v>
      </c>
      <c r="I19" s="53">
        <f>'Lidcombe SWG'!H30</f>
        <v>0</v>
      </c>
      <c r="J19" s="53">
        <f>'Lidcombe SWG'!I30</f>
        <v>0</v>
      </c>
      <c r="K19" s="53">
        <f>'Lidcombe SWG'!J30</f>
        <v>0</v>
      </c>
      <c r="L19" s="53">
        <f>'Lidcombe SWG'!K30</f>
        <v>-37851.380225200002</v>
      </c>
      <c r="M19" s="36">
        <f>'Lidcombe SWG'!L30</f>
        <v>-1116488.6216607001</v>
      </c>
      <c r="N19" s="36">
        <f>'Lidcombe SWG'!M30</f>
        <v>-1171981.8300401</v>
      </c>
      <c r="O19" s="36">
        <f>'Lidcombe SWG'!N30</f>
        <v>-5067315.5201915996</v>
      </c>
      <c r="P19" s="36">
        <f>'Lidcombe SWG'!O30</f>
        <v>-3449448.6117663002</v>
      </c>
      <c r="Q19" s="36">
        <f>'Lidcombe SWG'!P30</f>
        <v>-2904349.4190310999</v>
      </c>
      <c r="R19" s="36">
        <f>'Lidcombe SWG'!Q30</f>
        <v>0</v>
      </c>
      <c r="S19" s="36">
        <f>'Lidcombe SWG'!R30</f>
        <v>0</v>
      </c>
      <c r="T19" s="36">
        <f>'Lidcombe SWG'!S30</f>
        <v>0</v>
      </c>
    </row>
    <row r="20" spans="1:20" ht="15.6" x14ac:dyDescent="0.3">
      <c r="A20" s="92"/>
      <c r="B20" s="92" t="s">
        <v>91</v>
      </c>
      <c r="C20" s="50">
        <f t="shared" si="2"/>
        <v>-13747435.382914999</v>
      </c>
      <c r="D20" s="50">
        <f t="shared" si="0"/>
        <v>0</v>
      </c>
      <c r="E20" s="36">
        <f>'Lidcombe SWG'!D41</f>
        <v>0</v>
      </c>
      <c r="F20" s="36">
        <f>'Lidcombe SWG'!E41</f>
        <v>0</v>
      </c>
      <c r="G20" s="36">
        <f>'Lidcombe SWG'!F41</f>
        <v>0</v>
      </c>
      <c r="H20" s="53">
        <f>'Lidcombe SWG'!G41</f>
        <v>0</v>
      </c>
      <c r="I20" s="53">
        <f>'Lidcombe SWG'!H41</f>
        <v>0</v>
      </c>
      <c r="J20" s="53">
        <f>'Lidcombe SWG'!I41</f>
        <v>0</v>
      </c>
      <c r="K20" s="53">
        <f>'Lidcombe SWG'!J41</f>
        <v>0</v>
      </c>
      <c r="L20" s="53">
        <f>'Lidcombe SWG'!K41</f>
        <v>0</v>
      </c>
      <c r="M20" s="36">
        <f>'Lidcombe SWG'!L41</f>
        <v>0</v>
      </c>
      <c r="N20" s="36">
        <f>'Lidcombe SWG'!M41</f>
        <v>0</v>
      </c>
      <c r="O20" s="36">
        <f>'Lidcombe SWG'!N41</f>
        <v>-37851.380225200002</v>
      </c>
      <c r="P20" s="36">
        <f>'Lidcombe SWG'!O41</f>
        <v>-1116488.6216607001</v>
      </c>
      <c r="Q20" s="36">
        <f>'Lidcombe SWG'!P41</f>
        <v>-1171981.8300401</v>
      </c>
      <c r="R20" s="36">
        <f>'Lidcombe SWG'!Q41</f>
        <v>-5067315.5201915996</v>
      </c>
      <c r="S20" s="36">
        <f>'Lidcombe SWG'!R41</f>
        <v>-3449448.6117663002</v>
      </c>
      <c r="T20" s="36">
        <f>'Lidcombe SWG'!S41</f>
        <v>-2904349.4190310999</v>
      </c>
    </row>
    <row r="21" spans="1:20" ht="15.6" x14ac:dyDescent="0.3">
      <c r="A21" s="92"/>
      <c r="B21" s="92" t="s">
        <v>49</v>
      </c>
      <c r="C21" s="50">
        <f t="shared" si="2"/>
        <v>0</v>
      </c>
      <c r="D21" s="50">
        <f t="shared" si="0"/>
        <v>37851.380225200002</v>
      </c>
      <c r="E21" s="50">
        <f>E20-E19</f>
        <v>0</v>
      </c>
      <c r="F21" s="50">
        <f t="shared" ref="F21" si="21">F20-F19</f>
        <v>0</v>
      </c>
      <c r="G21" s="50">
        <f t="shared" ref="G21" si="22">G20-G19</f>
        <v>0</v>
      </c>
      <c r="H21" s="52">
        <f t="shared" ref="H21" si="23">H20-H19</f>
        <v>0</v>
      </c>
      <c r="I21" s="52">
        <f t="shared" ref="I21" si="24">I20-I19</f>
        <v>0</v>
      </c>
      <c r="J21" s="52">
        <f t="shared" ref="J21" si="25">J20-J19</f>
        <v>0</v>
      </c>
      <c r="K21" s="52">
        <f t="shared" ref="K21" si="26">K20-K19</f>
        <v>0</v>
      </c>
      <c r="L21" s="52">
        <f t="shared" ref="L21" si="27">L20-L19</f>
        <v>37851.380225200002</v>
      </c>
      <c r="M21" s="50">
        <f t="shared" ref="M21" si="28">M20-M19</f>
        <v>1116488.6216607001</v>
      </c>
      <c r="N21" s="50">
        <f t="shared" ref="N21" si="29">N20-N19</f>
        <v>1171981.8300401</v>
      </c>
      <c r="O21" s="50">
        <f t="shared" ref="O21" si="30">O20-O19</f>
        <v>5029464.1399663994</v>
      </c>
      <c r="P21" s="50">
        <f t="shared" ref="P21" si="31">P20-P19</f>
        <v>2332959.9901056001</v>
      </c>
      <c r="Q21" s="50">
        <f t="shared" ref="Q21" si="32">Q20-Q19</f>
        <v>1732367.5889909999</v>
      </c>
      <c r="R21" s="50">
        <f t="shared" ref="R21:S21" si="33">R20-R19</f>
        <v>-5067315.5201915996</v>
      </c>
      <c r="S21" s="50">
        <f t="shared" si="33"/>
        <v>-3449448.6117663002</v>
      </c>
      <c r="T21" s="50">
        <f t="shared" ref="T21" si="34">T20-T19</f>
        <v>-2904349.4190310999</v>
      </c>
    </row>
    <row r="22" spans="1:20" ht="15.6" x14ac:dyDescent="0.3">
      <c r="A22" s="93"/>
      <c r="B22" s="93" t="s">
        <v>89</v>
      </c>
      <c r="C22" s="51">
        <f t="shared" si="2"/>
        <v>-4061735.1563065858</v>
      </c>
      <c r="D22" s="51">
        <f t="shared" si="0"/>
        <v>-1757533.0125</v>
      </c>
      <c r="E22" s="54">
        <f>'Lidcombe SWG'!D44</f>
        <v>0</v>
      </c>
      <c r="F22" s="54">
        <f>'Lidcombe SWG'!E44</f>
        <v>0</v>
      </c>
      <c r="G22" s="54">
        <f>'Lidcombe SWG'!F44</f>
        <v>0</v>
      </c>
      <c r="H22" s="55">
        <f>'Lidcombe SWG'!G44</f>
        <v>0</v>
      </c>
      <c r="I22" s="55">
        <f>'Lidcombe SWG'!H44</f>
        <v>0</v>
      </c>
      <c r="J22" s="55">
        <f>'Lidcombe SWG'!I44</f>
        <v>-583015</v>
      </c>
      <c r="K22" s="55">
        <f>'Lidcombe SWG'!J44</f>
        <v>-586444.49999999988</v>
      </c>
      <c r="L22" s="55">
        <f>'Lidcombe SWG'!K44</f>
        <v>-588073.51249999995</v>
      </c>
      <c r="M22" s="54">
        <f>'Lidcombe SWG'!L44</f>
        <v>-88211.026874999981</v>
      </c>
      <c r="N22" s="54">
        <f>'Lidcombe SWG'!M44</f>
        <v>-83800.475531249991</v>
      </c>
      <c r="O22" s="54">
        <f>'Lidcombe SWG'!N44</f>
        <v>-530736.3450312498</v>
      </c>
      <c r="P22" s="54">
        <f>'Lidcombe SWG'!O44</f>
        <v>-100839.90555593747</v>
      </c>
      <c r="Q22" s="54">
        <f>'Lidcombe SWG'!P44</f>
        <v>-502939.02896023809</v>
      </c>
      <c r="R22" s="54">
        <f>'Lidcombe SWG'!Q44</f>
        <v>-500544.08120328456</v>
      </c>
      <c r="S22" s="54">
        <f>'Lidcombe SWG'!R44</f>
        <v>-497131.2806496257</v>
      </c>
      <c r="T22" s="54">
        <f>'Lidcombe SWG'!S44</f>
        <v>0</v>
      </c>
    </row>
    <row r="23" spans="1:20" ht="15.6" x14ac:dyDescent="0.3">
      <c r="A23" s="92" t="s">
        <v>53</v>
      </c>
      <c r="B23" s="92" t="s">
        <v>90</v>
      </c>
      <c r="C23" s="50">
        <f t="shared" si="2"/>
        <v>-49097900.063696407</v>
      </c>
      <c r="D23" s="50">
        <f t="shared" si="0"/>
        <v>-47672506.738761</v>
      </c>
      <c r="E23" s="36">
        <f>'Mascot SWG'!D30</f>
        <v>0</v>
      </c>
      <c r="F23" s="36">
        <f>'Mascot SWG'!E30</f>
        <v>-88802.190127199996</v>
      </c>
      <c r="G23" s="36">
        <f>'Mascot SWG'!F30</f>
        <v>-1336591.1348081999</v>
      </c>
      <c r="H23" s="53">
        <f>'Mascot SWG'!G30</f>
        <v>-2307569.4916873998</v>
      </c>
      <c r="I23" s="53">
        <f>'Mascot SWG'!H30</f>
        <v>-17424944.494965501</v>
      </c>
      <c r="J23" s="53">
        <f>'Mascot SWG'!I30</f>
        <v>-21294136.6944548</v>
      </c>
      <c r="K23" s="53">
        <f>'Mascot SWG'!J30</f>
        <v>-6425150.5467355</v>
      </c>
      <c r="L23" s="53">
        <f>'Mascot SWG'!K30</f>
        <v>-220705.51091780001</v>
      </c>
      <c r="M23" s="36">
        <f>'Mascot SWG'!L30</f>
        <v>0</v>
      </c>
      <c r="N23" s="36">
        <f>'Mascot SWG'!M30</f>
        <v>0</v>
      </c>
      <c r="O23" s="36">
        <f>'Mascot SWG'!N30</f>
        <v>0</v>
      </c>
      <c r="P23" s="36">
        <f>'Mascot SWG'!O30</f>
        <v>0</v>
      </c>
      <c r="Q23" s="36">
        <f>'Mascot SWG'!P30</f>
        <v>0</v>
      </c>
      <c r="R23" s="36">
        <f>'Mascot SWG'!Q30</f>
        <v>0</v>
      </c>
      <c r="S23" s="36">
        <f>'Mascot SWG'!R30</f>
        <v>0</v>
      </c>
      <c r="T23" s="36">
        <f>'Mascot SWG'!S30</f>
        <v>0</v>
      </c>
    </row>
    <row r="24" spans="1:20" ht="15.6" x14ac:dyDescent="0.3">
      <c r="A24" s="92"/>
      <c r="B24" s="92" t="s">
        <v>91</v>
      </c>
      <c r="C24" s="50">
        <f t="shared" si="2"/>
        <v>-49097900.063696407</v>
      </c>
      <c r="D24" s="50">
        <f t="shared" si="0"/>
        <v>-21157907.311588302</v>
      </c>
      <c r="E24" s="36">
        <f>'Mascot SWG'!D41</f>
        <v>0</v>
      </c>
      <c r="F24" s="36">
        <f>'Mascot SWG'!E41</f>
        <v>0</v>
      </c>
      <c r="G24" s="36">
        <f>'Mascot SWG'!F41</f>
        <v>0</v>
      </c>
      <c r="H24" s="53">
        <f>'Mascot SWG'!G41</f>
        <v>0</v>
      </c>
      <c r="I24" s="53">
        <f>'Mascot SWG'!H41</f>
        <v>-88802.190127199996</v>
      </c>
      <c r="J24" s="53">
        <f>'Mascot SWG'!I41</f>
        <v>-1336591.1348081999</v>
      </c>
      <c r="K24" s="53">
        <f>'Mascot SWG'!J41</f>
        <v>-2307569.4916873998</v>
      </c>
      <c r="L24" s="53">
        <f>'Mascot SWG'!K41</f>
        <v>-17424944.494965501</v>
      </c>
      <c r="M24" s="36">
        <f>'Mascot SWG'!L41</f>
        <v>-21294136.6944548</v>
      </c>
      <c r="N24" s="36">
        <f>'Mascot SWG'!M41</f>
        <v>-6425150.5467355</v>
      </c>
      <c r="O24" s="36">
        <f>'Mascot SWG'!N41</f>
        <v>-220705.51091780001</v>
      </c>
      <c r="P24" s="36">
        <f>'Mascot SWG'!O41</f>
        <v>0</v>
      </c>
      <c r="Q24" s="36">
        <f>'Mascot SWG'!P41</f>
        <v>0</v>
      </c>
      <c r="R24" s="36">
        <f>'Mascot SWG'!Q41</f>
        <v>0</v>
      </c>
      <c r="S24" s="36">
        <f>'Mascot SWG'!R41</f>
        <v>0</v>
      </c>
      <c r="T24" s="36">
        <f>'Mascot SWG'!S41</f>
        <v>0</v>
      </c>
    </row>
    <row r="25" spans="1:20" ht="15.6" x14ac:dyDescent="0.3">
      <c r="A25" s="92"/>
      <c r="B25" s="92" t="s">
        <v>49</v>
      </c>
      <c r="C25" s="50">
        <f t="shared" si="2"/>
        <v>4.6566128730773926E-10</v>
      </c>
      <c r="D25" s="50">
        <f t="shared" si="0"/>
        <v>26514599.427172694</v>
      </c>
      <c r="E25" s="50">
        <f>E24-E23</f>
        <v>0</v>
      </c>
      <c r="F25" s="50">
        <f t="shared" ref="F25" si="35">F24-F23</f>
        <v>88802.190127199996</v>
      </c>
      <c r="G25" s="50">
        <f t="shared" ref="G25" si="36">G24-G23</f>
        <v>1336591.1348081999</v>
      </c>
      <c r="H25" s="52">
        <f t="shared" ref="H25" si="37">H24-H23</f>
        <v>2307569.4916873998</v>
      </c>
      <c r="I25" s="52">
        <f t="shared" ref="I25" si="38">I24-I23</f>
        <v>17336142.3048383</v>
      </c>
      <c r="J25" s="52">
        <f t="shared" ref="J25" si="39">J24-J23</f>
        <v>19957545.559646599</v>
      </c>
      <c r="K25" s="52">
        <f t="shared" ref="K25" si="40">K24-K23</f>
        <v>4117581.0550481002</v>
      </c>
      <c r="L25" s="52">
        <f t="shared" ref="L25" si="41">L24-L23</f>
        <v>-17204238.9840477</v>
      </c>
      <c r="M25" s="50">
        <f t="shared" ref="M25" si="42">M24-M23</f>
        <v>-21294136.6944548</v>
      </c>
      <c r="N25" s="50">
        <f t="shared" ref="N25" si="43">N24-N23</f>
        <v>-6425150.5467355</v>
      </c>
      <c r="O25" s="50">
        <f t="shared" ref="O25" si="44">O24-O23</f>
        <v>-220705.51091780001</v>
      </c>
      <c r="P25" s="50">
        <f t="shared" ref="P25" si="45">P24-P23</f>
        <v>0</v>
      </c>
      <c r="Q25" s="50">
        <f t="shared" ref="Q25" si="46">Q24-Q23</f>
        <v>0</v>
      </c>
      <c r="R25" s="50">
        <f t="shared" ref="R25" si="47">R24-R23</f>
        <v>0</v>
      </c>
      <c r="S25" s="50">
        <f t="shared" ref="S25:T25" si="48">S24-S23</f>
        <v>0</v>
      </c>
      <c r="T25" s="50">
        <f t="shared" si="48"/>
        <v>0</v>
      </c>
    </row>
    <row r="26" spans="1:20" ht="15.6" x14ac:dyDescent="0.3">
      <c r="A26" s="93"/>
      <c r="B26" s="93" t="s">
        <v>89</v>
      </c>
      <c r="C26" s="51">
        <f t="shared" si="2"/>
        <v>-4959375.9072812498</v>
      </c>
      <c r="D26" s="51">
        <f t="shared" si="0"/>
        <v>-4087556.9249999998</v>
      </c>
      <c r="E26" s="54">
        <f>'Mascot SWG'!D44</f>
        <v>0</v>
      </c>
      <c r="F26" s="54">
        <f>'Mascot SWG'!E44</f>
        <v>0</v>
      </c>
      <c r="G26" s="54">
        <f>'Mascot SWG'!F44</f>
        <v>0</v>
      </c>
      <c r="H26" s="55">
        <f>'Mascot SWG'!G44</f>
        <v>-1292000</v>
      </c>
      <c r="I26" s="55">
        <f>'Mascot SWG'!H44</f>
        <v>-685900</v>
      </c>
      <c r="J26" s="55">
        <f>'Mascot SWG'!I44</f>
        <v>-685900</v>
      </c>
      <c r="K26" s="55">
        <f>'Mascot SWG'!J44</f>
        <v>-1238049.4999999998</v>
      </c>
      <c r="L26" s="55">
        <f>'Mascot SWG'!K44</f>
        <v>-185707.42499999999</v>
      </c>
      <c r="M26" s="54">
        <f>'Mascot SWG'!L44</f>
        <v>-676284.53937499982</v>
      </c>
      <c r="N26" s="54">
        <f>'Mascot SWG'!M44</f>
        <v>-195534.44290624998</v>
      </c>
      <c r="O26" s="54">
        <f>'Mascot SWG'!N44</f>
        <v>0</v>
      </c>
      <c r="P26" s="54">
        <f>'Mascot SWG'!O44</f>
        <v>0</v>
      </c>
      <c r="Q26" s="54">
        <f>'Mascot SWG'!P44</f>
        <v>0</v>
      </c>
      <c r="R26" s="54">
        <f>'Mascot SWG'!Q44</f>
        <v>0</v>
      </c>
      <c r="S26" s="54">
        <f>'Mascot SWG'!R44</f>
        <v>0</v>
      </c>
      <c r="T26" s="54">
        <f>'Mascot SWG'!S44</f>
        <v>0</v>
      </c>
    </row>
    <row r="27" spans="1:20" ht="15.6" x14ac:dyDescent="0.3">
      <c r="A27" s="92" t="s">
        <v>47</v>
      </c>
      <c r="B27" s="92" t="s">
        <v>90</v>
      </c>
      <c r="C27" s="50">
        <f t="shared" si="2"/>
        <v>-14633723.925171999</v>
      </c>
      <c r="D27" s="50">
        <f t="shared" si="0"/>
        <v>-1318919.5603729</v>
      </c>
      <c r="E27" s="36">
        <f>'St.Ives SWG'!D29</f>
        <v>0</v>
      </c>
      <c r="F27" s="36">
        <f>'St.Ives SWG'!E29</f>
        <v>0</v>
      </c>
      <c r="G27" s="36">
        <f>'St.Ives SWG'!F29</f>
        <v>0</v>
      </c>
      <c r="H27" s="53">
        <f>'St.Ives SWG'!G29</f>
        <v>0</v>
      </c>
      <c r="I27" s="53">
        <f>'St.Ives SWG'!H29</f>
        <v>0</v>
      </c>
      <c r="J27" s="53">
        <f>'St.Ives SWG'!I29</f>
        <v>0</v>
      </c>
      <c r="K27" s="53">
        <f>'St.Ives SWG'!J29</f>
        <v>-88802.190126899994</v>
      </c>
      <c r="L27" s="53">
        <f>'St.Ives SWG'!K29</f>
        <v>-1230117.3702459999</v>
      </c>
      <c r="M27" s="36">
        <f>'St.Ives SWG'!L29</f>
        <v>-3256309.0962818</v>
      </c>
      <c r="N27" s="36">
        <f>'St.Ives SWG'!M29</f>
        <v>-9224519.2269630991</v>
      </c>
      <c r="O27" s="36">
        <f>'St.Ives SWG'!N29</f>
        <v>-833976.0415542</v>
      </c>
      <c r="P27" s="36">
        <f>'St.Ives SWG'!O29</f>
        <v>0</v>
      </c>
      <c r="Q27" s="36">
        <f>'St.Ives SWG'!P29</f>
        <v>0</v>
      </c>
      <c r="R27" s="36">
        <f>'St.Ives SWG'!Q29</f>
        <v>0</v>
      </c>
      <c r="S27" s="36">
        <f>'St.Ives SWG'!R29</f>
        <v>0</v>
      </c>
      <c r="T27" s="36">
        <f>'St.Ives SWG'!S29</f>
        <v>0</v>
      </c>
    </row>
    <row r="28" spans="1:20" ht="15.6" x14ac:dyDescent="0.3">
      <c r="A28" s="92"/>
      <c r="B28" s="92" t="s">
        <v>91</v>
      </c>
      <c r="C28" s="50">
        <f t="shared" si="2"/>
        <v>-14633723.925171999</v>
      </c>
      <c r="D28" s="50">
        <f t="shared" si="0"/>
        <v>0</v>
      </c>
      <c r="E28" s="36">
        <f>'St.Ives SWG'!D40</f>
        <v>0</v>
      </c>
      <c r="F28" s="36">
        <f>'St.Ives SWG'!E40</f>
        <v>0</v>
      </c>
      <c r="G28" s="36">
        <f>'St.Ives SWG'!F40</f>
        <v>0</v>
      </c>
      <c r="H28" s="53">
        <f>'St.Ives SWG'!G40</f>
        <v>0</v>
      </c>
      <c r="I28" s="53">
        <f>'St.Ives SWG'!H40</f>
        <v>0</v>
      </c>
      <c r="J28" s="53">
        <f>'St.Ives SWG'!I40</f>
        <v>0</v>
      </c>
      <c r="K28" s="53">
        <f>'St.Ives SWG'!J40</f>
        <v>0</v>
      </c>
      <c r="L28" s="53">
        <f>'St.Ives SWG'!K40</f>
        <v>0</v>
      </c>
      <c r="M28" s="36">
        <f>'St.Ives SWG'!L40</f>
        <v>0</v>
      </c>
      <c r="N28" s="36">
        <f>'St.Ives SWG'!M40</f>
        <v>-88802.190126899994</v>
      </c>
      <c r="O28" s="36">
        <f>'St.Ives SWG'!N40</f>
        <v>-1230117.3702459999</v>
      </c>
      <c r="P28" s="36">
        <f>'St.Ives SWG'!O40</f>
        <v>-3256309.0962818</v>
      </c>
      <c r="Q28" s="36">
        <f>'St.Ives SWG'!P40</f>
        <v>-9224519.2269630991</v>
      </c>
      <c r="R28" s="36">
        <f>'St.Ives SWG'!Q40</f>
        <v>-833976.0415542</v>
      </c>
      <c r="S28" s="36">
        <f>'St.Ives SWG'!R40</f>
        <v>0</v>
      </c>
      <c r="T28" s="36">
        <f>'St.Ives SWG'!S40</f>
        <v>0</v>
      </c>
    </row>
    <row r="29" spans="1:20" ht="15.6" x14ac:dyDescent="0.3">
      <c r="A29" s="92"/>
      <c r="B29" s="92" t="s">
        <v>49</v>
      </c>
      <c r="C29" s="50">
        <f t="shared" si="2"/>
        <v>1.3969838619232178E-9</v>
      </c>
      <c r="D29" s="50">
        <f t="shared" si="0"/>
        <v>1318919.5603729</v>
      </c>
      <c r="E29" s="50">
        <f>E28-E27</f>
        <v>0</v>
      </c>
      <c r="F29" s="50">
        <f t="shared" ref="F29" si="49">F28-F27</f>
        <v>0</v>
      </c>
      <c r="G29" s="50">
        <f t="shared" ref="G29" si="50">G28-G27</f>
        <v>0</v>
      </c>
      <c r="H29" s="52">
        <f t="shared" ref="H29" si="51">H28-H27</f>
        <v>0</v>
      </c>
      <c r="I29" s="52">
        <f t="shared" ref="I29" si="52">I28-I27</f>
        <v>0</v>
      </c>
      <c r="J29" s="52">
        <f t="shared" ref="J29" si="53">J28-J27</f>
        <v>0</v>
      </c>
      <c r="K29" s="52">
        <f t="shared" ref="K29" si="54">K28-K27</f>
        <v>88802.190126899994</v>
      </c>
      <c r="L29" s="52">
        <f t="shared" ref="L29" si="55">L28-L27</f>
        <v>1230117.3702459999</v>
      </c>
      <c r="M29" s="50">
        <f t="shared" ref="M29" si="56">M28-M27</f>
        <v>3256309.0962818</v>
      </c>
      <c r="N29" s="50">
        <f t="shared" ref="N29" si="57">N28-N27</f>
        <v>9135717.0368361995</v>
      </c>
      <c r="O29" s="50">
        <f t="shared" ref="O29" si="58">O28-O27</f>
        <v>-396141.32869179989</v>
      </c>
      <c r="P29" s="50">
        <f t="shared" ref="P29" si="59">P28-P27</f>
        <v>-3256309.0962818</v>
      </c>
      <c r="Q29" s="50">
        <f t="shared" ref="Q29" si="60">Q28-Q27</f>
        <v>-9224519.2269630991</v>
      </c>
      <c r="R29" s="50">
        <f t="shared" ref="R29" si="61">R28-R27</f>
        <v>-833976.0415542</v>
      </c>
      <c r="S29" s="50">
        <f t="shared" ref="S29:T29" si="62">S28-S27</f>
        <v>0</v>
      </c>
      <c r="T29" s="50">
        <f t="shared" si="62"/>
        <v>0</v>
      </c>
    </row>
    <row r="30" spans="1:20" ht="15.6" x14ac:dyDescent="0.3">
      <c r="A30" s="93"/>
      <c r="B30" s="93" t="s">
        <v>89</v>
      </c>
      <c r="C30" s="51">
        <f t="shared" si="2"/>
        <v>-3480163.4557244522</v>
      </c>
      <c r="D30" s="51">
        <f t="shared" si="0"/>
        <v>-2283704.0499999998</v>
      </c>
      <c r="E30" s="54">
        <f>'St.Ives SWG'!D43</f>
        <v>0</v>
      </c>
      <c r="F30" s="54">
        <f>'St.Ives SWG'!E43</f>
        <v>0</v>
      </c>
      <c r="G30" s="54">
        <f>'St.Ives SWG'!F43</f>
        <v>0</v>
      </c>
      <c r="H30" s="55">
        <f>'St.Ives SWG'!G43</f>
        <v>0</v>
      </c>
      <c r="I30" s="55">
        <f>'St.Ives SWG'!H43</f>
        <v>0</v>
      </c>
      <c r="J30" s="55">
        <f>'St.Ives SWG'!I43</f>
        <v>-583015</v>
      </c>
      <c r="K30" s="55">
        <f>'St.Ives SWG'!J43</f>
        <v>-586444.49999999988</v>
      </c>
      <c r="L30" s="55">
        <f>'St.Ives SWG'!K43</f>
        <v>-1114244.5499999998</v>
      </c>
      <c r="M30" s="54">
        <f>'St.Ives SWG'!L43</f>
        <v>-117614.70249999997</v>
      </c>
      <c r="N30" s="54">
        <f>'St.Ives SWG'!M43</f>
        <v>-586603.32871874992</v>
      </c>
      <c r="O30" s="54">
        <f>'St.Ives SWG'!N43</f>
        <v>-132684.08625781245</v>
      </c>
      <c r="P30" s="54">
        <f>'St.Ives SWG'!O43</f>
        <v>-126049.88194492183</v>
      </c>
      <c r="Q30" s="54">
        <f>'St.Ives SWG'!P43</f>
        <v>-119747.38784767574</v>
      </c>
      <c r="R30" s="54">
        <f>'St.Ives SWG'!Q43</f>
        <v>-113760.01845529194</v>
      </c>
      <c r="S30" s="54">
        <f>'St.Ives SWG'!R43</f>
        <v>0</v>
      </c>
      <c r="T30" s="54">
        <f>'St.Ives SWG'!S43</f>
        <v>0</v>
      </c>
    </row>
    <row r="31" spans="1:20" ht="15.6" x14ac:dyDescent="0.3">
      <c r="A31" s="92" t="s">
        <v>54</v>
      </c>
      <c r="B31" s="92" t="s">
        <v>90</v>
      </c>
      <c r="C31" s="50">
        <f t="shared" si="2"/>
        <v>-33900578.7629558</v>
      </c>
      <c r="D31" s="50">
        <f t="shared" si="0"/>
        <v>-16963328.749665901</v>
      </c>
      <c r="E31" s="36"/>
      <c r="F31" s="36">
        <f>'9S6 9S9 Hay-Pyr'!D28</f>
        <v>0</v>
      </c>
      <c r="G31" s="36">
        <f>'9S6 9S9 Hay-Pyr'!E28</f>
        <v>0</v>
      </c>
      <c r="H31" s="53">
        <f>'9S6 9S9 Hay-Pyr'!F28</f>
        <v>0</v>
      </c>
      <c r="I31" s="53">
        <f>'9S6 9S9 Hay-Pyr'!G28</f>
        <v>0</v>
      </c>
      <c r="J31" s="53">
        <f>'9S6 9S9 Hay-Pyr'!H28</f>
        <v>-537346.93442559999</v>
      </c>
      <c r="K31" s="53">
        <f>'9S6 9S9 Hay-Pyr'!I28</f>
        <v>-1673137.2101971</v>
      </c>
      <c r="L31" s="53">
        <f>'9S6 9S9 Hay-Pyr'!J28</f>
        <v>-14752844.605043201</v>
      </c>
      <c r="M31" s="36">
        <f>'9S6 9S9 Hay-Pyr'!K28</f>
        <v>-15120059.0216686</v>
      </c>
      <c r="N31" s="36">
        <f>'9S6 9S9 Hay-Pyr'!L28</f>
        <v>-1817190.9916213001</v>
      </c>
      <c r="O31" s="36">
        <f>'9S6 9S9 Hay-Pyr'!M28</f>
        <v>0</v>
      </c>
      <c r="P31" s="36">
        <f>'9S6 9S9 Hay-Pyr'!N28</f>
        <v>0</v>
      </c>
      <c r="Q31" s="36">
        <f>'9S6 9S9 Hay-Pyr'!O28</f>
        <v>0</v>
      </c>
      <c r="R31" s="36">
        <f>'9S6 9S9 Hay-Pyr'!P28</f>
        <v>0</v>
      </c>
      <c r="S31" s="36">
        <f>'9S6 9S9 Hay-Pyr'!Q28</f>
        <v>0</v>
      </c>
      <c r="T31" s="36">
        <f>'9S6 9S9 Hay-Pyr'!R28</f>
        <v>0</v>
      </c>
    </row>
    <row r="32" spans="1:20" ht="15.6" x14ac:dyDescent="0.3">
      <c r="A32" s="92" t="s">
        <v>55</v>
      </c>
      <c r="B32" s="92" t="s">
        <v>91</v>
      </c>
      <c r="C32" s="50">
        <f t="shared" si="2"/>
        <v>-33900578.7629558</v>
      </c>
      <c r="D32" s="50">
        <f t="shared" si="0"/>
        <v>0</v>
      </c>
      <c r="E32" s="36"/>
      <c r="F32" s="36">
        <f>'9S6 9S9 Hay-Pyr'!D39</f>
        <v>0</v>
      </c>
      <c r="G32" s="36">
        <f>'9S6 9S9 Hay-Pyr'!E39</f>
        <v>0</v>
      </c>
      <c r="H32" s="53">
        <f>'9S6 9S9 Hay-Pyr'!F39</f>
        <v>0</v>
      </c>
      <c r="I32" s="53">
        <f>'9S6 9S9 Hay-Pyr'!G39</f>
        <v>0</v>
      </c>
      <c r="J32" s="53">
        <f>'9S6 9S9 Hay-Pyr'!H39</f>
        <v>0</v>
      </c>
      <c r="K32" s="53">
        <f>'9S6 9S9 Hay-Pyr'!I39</f>
        <v>0</v>
      </c>
      <c r="L32" s="53">
        <f>'9S6 9S9 Hay-Pyr'!J39</f>
        <v>0</v>
      </c>
      <c r="M32" s="36">
        <f>'9S6 9S9 Hay-Pyr'!K39</f>
        <v>-537346.93442559999</v>
      </c>
      <c r="N32" s="36">
        <f>'9S6 9S9 Hay-Pyr'!L39</f>
        <v>-1673137.2101971</v>
      </c>
      <c r="O32" s="36">
        <f>'9S6 9S9 Hay-Pyr'!M39</f>
        <v>-14752844.605043201</v>
      </c>
      <c r="P32" s="36">
        <f>'9S6 9S9 Hay-Pyr'!N39</f>
        <v>-15120059.0216686</v>
      </c>
      <c r="Q32" s="36">
        <f>'9S6 9S9 Hay-Pyr'!O39</f>
        <v>-1817190.9916213001</v>
      </c>
      <c r="R32" s="36">
        <f>'9S6 9S9 Hay-Pyr'!P39</f>
        <v>0</v>
      </c>
      <c r="S32" s="36">
        <f>'9S6 9S9 Hay-Pyr'!Q39</f>
        <v>0</v>
      </c>
      <c r="T32" s="36">
        <f>'9S6 9S9 Hay-Pyr'!R39</f>
        <v>0</v>
      </c>
    </row>
    <row r="33" spans="1:20" ht="15.6" x14ac:dyDescent="0.3">
      <c r="A33" s="92"/>
      <c r="B33" s="92" t="s">
        <v>49</v>
      </c>
      <c r="C33" s="50">
        <f t="shared" si="2"/>
        <v>-1.3969838619232178E-9</v>
      </c>
      <c r="D33" s="50">
        <f t="shared" si="0"/>
        <v>16963328.749665901</v>
      </c>
      <c r="E33" s="50"/>
      <c r="F33" s="50">
        <f t="shared" ref="F33" si="63">F32-F31</f>
        <v>0</v>
      </c>
      <c r="G33" s="50">
        <f t="shared" ref="G33" si="64">G32-G31</f>
        <v>0</v>
      </c>
      <c r="H33" s="52">
        <f t="shared" ref="H33" si="65">H32-H31</f>
        <v>0</v>
      </c>
      <c r="I33" s="52">
        <f t="shared" ref="I33" si="66">I32-I31</f>
        <v>0</v>
      </c>
      <c r="J33" s="52">
        <f t="shared" ref="J33" si="67">J32-J31</f>
        <v>537346.93442559999</v>
      </c>
      <c r="K33" s="52">
        <f t="shared" ref="K33" si="68">K32-K31</f>
        <v>1673137.2101971</v>
      </c>
      <c r="L33" s="52">
        <f t="shared" ref="L33" si="69">L32-L31</f>
        <v>14752844.605043201</v>
      </c>
      <c r="M33" s="50">
        <f t="shared" ref="M33" si="70">M32-M31</f>
        <v>14582712.087243</v>
      </c>
      <c r="N33" s="50">
        <f t="shared" ref="N33" si="71">N32-N31</f>
        <v>144053.78142420016</v>
      </c>
      <c r="O33" s="50">
        <f t="shared" ref="O33" si="72">O32-O31</f>
        <v>-14752844.605043201</v>
      </c>
      <c r="P33" s="50">
        <f t="shared" ref="P33" si="73">P32-P31</f>
        <v>-15120059.0216686</v>
      </c>
      <c r="Q33" s="50">
        <f t="shared" ref="Q33" si="74">Q32-Q31</f>
        <v>-1817190.9916213001</v>
      </c>
      <c r="R33" s="50">
        <f t="shared" ref="R33" si="75">R32-R31</f>
        <v>0</v>
      </c>
      <c r="S33" s="50">
        <f t="shared" ref="S33:T33" si="76">S32-S31</f>
        <v>0</v>
      </c>
      <c r="T33" s="50">
        <f t="shared" si="76"/>
        <v>0</v>
      </c>
    </row>
    <row r="34" spans="1:20" ht="15.6" x14ac:dyDescent="0.3">
      <c r="A34" s="93"/>
      <c r="B34" s="93" t="s">
        <v>89</v>
      </c>
      <c r="C34" s="51">
        <f t="shared" si="2"/>
        <v>-7588811.5860929675</v>
      </c>
      <c r="D34" s="51">
        <f t="shared" si="0"/>
        <v>-6497971.9749999996</v>
      </c>
      <c r="E34" s="54"/>
      <c r="F34" s="54">
        <f>'9S6 9S9 Hay-Pyr'!D42</f>
        <v>0</v>
      </c>
      <c r="G34" s="54">
        <f>'9S6 9S9 Hay-Pyr'!E42</f>
        <v>0</v>
      </c>
      <c r="H34" s="55">
        <f>'9S6 9S9 Hay-Pyr'!F42</f>
        <v>-1292000</v>
      </c>
      <c r="I34" s="55">
        <f>'9S6 9S9 Hay-Pyr'!G42</f>
        <v>-1299600</v>
      </c>
      <c r="J34" s="55">
        <f>'9S6 9S9 Hay-Pyr'!H42</f>
        <v>-1303210</v>
      </c>
      <c r="K34" s="55">
        <f>'9S6 9S9 Hay-Pyr'!I42</f>
        <v>-1303209.9999999998</v>
      </c>
      <c r="L34" s="55">
        <f>'9S6 9S9 Hay-Pyr'!J42</f>
        <v>-1299951.9749999999</v>
      </c>
      <c r="M34" s="54">
        <f>'9S6 9S9 Hay-Pyr'!K42</f>
        <v>-294036.75624999998</v>
      </c>
      <c r="N34" s="54">
        <f>'9S6 9S9 Hay-Pyr'!L42</f>
        <v>-279334.91843749996</v>
      </c>
      <c r="O34" s="54">
        <f>'9S6 9S9 Hay-Pyr'!M42</f>
        <v>-265368.1725156249</v>
      </c>
      <c r="P34" s="54">
        <f>'9S6 9S9 Hay-Pyr'!N42</f>
        <v>-252099.76388984366</v>
      </c>
      <c r="Q34" s="54">
        <f>'9S6 9S9 Hay-Pyr'!O42</f>
        <v>0</v>
      </c>
      <c r="R34" s="54">
        <f>'9S6 9S9 Hay-Pyr'!P42</f>
        <v>0</v>
      </c>
      <c r="S34" s="54">
        <f>'9S6 9S9 Hay-Pyr'!Q42</f>
        <v>0</v>
      </c>
      <c r="T34" s="54">
        <f>'9S6 9S9 Hay-Pyr'!R42</f>
        <v>0</v>
      </c>
    </row>
    <row r="35" spans="1:20" ht="15.6" x14ac:dyDescent="0.3">
      <c r="A35" s="49"/>
      <c r="B35" s="49"/>
      <c r="C35" s="49"/>
      <c r="D35" s="49"/>
    </row>
    <row r="36" spans="1:20" ht="15.6" x14ac:dyDescent="0.3">
      <c r="A36" s="49"/>
      <c r="B36" s="49"/>
      <c r="C36" s="49"/>
      <c r="D36" s="49"/>
    </row>
    <row r="37" spans="1:20" ht="15.6" x14ac:dyDescent="0.3">
      <c r="A37" s="49"/>
      <c r="B37" s="49"/>
      <c r="C37" s="49"/>
      <c r="D37" s="49"/>
    </row>
    <row r="38" spans="1:20" ht="15.6" x14ac:dyDescent="0.3">
      <c r="A38" s="49"/>
      <c r="B38" s="49"/>
      <c r="C38" s="49"/>
      <c r="D38" s="49"/>
    </row>
    <row r="39" spans="1:20" ht="15.6" x14ac:dyDescent="0.3">
      <c r="A39" s="49"/>
      <c r="B39" s="49"/>
      <c r="C39" s="49"/>
      <c r="D39" s="49"/>
    </row>
    <row r="40" spans="1:20" ht="15.6" x14ac:dyDescent="0.3">
      <c r="A40" s="49"/>
      <c r="B40" s="49"/>
      <c r="C40" s="49"/>
      <c r="D40" s="49"/>
    </row>
    <row r="41" spans="1:20" ht="15.6" x14ac:dyDescent="0.3">
      <c r="A41" s="49"/>
      <c r="B41" s="49"/>
      <c r="C41" s="49"/>
      <c r="D41" s="49"/>
    </row>
    <row r="42" spans="1:20" ht="15.6" x14ac:dyDescent="0.3">
      <c r="A42" s="49"/>
      <c r="B42" s="49"/>
      <c r="C42" s="49"/>
      <c r="D42" s="49"/>
    </row>
    <row r="43" spans="1:20" ht="15.6" x14ac:dyDescent="0.3">
      <c r="A43" s="49"/>
      <c r="B43" s="49"/>
      <c r="C43" s="49"/>
      <c r="D43" s="49"/>
    </row>
    <row r="44" spans="1:20" ht="15.6" x14ac:dyDescent="0.3">
      <c r="A44" s="49"/>
      <c r="B44" s="49"/>
      <c r="C44" s="49"/>
      <c r="D44" s="49"/>
    </row>
    <row r="45" spans="1:20" ht="15.6" x14ac:dyDescent="0.3">
      <c r="A45" s="49"/>
      <c r="B45" s="49"/>
      <c r="C45" s="49"/>
      <c r="D45" s="49"/>
    </row>
    <row r="46" spans="1:20" ht="15.6" x14ac:dyDescent="0.3">
      <c r="A46" s="49"/>
      <c r="B46" s="49"/>
      <c r="C46" s="49"/>
      <c r="D46" s="49"/>
    </row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B1" sqref="B1"/>
    </sheetView>
  </sheetViews>
  <sheetFormatPr defaultColWidth="8.81640625" defaultRowHeight="14.4" x14ac:dyDescent="0.3"/>
  <cols>
    <col min="1" max="1" width="19.6328125" style="62" customWidth="1"/>
    <col min="2" max="2" width="8.08984375" style="62" customWidth="1"/>
    <col min="3" max="3" width="9.90625" style="62" customWidth="1"/>
    <col min="4" max="8" width="11.08984375" style="64" customWidth="1"/>
    <col min="9" max="9" width="8.81640625" style="62" customWidth="1"/>
    <col min="10" max="10" width="9.453125" style="62" customWidth="1"/>
    <col min="11" max="16384" width="8.81640625" style="62"/>
  </cols>
  <sheetData>
    <row r="1" spans="1:14" x14ac:dyDescent="0.3">
      <c r="A1" s="69" t="s">
        <v>113</v>
      </c>
      <c r="B1" s="3" t="s">
        <v>119</v>
      </c>
    </row>
    <row r="2" spans="1:14" x14ac:dyDescent="0.3">
      <c r="A2" s="62" t="s">
        <v>56</v>
      </c>
      <c r="B2" s="63">
        <v>0.05</v>
      </c>
      <c r="C2" s="63"/>
    </row>
    <row r="3" spans="1:14" x14ac:dyDescent="0.3">
      <c r="A3" s="62" t="s">
        <v>57</v>
      </c>
      <c r="B3" s="65">
        <v>40</v>
      </c>
      <c r="C3" s="66" t="s">
        <v>58</v>
      </c>
    </row>
    <row r="4" spans="1:14" x14ac:dyDescent="0.3">
      <c r="A4" s="62" t="s">
        <v>23</v>
      </c>
      <c r="B4" s="67">
        <f>-PMT(B2,B3,C6)/C6</f>
        <v>5.8278161166034993E-2</v>
      </c>
      <c r="C4" s="63"/>
    </row>
    <row r="5" spans="1:14" x14ac:dyDescent="0.3">
      <c r="B5" s="64"/>
      <c r="C5" s="64" t="s">
        <v>44</v>
      </c>
      <c r="D5" s="68" t="s">
        <v>4</v>
      </c>
      <c r="E5" s="68" t="s">
        <v>5</v>
      </c>
      <c r="F5" s="68" t="s">
        <v>6</v>
      </c>
      <c r="G5" s="68" t="s">
        <v>7</v>
      </c>
      <c r="H5" s="68" t="s">
        <v>8</v>
      </c>
    </row>
    <row r="6" spans="1:14" s="69" customFormat="1" x14ac:dyDescent="0.3">
      <c r="A6" s="69" t="s">
        <v>59</v>
      </c>
      <c r="C6" s="70">
        <f>SUM(D6:H6)</f>
        <v>-77446859.401484475</v>
      </c>
      <c r="D6" s="72">
        <v>-8609196.16293047</v>
      </c>
      <c r="E6" s="72">
        <v>-17209415.8096385</v>
      </c>
      <c r="F6" s="72">
        <v>-17209415.8096385</v>
      </c>
      <c r="G6" s="72">
        <v>-17209415.8096385</v>
      </c>
      <c r="H6" s="72">
        <v>-17209415.8096385</v>
      </c>
    </row>
    <row r="7" spans="1:14" x14ac:dyDescent="0.3">
      <c r="A7" s="69" t="s">
        <v>60</v>
      </c>
      <c r="B7" s="64" t="s">
        <v>61</v>
      </c>
      <c r="C7" s="71"/>
      <c r="D7" s="72"/>
      <c r="E7" s="72"/>
      <c r="F7" s="72"/>
      <c r="G7" s="72"/>
      <c r="H7" s="72"/>
    </row>
    <row r="8" spans="1:14" x14ac:dyDescent="0.3">
      <c r="A8" s="62" t="s">
        <v>62</v>
      </c>
      <c r="B8" s="63">
        <v>0.15</v>
      </c>
      <c r="C8" s="70">
        <f t="shared" ref="C8:C10" si="0">SUM(D8:H8)</f>
        <v>-11617028.91022267</v>
      </c>
      <c r="D8" s="71">
        <f>D$6*$B8</f>
        <v>-1291379.4244395704</v>
      </c>
      <c r="E8" s="71">
        <f t="shared" ref="E8:H10" si="1">E$6*$B8</f>
        <v>-2581412.371445775</v>
      </c>
      <c r="F8" s="71">
        <f t="shared" si="1"/>
        <v>-2581412.371445775</v>
      </c>
      <c r="G8" s="71">
        <f t="shared" si="1"/>
        <v>-2581412.371445775</v>
      </c>
      <c r="H8" s="71">
        <f t="shared" si="1"/>
        <v>-2581412.371445775</v>
      </c>
    </row>
    <row r="9" spans="1:14" x14ac:dyDescent="0.3">
      <c r="A9" s="62" t="s">
        <v>63</v>
      </c>
      <c r="B9" s="63">
        <v>0.25</v>
      </c>
      <c r="C9" s="70">
        <f t="shared" si="0"/>
        <v>-19361714.850371119</v>
      </c>
      <c r="D9" s="71">
        <f t="shared" ref="D9:D10" si="2">D$6*$B9</f>
        <v>-2152299.0407326175</v>
      </c>
      <c r="E9" s="71">
        <f t="shared" si="1"/>
        <v>-4302353.9524096251</v>
      </c>
      <c r="F9" s="71">
        <f t="shared" si="1"/>
        <v>-4302353.9524096251</v>
      </c>
      <c r="G9" s="71">
        <f t="shared" si="1"/>
        <v>-4302353.9524096251</v>
      </c>
      <c r="H9" s="71">
        <f t="shared" si="1"/>
        <v>-4302353.9524096251</v>
      </c>
    </row>
    <row r="10" spans="1:14" x14ac:dyDescent="0.3">
      <c r="A10" s="62" t="s">
        <v>64</v>
      </c>
      <c r="B10" s="63">
        <v>0.6</v>
      </c>
      <c r="C10" s="70">
        <f t="shared" si="0"/>
        <v>-46468115.64089068</v>
      </c>
      <c r="D10" s="71">
        <f t="shared" si="2"/>
        <v>-5165517.6977582816</v>
      </c>
      <c r="E10" s="71">
        <f t="shared" si="1"/>
        <v>-10325649.4857831</v>
      </c>
      <c r="F10" s="71">
        <f t="shared" si="1"/>
        <v>-10325649.4857831</v>
      </c>
      <c r="G10" s="71">
        <f t="shared" si="1"/>
        <v>-10325649.4857831</v>
      </c>
      <c r="H10" s="71">
        <f t="shared" si="1"/>
        <v>-10325649.4857831</v>
      </c>
    </row>
    <row r="11" spans="1:14" x14ac:dyDescent="0.3">
      <c r="A11" s="69" t="s">
        <v>65</v>
      </c>
      <c r="B11" s="63"/>
      <c r="C11" s="70"/>
      <c r="D11" s="71"/>
      <c r="E11" s="71"/>
      <c r="F11" s="71"/>
      <c r="G11" s="71"/>
      <c r="H11" s="71"/>
    </row>
    <row r="12" spans="1:14" x14ac:dyDescent="0.3">
      <c r="A12" s="62" t="s">
        <v>62</v>
      </c>
      <c r="C12" s="73"/>
      <c r="D12" s="63">
        <v>0</v>
      </c>
      <c r="E12" s="63">
        <v>0.05</v>
      </c>
      <c r="F12" s="63">
        <v>0.1</v>
      </c>
      <c r="G12" s="63">
        <v>0.2</v>
      </c>
      <c r="H12" s="63">
        <v>0.4</v>
      </c>
      <c r="J12" s="63"/>
      <c r="K12" s="63"/>
      <c r="L12" s="63"/>
      <c r="M12" s="63"/>
      <c r="N12" s="63"/>
    </row>
    <row r="13" spans="1:14" x14ac:dyDescent="0.3">
      <c r="A13" s="62" t="s">
        <v>63</v>
      </c>
      <c r="C13" s="73"/>
      <c r="D13" s="63">
        <v>0.1</v>
      </c>
      <c r="E13" s="63">
        <v>0.15</v>
      </c>
      <c r="F13" s="63">
        <v>0.2</v>
      </c>
      <c r="G13" s="63">
        <v>0.4</v>
      </c>
      <c r="H13" s="63">
        <v>0.6</v>
      </c>
      <c r="J13" s="63"/>
      <c r="K13" s="63"/>
      <c r="L13" s="63"/>
      <c r="M13" s="63"/>
      <c r="N13" s="63"/>
    </row>
    <row r="14" spans="1:14" x14ac:dyDescent="0.3">
      <c r="A14" s="62" t="s">
        <v>64</v>
      </c>
      <c r="C14" s="73"/>
      <c r="D14" s="63">
        <v>0.2</v>
      </c>
      <c r="E14" s="63">
        <v>0.3</v>
      </c>
      <c r="F14" s="63">
        <v>0.4</v>
      </c>
      <c r="G14" s="63">
        <v>0.5</v>
      </c>
      <c r="H14" s="63">
        <v>0.6</v>
      </c>
      <c r="J14" s="63"/>
      <c r="K14" s="63"/>
      <c r="L14" s="63"/>
      <c r="M14" s="63"/>
      <c r="N14" s="63"/>
    </row>
    <row r="15" spans="1:14" x14ac:dyDescent="0.3">
      <c r="A15" s="69" t="s">
        <v>114</v>
      </c>
      <c r="B15" s="64"/>
      <c r="C15" s="73"/>
      <c r="D15" s="63"/>
      <c r="E15" s="63"/>
      <c r="F15" s="63"/>
      <c r="G15" s="63"/>
      <c r="H15" s="63"/>
      <c r="J15" s="63"/>
      <c r="K15" s="63"/>
      <c r="L15" s="63"/>
      <c r="M15" s="63"/>
      <c r="N15" s="63"/>
    </row>
    <row r="16" spans="1:14" x14ac:dyDescent="0.3">
      <c r="A16" s="62" t="s">
        <v>66</v>
      </c>
      <c r="B16" s="63"/>
      <c r="C16" s="70">
        <f t="shared" ref="C16:C19" si="3">SUM(D16:H16)</f>
        <v>-1936059.2785843313</v>
      </c>
      <c r="D16" s="71">
        <f>D8*D12</f>
        <v>0</v>
      </c>
      <c r="E16" s="71">
        <f t="shared" ref="E16:H16" si="4">E8*E12</f>
        <v>-129070.61857228876</v>
      </c>
      <c r="F16" s="71">
        <f t="shared" si="4"/>
        <v>-258141.23714457752</v>
      </c>
      <c r="G16" s="71">
        <f t="shared" si="4"/>
        <v>-516282.47428915504</v>
      </c>
      <c r="H16" s="71">
        <f t="shared" si="4"/>
        <v>-1032564.9485783101</v>
      </c>
    </row>
    <row r="17" spans="1:14" x14ac:dyDescent="0.3">
      <c r="A17" s="62" t="s">
        <v>67</v>
      </c>
      <c r="B17" s="63"/>
      <c r="C17" s="70">
        <f t="shared" si="3"/>
        <v>-6023407.7398262555</v>
      </c>
      <c r="D17" s="71">
        <f t="shared" ref="D17:H18" si="5">D9*D13</f>
        <v>-215229.90407326177</v>
      </c>
      <c r="E17" s="71">
        <f t="shared" si="5"/>
        <v>-645353.09286144376</v>
      </c>
      <c r="F17" s="71">
        <f t="shared" si="5"/>
        <v>-860470.79048192501</v>
      </c>
      <c r="G17" s="71">
        <f t="shared" si="5"/>
        <v>-1720941.58096385</v>
      </c>
      <c r="H17" s="71">
        <f t="shared" si="5"/>
        <v>-2581412.371445775</v>
      </c>
    </row>
    <row r="18" spans="1:14" x14ac:dyDescent="0.3">
      <c r="A18" s="62" t="s">
        <v>68</v>
      </c>
      <c r="B18" s="63"/>
      <c r="C18" s="70">
        <f t="shared" si="3"/>
        <v>-19619272.613961238</v>
      </c>
      <c r="D18" s="71">
        <f t="shared" si="5"/>
        <v>-1033103.5395516563</v>
      </c>
      <c r="E18" s="71">
        <f t="shared" si="5"/>
        <v>-3097694.8457349301</v>
      </c>
      <c r="F18" s="71">
        <f t="shared" si="5"/>
        <v>-4130259.7943132403</v>
      </c>
      <c r="G18" s="71">
        <f t="shared" si="5"/>
        <v>-5162824.7428915501</v>
      </c>
      <c r="H18" s="71">
        <f t="shared" si="5"/>
        <v>-6195389.6914698603</v>
      </c>
    </row>
    <row r="19" spans="1:14" x14ac:dyDescent="0.3">
      <c r="A19" s="69" t="s">
        <v>44</v>
      </c>
      <c r="B19" s="63"/>
      <c r="C19" s="70">
        <f t="shared" si="3"/>
        <v>-27578739.632371821</v>
      </c>
      <c r="D19" s="70">
        <f>SUM(D16:D18)</f>
        <v>-1248333.4436249181</v>
      </c>
      <c r="E19" s="70">
        <f>SUM(E16:E18)</f>
        <v>-3872118.5571686625</v>
      </c>
      <c r="F19" s="70">
        <f>SUM(F16:F18)</f>
        <v>-5248871.8219397431</v>
      </c>
      <c r="G19" s="70">
        <f>SUM(G16:G18)</f>
        <v>-7400048.7981445547</v>
      </c>
      <c r="H19" s="70">
        <f>SUM(H16:H18)</f>
        <v>-9809367.0114939455</v>
      </c>
    </row>
    <row r="20" spans="1:14" x14ac:dyDescent="0.3">
      <c r="A20" s="69" t="s">
        <v>115</v>
      </c>
      <c r="B20" s="65"/>
      <c r="C20" s="79">
        <f t="shared" ref="C20:H20" si="6">C19/C6</f>
        <v>0.35609887664267509</v>
      </c>
      <c r="D20" s="79">
        <f t="shared" si="6"/>
        <v>0.14499999999999999</v>
      </c>
      <c r="E20" s="79">
        <f t="shared" si="6"/>
        <v>0.22500000000000001</v>
      </c>
      <c r="F20" s="79">
        <f t="shared" si="6"/>
        <v>0.30500000000000005</v>
      </c>
      <c r="G20" s="79">
        <f t="shared" si="6"/>
        <v>0.43</v>
      </c>
      <c r="H20" s="79">
        <f t="shared" si="6"/>
        <v>0.57000000000000006</v>
      </c>
    </row>
    <row r="21" spans="1:14" x14ac:dyDescent="0.3">
      <c r="B21" s="65"/>
      <c r="C21" s="79"/>
      <c r="D21" s="79"/>
      <c r="E21" s="79"/>
      <c r="F21" s="79"/>
      <c r="G21" s="79"/>
      <c r="H21" s="79"/>
    </row>
    <row r="22" spans="1:14" x14ac:dyDescent="0.3">
      <c r="A22" s="69" t="s">
        <v>69</v>
      </c>
      <c r="B22" s="65"/>
      <c r="C22" s="66"/>
    </row>
    <row r="23" spans="1:14" x14ac:dyDescent="0.3">
      <c r="A23" s="74" t="s">
        <v>70</v>
      </c>
      <c r="B23" s="65"/>
      <c r="C23" s="66"/>
      <c r="D23" s="63">
        <v>1</v>
      </c>
      <c r="E23" s="63">
        <v>1</v>
      </c>
      <c r="F23" s="63">
        <v>1</v>
      </c>
      <c r="G23" s="63">
        <v>1</v>
      </c>
      <c r="H23" s="63">
        <v>1</v>
      </c>
    </row>
    <row r="24" spans="1:14" x14ac:dyDescent="0.3">
      <c r="A24" s="62" t="s">
        <v>71</v>
      </c>
      <c r="B24" s="65"/>
      <c r="C24" s="65"/>
      <c r="D24" s="63">
        <v>0.5</v>
      </c>
      <c r="E24" s="63">
        <v>0.5</v>
      </c>
      <c r="F24" s="63">
        <v>1</v>
      </c>
      <c r="G24" s="63">
        <v>1</v>
      </c>
      <c r="H24" s="63">
        <v>1</v>
      </c>
    </row>
    <row r="25" spans="1:14" x14ac:dyDescent="0.3">
      <c r="A25" s="62" t="s">
        <v>72</v>
      </c>
      <c r="B25" s="65"/>
      <c r="C25" s="65"/>
      <c r="D25" s="63">
        <v>0</v>
      </c>
      <c r="E25" s="63">
        <v>0.33</v>
      </c>
      <c r="F25" s="63">
        <v>1</v>
      </c>
      <c r="G25" s="63">
        <v>1</v>
      </c>
      <c r="H25" s="63">
        <v>1</v>
      </c>
      <c r="J25" s="63"/>
      <c r="K25" s="63"/>
      <c r="L25" s="63"/>
      <c r="M25" s="63"/>
      <c r="N25" s="63"/>
    </row>
    <row r="26" spans="1:14" x14ac:dyDescent="0.3">
      <c r="A26" s="62" t="s">
        <v>73</v>
      </c>
      <c r="B26" s="65"/>
      <c r="C26" s="65"/>
      <c r="D26" s="63">
        <v>0</v>
      </c>
      <c r="E26" s="63">
        <v>0</v>
      </c>
      <c r="F26" s="63">
        <v>0.5</v>
      </c>
      <c r="G26" s="63">
        <v>0.75</v>
      </c>
      <c r="H26" s="63">
        <v>0.75</v>
      </c>
      <c r="J26" s="63"/>
      <c r="K26" s="63"/>
      <c r="L26" s="63"/>
      <c r="M26" s="63"/>
      <c r="N26" s="63"/>
    </row>
    <row r="27" spans="1:14" x14ac:dyDescent="0.3">
      <c r="A27" s="69" t="s">
        <v>116</v>
      </c>
      <c r="B27" s="65"/>
      <c r="C27" s="65"/>
      <c r="D27" s="63"/>
      <c r="E27" s="63"/>
      <c r="F27" s="63"/>
      <c r="G27" s="63"/>
      <c r="H27" s="63"/>
    </row>
    <row r="28" spans="1:14" x14ac:dyDescent="0.3">
      <c r="A28" s="62" t="s">
        <v>74</v>
      </c>
      <c r="B28" s="63"/>
      <c r="C28" s="70">
        <f t="shared" ref="C28:C31" si="7">SUM(D28:H28)</f>
        <v>-109125.86642478665</v>
      </c>
      <c r="D28" s="71">
        <f>D$19*D$23*$B$4</f>
        <v>-72750.577616524432</v>
      </c>
      <c r="E28" s="71">
        <f>D$19*D$24*$B$4</f>
        <v>-36375.288808262216</v>
      </c>
      <c r="F28" s="71"/>
      <c r="G28" s="71"/>
      <c r="H28" s="71"/>
    </row>
    <row r="29" spans="1:14" x14ac:dyDescent="0.3">
      <c r="A29" s="62" t="s">
        <v>75</v>
      </c>
      <c r="B29" s="63"/>
      <c r="C29" s="70">
        <f t="shared" si="7"/>
        <v>-412957.70727146644</v>
      </c>
      <c r="D29" s="71">
        <f>E$19*E$25*$B$4</f>
        <v>-74467.783278461167</v>
      </c>
      <c r="E29" s="71">
        <f>E$19*E$23*$B$4</f>
        <v>-225659.94932867019</v>
      </c>
      <c r="F29" s="71">
        <f>E$19*E$24*$B$4</f>
        <v>-112829.9746643351</v>
      </c>
      <c r="G29" s="71"/>
      <c r="H29" s="71"/>
    </row>
    <row r="30" spans="1:14" x14ac:dyDescent="0.3">
      <c r="A30" s="62" t="s">
        <v>76</v>
      </c>
      <c r="B30" s="63"/>
      <c r="C30" s="70">
        <f t="shared" si="7"/>
        <v>-1070631.0929260245</v>
      </c>
      <c r="D30" s="71">
        <f>F$19*F$26*$B$4</f>
        <v>-152947.29898943205</v>
      </c>
      <c r="E30" s="71">
        <f>F$19*F$25*$B$4</f>
        <v>-305894.5979788641</v>
      </c>
      <c r="F30" s="71">
        <f>F$19*F$23*$B$4</f>
        <v>-305894.5979788641</v>
      </c>
      <c r="G30" s="71">
        <f>F$19*F$24*$B$4</f>
        <v>-305894.5979788641</v>
      </c>
      <c r="H30" s="71"/>
    </row>
    <row r="31" spans="1:14" x14ac:dyDescent="0.3">
      <c r="A31" s="62" t="s">
        <v>77</v>
      </c>
      <c r="B31" s="63"/>
      <c r="C31" s="70">
        <f t="shared" si="7"/>
        <v>-1617229.6368554698</v>
      </c>
      <c r="D31" s="71"/>
      <c r="E31" s="71">
        <f>G$19*G$26*$B$4</f>
        <v>-323445.92737109389</v>
      </c>
      <c r="F31" s="71">
        <f>G$19*G$25*$B$4</f>
        <v>-431261.23649479193</v>
      </c>
      <c r="G31" s="71">
        <f>G$19*G$23*$B$4</f>
        <v>-431261.23649479193</v>
      </c>
      <c r="H31" s="71">
        <f>G$19*G$24*$B$4</f>
        <v>-431261.23649479193</v>
      </c>
    </row>
    <row r="32" spans="1:14" x14ac:dyDescent="0.3">
      <c r="A32" s="62" t="s">
        <v>78</v>
      </c>
      <c r="B32" s="63"/>
      <c r="C32" s="70">
        <f>SUM(D32:H32)</f>
        <v>-1572097.6469897358</v>
      </c>
      <c r="D32" s="71"/>
      <c r="E32" s="71"/>
      <c r="F32" s="71">
        <f>H$19*H$26*$B$4</f>
        <v>-428753.90372447344</v>
      </c>
      <c r="G32" s="71">
        <f>H$19*H$25*$B$4</f>
        <v>-571671.87163263117</v>
      </c>
      <c r="H32" s="71">
        <f>H$19*H$23*$B$4</f>
        <v>-571671.87163263117</v>
      </c>
    </row>
    <row r="33" spans="1:11" x14ac:dyDescent="0.3">
      <c r="A33" s="69" t="s">
        <v>117</v>
      </c>
      <c r="B33" s="63"/>
      <c r="C33" s="70">
        <f>SUM(D33:H33)</f>
        <v>-4782041.9504674822</v>
      </c>
      <c r="D33" s="70">
        <f>SUM(D28:D32)</f>
        <v>-300165.65988441766</v>
      </c>
      <c r="E33" s="70">
        <f>SUM(E28:E32)</f>
        <v>-891375.76348689036</v>
      </c>
      <c r="F33" s="70">
        <f>SUM(F28:F32)</f>
        <v>-1278739.7128624646</v>
      </c>
      <c r="G33" s="70">
        <f>SUM(G28:G32)</f>
        <v>-1308827.7061062872</v>
      </c>
      <c r="H33" s="70">
        <f>SUM(H28:H32)</f>
        <v>-1002933.1081274231</v>
      </c>
    </row>
    <row r="34" spans="1:11" x14ac:dyDescent="0.3">
      <c r="B34" s="63"/>
      <c r="C34" s="70"/>
      <c r="D34" s="71"/>
      <c r="E34" s="71"/>
      <c r="F34" s="71"/>
      <c r="G34" s="71"/>
      <c r="H34" s="71"/>
    </row>
    <row r="35" spans="1:11" x14ac:dyDescent="0.3">
      <c r="B35" s="63"/>
      <c r="C35" s="70"/>
      <c r="D35" s="71"/>
      <c r="E35" s="71"/>
      <c r="F35" s="71"/>
      <c r="G35" s="71"/>
      <c r="H35" s="71"/>
    </row>
    <row r="36" spans="1:11" x14ac:dyDescent="0.3">
      <c r="B36" s="63"/>
      <c r="C36" s="70"/>
      <c r="D36" s="71"/>
      <c r="E36" s="71"/>
      <c r="F36" s="71"/>
      <c r="G36" s="71"/>
      <c r="H36" s="71"/>
    </row>
    <row r="37" spans="1:11" x14ac:dyDescent="0.3">
      <c r="A37" s="69" t="s">
        <v>118</v>
      </c>
      <c r="B37" s="63"/>
      <c r="C37" s="71"/>
      <c r="D37" s="68" t="s">
        <v>4</v>
      </c>
      <c r="E37" s="68" t="s">
        <v>5</v>
      </c>
      <c r="F37" s="68" t="s">
        <v>6</v>
      </c>
      <c r="G37" s="68" t="s">
        <v>7</v>
      </c>
      <c r="H37" s="68" t="s">
        <v>8</v>
      </c>
      <c r="I37" s="68" t="s">
        <v>9</v>
      </c>
      <c r="J37" s="68" t="s">
        <v>10</v>
      </c>
      <c r="K37" s="68"/>
    </row>
    <row r="38" spans="1:11" x14ac:dyDescent="0.3">
      <c r="A38" s="62" t="s">
        <v>79</v>
      </c>
      <c r="B38" s="75" t="s">
        <v>80</v>
      </c>
      <c r="C38" s="70">
        <f t="shared" ref="C38:C47" si="8">SUM(D38:H38)</f>
        <v>-1248333.4436249181</v>
      </c>
      <c r="D38" s="71">
        <f>D19</f>
        <v>-1248333.4436249181</v>
      </c>
      <c r="E38" s="72">
        <v>0</v>
      </c>
      <c r="F38" s="72">
        <v>0</v>
      </c>
      <c r="G38" s="72">
        <v>0</v>
      </c>
      <c r="H38" s="72">
        <v>0</v>
      </c>
    </row>
    <row r="39" spans="1:11" x14ac:dyDescent="0.3">
      <c r="B39" s="64" t="s">
        <v>81</v>
      </c>
      <c r="C39" s="70">
        <f t="shared" si="8"/>
        <v>-1248333.4436249181</v>
      </c>
      <c r="D39" s="72">
        <v>0</v>
      </c>
      <c r="E39" s="71">
        <f>D38/2</f>
        <v>-624166.72181245906</v>
      </c>
      <c r="F39" s="71">
        <f>D38-E39</f>
        <v>-624166.72181245906</v>
      </c>
      <c r="G39" s="72">
        <v>0</v>
      </c>
      <c r="H39" s="72">
        <v>0</v>
      </c>
    </row>
    <row r="40" spans="1:11" x14ac:dyDescent="0.3">
      <c r="A40" s="62" t="s">
        <v>82</v>
      </c>
      <c r="B40" s="75" t="s">
        <v>80</v>
      </c>
      <c r="C40" s="70">
        <f t="shared" si="8"/>
        <v>-3872118.5571686625</v>
      </c>
      <c r="D40" s="72"/>
      <c r="E40" s="71">
        <f>E19</f>
        <v>-3872118.5571686625</v>
      </c>
      <c r="F40" s="72">
        <v>0</v>
      </c>
      <c r="G40" s="72">
        <v>0</v>
      </c>
      <c r="H40" s="72">
        <v>0</v>
      </c>
    </row>
    <row r="41" spans="1:11" x14ac:dyDescent="0.3">
      <c r="B41" s="64" t="s">
        <v>81</v>
      </c>
      <c r="C41" s="70">
        <f t="shared" si="8"/>
        <v>-3872118.5571686625</v>
      </c>
      <c r="D41" s="72"/>
      <c r="E41" s="72">
        <v>0</v>
      </c>
      <c r="F41" s="71">
        <f>E40/2</f>
        <v>-1936059.2785843313</v>
      </c>
      <c r="G41" s="71">
        <f>E40-F41</f>
        <v>-1936059.2785843313</v>
      </c>
      <c r="H41" s="72">
        <v>0</v>
      </c>
    </row>
    <row r="42" spans="1:11" x14ac:dyDescent="0.3">
      <c r="A42" s="62" t="s">
        <v>83</v>
      </c>
      <c r="B42" s="75" t="s">
        <v>80</v>
      </c>
      <c r="C42" s="70">
        <f t="shared" si="8"/>
        <v>-5248871.8219397431</v>
      </c>
      <c r="D42" s="72"/>
      <c r="E42" s="71"/>
      <c r="F42" s="71">
        <f>F19</f>
        <v>-5248871.8219397431</v>
      </c>
      <c r="G42" s="72">
        <v>0</v>
      </c>
      <c r="H42" s="72">
        <v>0</v>
      </c>
    </row>
    <row r="43" spans="1:11" x14ac:dyDescent="0.3">
      <c r="B43" s="64" t="s">
        <v>81</v>
      </c>
      <c r="C43" s="70">
        <f t="shared" si="8"/>
        <v>-5248871.8219397431</v>
      </c>
      <c r="D43" s="72"/>
      <c r="E43" s="72"/>
      <c r="F43" s="72">
        <v>0</v>
      </c>
      <c r="G43" s="72">
        <v>0</v>
      </c>
      <c r="H43" s="71">
        <f>F42-G43</f>
        <v>-5248871.8219397431</v>
      </c>
    </row>
    <row r="44" spans="1:11" x14ac:dyDescent="0.3">
      <c r="A44" s="62" t="s">
        <v>84</v>
      </c>
      <c r="B44" s="75" t="s">
        <v>80</v>
      </c>
      <c r="C44" s="70">
        <f t="shared" si="8"/>
        <v>-7400048.7981445547</v>
      </c>
      <c r="D44" s="72"/>
      <c r="E44" s="71"/>
      <c r="F44" s="71"/>
      <c r="G44" s="71">
        <f>G19</f>
        <v>-7400048.7981445547</v>
      </c>
      <c r="H44" s="72">
        <v>0</v>
      </c>
    </row>
    <row r="45" spans="1:11" x14ac:dyDescent="0.3">
      <c r="B45" s="64" t="s">
        <v>81</v>
      </c>
      <c r="C45" s="70">
        <f t="shared" si="8"/>
        <v>0</v>
      </c>
      <c r="D45" s="72"/>
      <c r="E45" s="72"/>
      <c r="F45" s="72"/>
      <c r="G45" s="72">
        <v>0</v>
      </c>
      <c r="H45" s="72">
        <v>0</v>
      </c>
      <c r="I45" s="71">
        <f>G44-H45</f>
        <v>-7400048.7981445547</v>
      </c>
    </row>
    <row r="46" spans="1:11" x14ac:dyDescent="0.3">
      <c r="A46" s="62" t="s">
        <v>85</v>
      </c>
      <c r="B46" s="75" t="s">
        <v>80</v>
      </c>
      <c r="C46" s="70">
        <f t="shared" si="8"/>
        <v>-9809367.0114939455</v>
      </c>
      <c r="D46" s="72"/>
      <c r="E46" s="71"/>
      <c r="F46" s="71"/>
      <c r="G46" s="71"/>
      <c r="H46" s="71">
        <f>H19</f>
        <v>-9809367.0114939455</v>
      </c>
      <c r="I46" s="76"/>
    </row>
    <row r="47" spans="1:11" x14ac:dyDescent="0.3">
      <c r="B47" s="64" t="s">
        <v>81</v>
      </c>
      <c r="C47" s="70">
        <f t="shared" si="8"/>
        <v>0</v>
      </c>
      <c r="D47" s="72"/>
      <c r="E47" s="72"/>
      <c r="F47" s="72"/>
      <c r="G47" s="72"/>
      <c r="H47" s="72">
        <v>0</v>
      </c>
      <c r="I47" s="72">
        <v>0</v>
      </c>
      <c r="J47" s="71">
        <f>H46-I47</f>
        <v>-9809367.0114939455</v>
      </c>
    </row>
    <row r="48" spans="1:11" x14ac:dyDescent="0.3">
      <c r="A48" s="62" t="s">
        <v>44</v>
      </c>
      <c r="B48" s="75" t="s">
        <v>80</v>
      </c>
      <c r="C48" s="70">
        <f>C38+C40+C42+C44+C46</f>
        <v>-27578739.632371821</v>
      </c>
      <c r="D48" s="70">
        <f>D38+D40+D42+D44+D46</f>
        <v>-1248333.4436249181</v>
      </c>
      <c r="E48" s="70">
        <f t="shared" ref="E48:J49" si="9">E38+E40+E42+E44+E46</f>
        <v>-3872118.5571686625</v>
      </c>
      <c r="F48" s="70">
        <f t="shared" si="9"/>
        <v>-5248871.8219397431</v>
      </c>
      <c r="G48" s="70">
        <f t="shared" si="9"/>
        <v>-7400048.7981445547</v>
      </c>
      <c r="H48" s="70">
        <f t="shared" si="9"/>
        <v>-9809367.0114939455</v>
      </c>
      <c r="I48" s="70">
        <f t="shared" si="9"/>
        <v>0</v>
      </c>
      <c r="J48" s="70">
        <f t="shared" si="9"/>
        <v>0</v>
      </c>
    </row>
    <row r="49" spans="1:10" x14ac:dyDescent="0.3">
      <c r="B49" s="64" t="s">
        <v>81</v>
      </c>
      <c r="C49" s="70">
        <f>C39+C41+C43+C45+C47</f>
        <v>-10369323.822733324</v>
      </c>
      <c r="D49" s="70">
        <f>D39+D41+D43+D45+D47</f>
        <v>0</v>
      </c>
      <c r="E49" s="70">
        <f t="shared" si="9"/>
        <v>-624166.72181245906</v>
      </c>
      <c r="F49" s="70">
        <f t="shared" si="9"/>
        <v>-2560226.0003967904</v>
      </c>
      <c r="G49" s="70">
        <f t="shared" si="9"/>
        <v>-1936059.2785843313</v>
      </c>
      <c r="H49" s="70">
        <f t="shared" si="9"/>
        <v>-5248871.8219397431</v>
      </c>
      <c r="I49" s="70">
        <f t="shared" si="9"/>
        <v>-7400048.7981445547</v>
      </c>
      <c r="J49" s="70">
        <f t="shared" si="9"/>
        <v>-9809367.0114939455</v>
      </c>
    </row>
    <row r="50" spans="1:10" x14ac:dyDescent="0.3">
      <c r="B50" s="75" t="s">
        <v>86</v>
      </c>
      <c r="C50" s="70">
        <f t="shared" ref="C50" si="10">SUM(D50:H50)</f>
        <v>17209415.8096385</v>
      </c>
      <c r="D50" s="70">
        <f>D49-D48</f>
        <v>1248333.4436249181</v>
      </c>
      <c r="E50" s="70">
        <f t="shared" ref="E50:H50" si="11">E49-E48</f>
        <v>3247951.8353562034</v>
      </c>
      <c r="F50" s="70">
        <f t="shared" si="11"/>
        <v>2688645.8215429527</v>
      </c>
      <c r="G50" s="70">
        <f t="shared" si="11"/>
        <v>5463989.5195602234</v>
      </c>
      <c r="H50" s="70">
        <f t="shared" si="11"/>
        <v>4560495.1895542024</v>
      </c>
    </row>
    <row r="52" spans="1:10" x14ac:dyDescent="0.3">
      <c r="A52" s="69" t="s">
        <v>87</v>
      </c>
      <c r="C52" s="70">
        <f t="shared" ref="C52" si="12">SUM(D52:H52)</f>
        <v>-60237443.591845959</v>
      </c>
      <c r="D52" s="70">
        <f t="shared" ref="D52:J52" si="13">D6-D19+D49</f>
        <v>-7360862.7193055516</v>
      </c>
      <c r="E52" s="70">
        <f t="shared" si="13"/>
        <v>-13961463.974282296</v>
      </c>
      <c r="F52" s="70">
        <f t="shared" si="13"/>
        <v>-14520769.988095546</v>
      </c>
      <c r="G52" s="70">
        <f t="shared" si="13"/>
        <v>-11745426.290078277</v>
      </c>
      <c r="H52" s="70">
        <f t="shared" si="13"/>
        <v>-12648920.620084297</v>
      </c>
      <c r="I52" s="70">
        <f t="shared" si="13"/>
        <v>-7400048.7981445547</v>
      </c>
      <c r="J52" s="70">
        <f t="shared" si="13"/>
        <v>-9809367.0114939455</v>
      </c>
    </row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7"/>
  <sheetViews>
    <sheetView workbookViewId="0">
      <selection activeCell="B12" sqref="B12"/>
    </sheetView>
  </sheetViews>
  <sheetFormatPr defaultRowHeight="15" x14ac:dyDescent="0.25"/>
  <sheetData>
    <row r="1" spans="1:16" ht="15.6" x14ac:dyDescent="0.3">
      <c r="A1" s="22" t="s">
        <v>105</v>
      </c>
    </row>
    <row r="2" spans="1:16" ht="15.6" x14ac:dyDescent="0.3">
      <c r="A2" s="42"/>
    </row>
    <row r="3" spans="1:16" ht="15.6" x14ac:dyDescent="0.3">
      <c r="A3" s="22" t="s">
        <v>107</v>
      </c>
    </row>
    <row r="4" spans="1:16" ht="15.6" x14ac:dyDescent="0.3">
      <c r="A4" s="91" t="s">
        <v>106</v>
      </c>
    </row>
    <row r="5" spans="1:16" ht="15.6" x14ac:dyDescent="0.3">
      <c r="A5" s="80" t="s">
        <v>1</v>
      </c>
      <c r="B5" s="80" t="s">
        <v>2</v>
      </c>
      <c r="C5" s="80" t="s">
        <v>3</v>
      </c>
      <c r="D5" s="80" t="s">
        <v>4</v>
      </c>
      <c r="E5" s="80" t="s">
        <v>5</v>
      </c>
      <c r="F5" s="80" t="s">
        <v>6</v>
      </c>
      <c r="G5" s="80" t="s">
        <v>7</v>
      </c>
      <c r="H5" s="80" t="s">
        <v>8</v>
      </c>
      <c r="I5" s="80" t="s">
        <v>9</v>
      </c>
      <c r="J5" s="80" t="s">
        <v>10</v>
      </c>
      <c r="K5" s="80" t="s">
        <v>11</v>
      </c>
      <c r="L5" s="80" t="s">
        <v>12</v>
      </c>
      <c r="M5" s="80" t="s">
        <v>13</v>
      </c>
      <c r="N5" s="80" t="s">
        <v>14</v>
      </c>
      <c r="O5" s="80" t="s">
        <v>15</v>
      </c>
    </row>
    <row r="6" spans="1:16" ht="15.6" x14ac:dyDescent="0.3">
      <c r="A6" s="47">
        <v>0.05</v>
      </c>
      <c r="B6" s="48">
        <f t="shared" ref="B6:M6" si="0">(A6+($N6-$A6)/13)</f>
        <v>6.1538461538461542E-2</v>
      </c>
      <c r="C6" s="48">
        <f t="shared" si="0"/>
        <v>7.3076923076923081E-2</v>
      </c>
      <c r="D6" s="48">
        <f t="shared" si="0"/>
        <v>8.461538461538462E-2</v>
      </c>
      <c r="E6" s="48">
        <f t="shared" si="0"/>
        <v>9.6153846153846159E-2</v>
      </c>
      <c r="F6" s="48">
        <f t="shared" si="0"/>
        <v>0.1076923076923077</v>
      </c>
      <c r="G6" s="48">
        <f t="shared" si="0"/>
        <v>0.11923076923076924</v>
      </c>
      <c r="H6" s="48">
        <f t="shared" si="0"/>
        <v>0.13076923076923078</v>
      </c>
      <c r="I6" s="48">
        <f t="shared" si="0"/>
        <v>0.14230769230769233</v>
      </c>
      <c r="J6" s="48">
        <f t="shared" si="0"/>
        <v>0.15384615384615388</v>
      </c>
      <c r="K6" s="48">
        <f t="shared" si="0"/>
        <v>0.16538461538461544</v>
      </c>
      <c r="L6" s="48">
        <f t="shared" si="0"/>
        <v>0.17692307692307699</v>
      </c>
      <c r="M6" s="48">
        <f t="shared" si="0"/>
        <v>0.18846153846153854</v>
      </c>
      <c r="N6" s="47">
        <v>0.2</v>
      </c>
      <c r="O6" s="48">
        <f>(N6+($N6-$A6)/13)</f>
        <v>0.21153846153846156</v>
      </c>
      <c r="P6" s="48"/>
    </row>
    <row r="7" spans="1:16" ht="15.6" x14ac:dyDescent="0.3">
      <c r="A7" s="42"/>
      <c r="B7" s="47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7"/>
      <c r="P7" s="48"/>
    </row>
    <row r="8" spans="1:16" ht="15.6" x14ac:dyDescent="0.3">
      <c r="A8" s="22" t="s">
        <v>111</v>
      </c>
      <c r="B8" s="47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7"/>
      <c r="P8" s="48"/>
    </row>
    <row r="9" spans="1:16" ht="15.6" x14ac:dyDescent="0.3">
      <c r="A9" s="87" t="s">
        <v>109</v>
      </c>
      <c r="C9" s="47">
        <v>0.8</v>
      </c>
      <c r="D9" s="91" t="s">
        <v>108</v>
      </c>
    </row>
    <row r="10" spans="1:16" ht="15.6" x14ac:dyDescent="0.3">
      <c r="A10" s="87" t="s">
        <v>110</v>
      </c>
      <c r="C10" s="47">
        <v>0.2</v>
      </c>
      <c r="D10" s="91"/>
    </row>
    <row r="11" spans="1:16" ht="15.6" x14ac:dyDescent="0.3">
      <c r="A11" s="87"/>
      <c r="C11" s="47"/>
      <c r="D11" s="91"/>
    </row>
    <row r="12" spans="1:16" ht="15.6" x14ac:dyDescent="0.3">
      <c r="A12" s="22" t="s">
        <v>41</v>
      </c>
      <c r="B12" s="3" t="s">
        <v>119</v>
      </c>
      <c r="C12" s="47"/>
      <c r="D12" s="91"/>
    </row>
    <row r="13" spans="1:16" ht="15.6" x14ac:dyDescent="0.3">
      <c r="C13" s="80" t="s">
        <v>3</v>
      </c>
      <c r="D13" s="80" t="s">
        <v>4</v>
      </c>
      <c r="E13" s="80" t="s">
        <v>5</v>
      </c>
      <c r="F13" s="80" t="s">
        <v>6</v>
      </c>
      <c r="G13" s="80" t="s">
        <v>7</v>
      </c>
      <c r="H13" s="80" t="s">
        <v>8</v>
      </c>
      <c r="I13" s="80" t="s">
        <v>9</v>
      </c>
      <c r="J13" s="80" t="s">
        <v>10</v>
      </c>
      <c r="K13" s="80" t="s">
        <v>11</v>
      </c>
      <c r="L13" s="80" t="s">
        <v>12</v>
      </c>
      <c r="M13" s="80" t="s">
        <v>13</v>
      </c>
      <c r="N13" s="80" t="s">
        <v>14</v>
      </c>
      <c r="O13" s="80" t="s">
        <v>15</v>
      </c>
    </row>
    <row r="14" spans="1:16" ht="15.6" x14ac:dyDescent="0.3">
      <c r="A14" s="87" t="s">
        <v>109</v>
      </c>
      <c r="B14" s="37"/>
      <c r="C14" s="38">
        <v>800</v>
      </c>
      <c r="D14" s="39">
        <f t="shared" ref="D14:O14" si="1">C14*0.95</f>
        <v>760</v>
      </c>
      <c r="E14" s="39">
        <f t="shared" si="1"/>
        <v>722</v>
      </c>
      <c r="F14" s="39">
        <f t="shared" si="1"/>
        <v>685.9</v>
      </c>
      <c r="G14" s="39">
        <f t="shared" si="1"/>
        <v>651.6049999999999</v>
      </c>
      <c r="H14" s="39">
        <f t="shared" si="1"/>
        <v>619.02474999999993</v>
      </c>
      <c r="I14" s="39">
        <f t="shared" si="1"/>
        <v>588.07351249999988</v>
      </c>
      <c r="J14" s="39">
        <f t="shared" si="1"/>
        <v>558.66983687499987</v>
      </c>
      <c r="K14" s="39">
        <f t="shared" si="1"/>
        <v>530.73634503124981</v>
      </c>
      <c r="L14" s="39">
        <f t="shared" si="1"/>
        <v>504.19952777968729</v>
      </c>
      <c r="M14" s="39">
        <f t="shared" si="1"/>
        <v>478.9895513907029</v>
      </c>
      <c r="N14" s="39">
        <f t="shared" si="1"/>
        <v>455.04007382116771</v>
      </c>
      <c r="O14" s="39">
        <f t="shared" si="1"/>
        <v>432.2880701301093</v>
      </c>
    </row>
    <row r="15" spans="1:16" ht="15.6" x14ac:dyDescent="0.3">
      <c r="A15" s="87" t="s">
        <v>110</v>
      </c>
      <c r="B15" s="40"/>
      <c r="C15" s="38">
        <v>200</v>
      </c>
      <c r="D15" s="39">
        <f t="shared" ref="D15:O15" si="2">C15*0.95</f>
        <v>190</v>
      </c>
      <c r="E15" s="39">
        <f t="shared" si="2"/>
        <v>180.5</v>
      </c>
      <c r="F15" s="39">
        <f t="shared" si="2"/>
        <v>171.47499999999999</v>
      </c>
      <c r="G15" s="39">
        <f t="shared" si="2"/>
        <v>162.90124999999998</v>
      </c>
      <c r="H15" s="39">
        <f t="shared" si="2"/>
        <v>154.75618749999998</v>
      </c>
      <c r="I15" s="39">
        <f t="shared" si="2"/>
        <v>147.01837812499997</v>
      </c>
      <c r="J15" s="39">
        <f t="shared" si="2"/>
        <v>139.66745921874997</v>
      </c>
      <c r="K15" s="39">
        <f t="shared" si="2"/>
        <v>132.68408625781245</v>
      </c>
      <c r="L15" s="39">
        <f t="shared" si="2"/>
        <v>126.04988194492182</v>
      </c>
      <c r="M15" s="39">
        <f t="shared" si="2"/>
        <v>119.74738784767572</v>
      </c>
      <c r="N15" s="39">
        <f t="shared" si="2"/>
        <v>113.76001845529193</v>
      </c>
      <c r="O15" s="39">
        <f t="shared" si="2"/>
        <v>108.07201753252733</v>
      </c>
    </row>
    <row r="17" spans="1:1" ht="15.6" x14ac:dyDescent="0.3">
      <c r="A17" s="91" t="s">
        <v>112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B54"/>
  <sheetViews>
    <sheetView zoomScale="85" zoomScaleNormal="85" workbookViewId="0">
      <selection activeCell="B1" sqref="B1"/>
    </sheetView>
  </sheetViews>
  <sheetFormatPr defaultColWidth="8.90625" defaultRowHeight="13.8" x14ac:dyDescent="0.3"/>
  <cols>
    <col min="1" max="1" width="20" style="3" customWidth="1"/>
    <col min="2" max="2" width="8.90625" style="3" customWidth="1"/>
    <col min="3" max="3" width="9.36328125" style="2" customWidth="1"/>
    <col min="4" max="4" width="7.08984375" style="3" bestFit="1" customWidth="1"/>
    <col min="5" max="8" width="8.1796875" style="3" customWidth="1"/>
    <col min="9" max="9" width="9.90625" style="3" customWidth="1"/>
    <col min="10" max="10" width="8" style="3" bestFit="1" customWidth="1"/>
    <col min="11" max="11" width="9.90625" style="3" customWidth="1"/>
    <col min="12" max="18" width="7.54296875" style="3" bestFit="1" customWidth="1"/>
    <col min="19" max="19" width="7.1796875" style="3" bestFit="1" customWidth="1"/>
    <col min="20" max="20" width="8.36328125" style="3" bestFit="1" customWidth="1"/>
    <col min="21" max="21" width="7.54296875" style="3" bestFit="1" customWidth="1"/>
    <col min="22" max="16384" width="8.90625" style="3"/>
  </cols>
  <sheetData>
    <row r="1" spans="1:28" x14ac:dyDescent="0.3">
      <c r="A1" s="1" t="s">
        <v>104</v>
      </c>
      <c r="B1" s="3" t="s">
        <v>119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8" x14ac:dyDescent="0.3">
      <c r="A2" s="3" t="s">
        <v>0</v>
      </c>
      <c r="B2" s="4">
        <v>0.05</v>
      </c>
      <c r="D2" s="80" t="s">
        <v>1</v>
      </c>
      <c r="E2" s="80" t="s">
        <v>2</v>
      </c>
      <c r="F2" s="80" t="s">
        <v>3</v>
      </c>
      <c r="G2" s="80" t="s">
        <v>4</v>
      </c>
      <c r="H2" s="80" t="s">
        <v>5</v>
      </c>
      <c r="I2" s="80" t="s">
        <v>6</v>
      </c>
      <c r="J2" s="80" t="s">
        <v>7</v>
      </c>
      <c r="K2" s="80" t="s">
        <v>8</v>
      </c>
      <c r="L2" s="80" t="s">
        <v>9</v>
      </c>
      <c r="M2" s="80" t="s">
        <v>10</v>
      </c>
      <c r="N2" s="80" t="s">
        <v>11</v>
      </c>
      <c r="O2" s="80" t="s">
        <v>12</v>
      </c>
      <c r="P2" s="80" t="s">
        <v>13</v>
      </c>
      <c r="Q2" s="80" t="s">
        <v>14</v>
      </c>
      <c r="R2" s="80" t="s">
        <v>15</v>
      </c>
      <c r="S2" s="80" t="s">
        <v>16</v>
      </c>
      <c r="T2" s="80" t="s">
        <v>17</v>
      </c>
      <c r="U2" s="80" t="s">
        <v>18</v>
      </c>
      <c r="V2" s="80" t="s">
        <v>19</v>
      </c>
      <c r="W2" s="80" t="s">
        <v>20</v>
      </c>
      <c r="X2" s="80" t="s">
        <v>21</v>
      </c>
      <c r="Y2" s="6"/>
      <c r="Z2" s="6"/>
      <c r="AA2" s="6"/>
      <c r="AB2" s="6"/>
    </row>
    <row r="3" spans="1:28" x14ac:dyDescent="0.3">
      <c r="A3" s="3" t="s">
        <v>22</v>
      </c>
      <c r="B3" s="83">
        <f>SUM(D3:W3)</f>
        <v>-23529949.453014001</v>
      </c>
      <c r="C3" s="29" t="s">
        <v>121</v>
      </c>
      <c r="D3" s="36">
        <v>0</v>
      </c>
      <c r="E3" s="36">
        <v>-171675.95650840001</v>
      </c>
      <c r="F3" s="36">
        <v>-2389413.6308733001</v>
      </c>
      <c r="G3" s="36">
        <v>-10297207.188030601</v>
      </c>
      <c r="H3" s="36">
        <v>-9185130.1495555993</v>
      </c>
      <c r="I3" s="36">
        <v>-1486522.5280460999</v>
      </c>
      <c r="J3" s="36">
        <v>0</v>
      </c>
      <c r="K3" s="36">
        <v>0</v>
      </c>
      <c r="L3" s="36">
        <v>0</v>
      </c>
      <c r="M3" s="36">
        <v>0</v>
      </c>
      <c r="N3" s="36">
        <v>0</v>
      </c>
      <c r="O3" s="36">
        <v>0</v>
      </c>
      <c r="P3" s="36">
        <v>0</v>
      </c>
      <c r="Q3" s="36">
        <v>0</v>
      </c>
      <c r="R3" s="36">
        <v>0</v>
      </c>
      <c r="S3" s="36">
        <v>0</v>
      </c>
      <c r="T3" s="36">
        <v>0</v>
      </c>
      <c r="U3" s="36">
        <v>0</v>
      </c>
      <c r="V3" s="36">
        <v>0</v>
      </c>
      <c r="W3" s="36">
        <v>0</v>
      </c>
      <c r="X3" s="36">
        <v>0</v>
      </c>
    </row>
    <row r="4" spans="1:28" x14ac:dyDescent="0.3">
      <c r="B4" s="83">
        <f>SUM(D4:W4)</f>
        <v>-21706928.085971102</v>
      </c>
      <c r="C4" s="29" t="s">
        <v>122</v>
      </c>
      <c r="D4" s="36">
        <v>0</v>
      </c>
      <c r="E4" s="36">
        <v>0</v>
      </c>
      <c r="F4" s="36">
        <v>0</v>
      </c>
      <c r="G4" s="36">
        <v>0</v>
      </c>
      <c r="H4" s="36">
        <v>-86819.687034400005</v>
      </c>
      <c r="I4" s="36">
        <v>-1068758.0750555999</v>
      </c>
      <c r="J4" s="36">
        <v>-5644467.1571434001</v>
      </c>
      <c r="K4" s="36">
        <v>-13369468.492673401</v>
      </c>
      <c r="L4" s="36">
        <v>-1537414.6740643</v>
      </c>
      <c r="M4" s="36">
        <v>0</v>
      </c>
      <c r="N4" s="36">
        <v>0</v>
      </c>
      <c r="O4" s="36">
        <v>0</v>
      </c>
      <c r="P4" s="36">
        <v>0</v>
      </c>
      <c r="Q4" s="36">
        <v>0</v>
      </c>
      <c r="R4" s="36">
        <v>0</v>
      </c>
      <c r="S4" s="36">
        <v>0</v>
      </c>
      <c r="T4" s="36">
        <v>0</v>
      </c>
      <c r="U4" s="36">
        <v>0</v>
      </c>
      <c r="V4" s="36">
        <v>0</v>
      </c>
      <c r="W4" s="36">
        <v>0</v>
      </c>
      <c r="X4" s="36">
        <v>0</v>
      </c>
    </row>
    <row r="5" spans="1:28" x14ac:dyDescent="0.3">
      <c r="A5" s="3" t="s">
        <v>23</v>
      </c>
      <c r="B5" s="36">
        <v>1171535.5100983046</v>
      </c>
    </row>
    <row r="6" spans="1:28" x14ac:dyDescent="0.3">
      <c r="A6" s="3" t="s">
        <v>24</v>
      </c>
      <c r="B6" s="8">
        <v>40</v>
      </c>
      <c r="D6" s="94"/>
    </row>
    <row r="7" spans="1:28" x14ac:dyDescent="0.3">
      <c r="C7" s="7"/>
    </row>
    <row r="8" spans="1:28" x14ac:dyDescent="0.3">
      <c r="A8" s="10" t="s">
        <v>25</v>
      </c>
      <c r="B8" s="10"/>
      <c r="C8" s="11"/>
      <c r="D8" s="80" t="s">
        <v>1</v>
      </c>
      <c r="E8" s="80" t="s">
        <v>2</v>
      </c>
      <c r="F8" s="80" t="s">
        <v>3</v>
      </c>
      <c r="G8" s="80" t="s">
        <v>4</v>
      </c>
      <c r="H8" s="80" t="s">
        <v>5</v>
      </c>
      <c r="I8" s="80" t="s">
        <v>6</v>
      </c>
      <c r="J8" s="80" t="s">
        <v>7</v>
      </c>
      <c r="K8" s="80" t="s">
        <v>8</v>
      </c>
      <c r="L8" s="80" t="s">
        <v>9</v>
      </c>
      <c r="M8" s="80" t="s">
        <v>10</v>
      </c>
      <c r="N8" s="80" t="s">
        <v>11</v>
      </c>
      <c r="O8" s="80" t="s">
        <v>12</v>
      </c>
      <c r="P8" s="80" t="s">
        <v>13</v>
      </c>
      <c r="Q8" s="80" t="s">
        <v>14</v>
      </c>
      <c r="R8" s="80" t="s">
        <v>15</v>
      </c>
      <c r="S8" s="80" t="s">
        <v>16</v>
      </c>
      <c r="T8" s="80" t="s">
        <v>17</v>
      </c>
      <c r="U8" s="80" t="s">
        <v>18</v>
      </c>
      <c r="V8" s="80" t="s">
        <v>19</v>
      </c>
      <c r="W8" s="80" t="s">
        <v>20</v>
      </c>
      <c r="X8" s="80" t="s">
        <v>21</v>
      </c>
    </row>
    <row r="9" spans="1:28" x14ac:dyDescent="0.3">
      <c r="A9" s="3" t="s">
        <v>26</v>
      </c>
      <c r="D9" s="36">
        <v>839269.0703125</v>
      </c>
      <c r="E9" s="36">
        <v>1017683.8984375</v>
      </c>
      <c r="F9" s="36">
        <v>1074442.25390625</v>
      </c>
      <c r="G9" s="36">
        <v>1159259.6796875</v>
      </c>
      <c r="H9" s="36">
        <v>1307897.2265625</v>
      </c>
      <c r="I9" s="36">
        <v>1482941.078125</v>
      </c>
      <c r="J9" s="36">
        <v>1698558.3125</v>
      </c>
      <c r="K9" s="36">
        <v>1941530.7265625</v>
      </c>
      <c r="L9" s="36">
        <v>2211113.5</v>
      </c>
      <c r="M9" s="36">
        <v>2564206.5078125</v>
      </c>
      <c r="N9" s="36">
        <v>2999337.25</v>
      </c>
      <c r="O9" s="36">
        <v>3498552.171875</v>
      </c>
      <c r="P9" s="36">
        <v>4032450.4140625</v>
      </c>
      <c r="Q9" s="36">
        <v>4600329.5625</v>
      </c>
      <c r="R9" s="36">
        <v>5209431.40625</v>
      </c>
      <c r="S9" s="36">
        <v>5922191.625</v>
      </c>
      <c r="T9" s="36">
        <v>6758792.84375</v>
      </c>
      <c r="U9" s="36">
        <v>7710203.078125</v>
      </c>
      <c r="V9" s="36">
        <v>8791945.265625</v>
      </c>
      <c r="W9" s="36">
        <v>10030241.203125</v>
      </c>
      <c r="X9" s="36">
        <v>11444877.109375</v>
      </c>
    </row>
    <row r="10" spans="1:28" x14ac:dyDescent="0.3">
      <c r="A10" s="3" t="s">
        <v>27</v>
      </c>
      <c r="D10" s="36">
        <v>162779</v>
      </c>
      <c r="E10" s="36">
        <v>176376</v>
      </c>
      <c r="F10" s="36">
        <v>190888</v>
      </c>
      <c r="G10" s="36">
        <v>206360</v>
      </c>
      <c r="H10" s="36">
        <v>222839</v>
      </c>
      <c r="I10" s="36">
        <v>240374</v>
      </c>
      <c r="J10" s="36">
        <v>259016</v>
      </c>
      <c r="K10" s="36">
        <v>278816</v>
      </c>
      <c r="L10" s="36">
        <v>299828</v>
      </c>
      <c r="M10" s="36">
        <v>322108</v>
      </c>
      <c r="N10" s="36">
        <v>345712</v>
      </c>
      <c r="O10" s="36">
        <v>370699</v>
      </c>
      <c r="P10" s="36">
        <v>397130</v>
      </c>
      <c r="Q10" s="36">
        <v>425066</v>
      </c>
      <c r="R10" s="36">
        <v>454573</v>
      </c>
      <c r="S10" s="36">
        <v>485714</v>
      </c>
      <c r="T10" s="36">
        <v>518559</v>
      </c>
      <c r="U10" s="36">
        <v>553176</v>
      </c>
      <c r="V10" s="36">
        <v>589637</v>
      </c>
      <c r="W10" s="36">
        <v>628016</v>
      </c>
      <c r="X10" s="36">
        <v>668387</v>
      </c>
    </row>
    <row r="11" spans="1:28" x14ac:dyDescent="0.3">
      <c r="A11" s="10" t="s">
        <v>28</v>
      </c>
      <c r="B11" s="10"/>
      <c r="C11" s="13"/>
      <c r="D11" s="54">
        <v>51018.5546875</v>
      </c>
      <c r="E11" s="54">
        <v>55317.9765625</v>
      </c>
      <c r="F11" s="54">
        <v>59906.49609375</v>
      </c>
      <c r="G11" s="54">
        <v>64798.5703125</v>
      </c>
      <c r="H11" s="54">
        <v>70009.1484375</v>
      </c>
      <c r="I11" s="54">
        <v>75553.671875</v>
      </c>
      <c r="J11" s="54">
        <v>81448.0625</v>
      </c>
      <c r="K11" s="54">
        <v>87708.7734375</v>
      </c>
      <c r="L11" s="54">
        <v>94352.75</v>
      </c>
      <c r="M11" s="54">
        <v>101397.4921875</v>
      </c>
      <c r="N11" s="54">
        <v>108861</v>
      </c>
      <c r="O11" s="54">
        <v>116761.828125</v>
      </c>
      <c r="P11" s="54">
        <v>125119.0859375</v>
      </c>
      <c r="Q11" s="54">
        <v>133952.4375</v>
      </c>
      <c r="R11" s="54">
        <v>143282.09375</v>
      </c>
      <c r="S11" s="54">
        <v>153128.875</v>
      </c>
      <c r="T11" s="54">
        <v>163514.15625</v>
      </c>
      <c r="U11" s="54">
        <v>174459.921875</v>
      </c>
      <c r="V11" s="54">
        <v>185988.734375</v>
      </c>
      <c r="W11" s="54">
        <v>198123.796875</v>
      </c>
      <c r="X11" s="54">
        <v>210888.890625</v>
      </c>
    </row>
    <row r="12" spans="1:28" x14ac:dyDescent="0.3">
      <c r="A12" s="14" t="s">
        <v>29</v>
      </c>
      <c r="B12" s="14"/>
      <c r="C12" s="15"/>
      <c r="D12" s="83">
        <f>SUM(D9:D11)</f>
        <v>1053066.625</v>
      </c>
      <c r="E12" s="83">
        <f>SUM(E9:E11)</f>
        <v>1249377.875</v>
      </c>
      <c r="F12" s="83">
        <f t="shared" ref="F12:X12" si="0">SUM(F9:F11)</f>
        <v>1325236.75</v>
      </c>
      <c r="G12" s="83">
        <f t="shared" si="0"/>
        <v>1430418.25</v>
      </c>
      <c r="H12" s="83">
        <f t="shared" si="0"/>
        <v>1600745.375</v>
      </c>
      <c r="I12" s="83">
        <f t="shared" si="0"/>
        <v>1798868.75</v>
      </c>
      <c r="J12" s="83">
        <f t="shared" si="0"/>
        <v>2039022.375</v>
      </c>
      <c r="K12" s="83">
        <f t="shared" si="0"/>
        <v>2308055.5</v>
      </c>
      <c r="L12" s="83">
        <f t="shared" si="0"/>
        <v>2605294.25</v>
      </c>
      <c r="M12" s="83">
        <f t="shared" si="0"/>
        <v>2987712</v>
      </c>
      <c r="N12" s="83">
        <f t="shared" si="0"/>
        <v>3453910.25</v>
      </c>
      <c r="O12" s="83">
        <f t="shared" si="0"/>
        <v>3986013</v>
      </c>
      <c r="P12" s="83">
        <f t="shared" si="0"/>
        <v>4554699.5</v>
      </c>
      <c r="Q12" s="83">
        <f t="shared" si="0"/>
        <v>5159348</v>
      </c>
      <c r="R12" s="83">
        <f t="shared" si="0"/>
        <v>5807286.5</v>
      </c>
      <c r="S12" s="83">
        <f t="shared" si="0"/>
        <v>6561034.5</v>
      </c>
      <c r="T12" s="83">
        <f t="shared" si="0"/>
        <v>7440866</v>
      </c>
      <c r="U12" s="83">
        <f t="shared" si="0"/>
        <v>8437839</v>
      </c>
      <c r="V12" s="83">
        <f t="shared" si="0"/>
        <v>9567571</v>
      </c>
      <c r="W12" s="83">
        <f t="shared" si="0"/>
        <v>10856381</v>
      </c>
      <c r="X12" s="83">
        <f t="shared" si="0"/>
        <v>12324153</v>
      </c>
    </row>
    <row r="13" spans="1:28" x14ac:dyDescent="0.3">
      <c r="A13" s="14" t="s">
        <v>30</v>
      </c>
      <c r="B13" s="14"/>
      <c r="C13" s="15"/>
      <c r="D13" s="83">
        <f t="shared" ref="D13:X13" si="1">$B$5</f>
        <v>1171535.5100983046</v>
      </c>
      <c r="E13" s="83">
        <f t="shared" si="1"/>
        <v>1171535.5100983046</v>
      </c>
      <c r="F13" s="83">
        <f t="shared" si="1"/>
        <v>1171535.5100983046</v>
      </c>
      <c r="G13" s="83">
        <f t="shared" si="1"/>
        <v>1171535.5100983046</v>
      </c>
      <c r="H13" s="83">
        <f t="shared" si="1"/>
        <v>1171535.5100983046</v>
      </c>
      <c r="I13" s="83">
        <f t="shared" si="1"/>
        <v>1171535.5100983046</v>
      </c>
      <c r="J13" s="83">
        <f t="shared" si="1"/>
        <v>1171535.5100983046</v>
      </c>
      <c r="K13" s="83">
        <f t="shared" si="1"/>
        <v>1171535.5100983046</v>
      </c>
      <c r="L13" s="83">
        <f t="shared" si="1"/>
        <v>1171535.5100983046</v>
      </c>
      <c r="M13" s="83">
        <f t="shared" si="1"/>
        <v>1171535.5100983046</v>
      </c>
      <c r="N13" s="83">
        <f t="shared" si="1"/>
        <v>1171535.5100983046</v>
      </c>
      <c r="O13" s="83">
        <f t="shared" si="1"/>
        <v>1171535.5100983046</v>
      </c>
      <c r="P13" s="83">
        <f t="shared" si="1"/>
        <v>1171535.5100983046</v>
      </c>
      <c r="Q13" s="83">
        <f t="shared" si="1"/>
        <v>1171535.5100983046</v>
      </c>
      <c r="R13" s="83">
        <f t="shared" si="1"/>
        <v>1171535.5100983046</v>
      </c>
      <c r="S13" s="83">
        <f t="shared" si="1"/>
        <v>1171535.5100983046</v>
      </c>
      <c r="T13" s="83">
        <f t="shared" si="1"/>
        <v>1171535.5100983046</v>
      </c>
      <c r="U13" s="83">
        <f t="shared" si="1"/>
        <v>1171535.5100983046</v>
      </c>
      <c r="V13" s="83">
        <f t="shared" si="1"/>
        <v>1171535.5100983046</v>
      </c>
      <c r="W13" s="83">
        <f t="shared" si="1"/>
        <v>1171535.5100983046</v>
      </c>
      <c r="X13" s="83">
        <f t="shared" si="1"/>
        <v>1171535.5100983046</v>
      </c>
    </row>
    <row r="14" spans="1:28" x14ac:dyDescent="0.3">
      <c r="A14" s="14" t="s">
        <v>31</v>
      </c>
      <c r="B14" s="14"/>
      <c r="C14" s="15"/>
      <c r="D14" s="83">
        <f t="shared" ref="D14:X14" si="2">D12-D13</f>
        <v>-118468.8850983046</v>
      </c>
      <c r="E14" s="83">
        <f>E12-E13</f>
        <v>77842.3649016954</v>
      </c>
      <c r="F14" s="83">
        <f t="shared" si="2"/>
        <v>153701.2399016954</v>
      </c>
      <c r="G14" s="83">
        <f t="shared" si="2"/>
        <v>258882.7399016954</v>
      </c>
      <c r="H14" s="83">
        <f t="shared" si="2"/>
        <v>429209.8649016954</v>
      </c>
      <c r="I14" s="83">
        <f t="shared" si="2"/>
        <v>627333.2399016954</v>
      </c>
      <c r="J14" s="83">
        <f t="shared" si="2"/>
        <v>867486.8649016954</v>
      </c>
      <c r="K14" s="83">
        <f t="shared" si="2"/>
        <v>1136519.9899016954</v>
      </c>
      <c r="L14" s="83">
        <f t="shared" si="2"/>
        <v>1433758.7399016954</v>
      </c>
      <c r="M14" s="83">
        <f t="shared" si="2"/>
        <v>1816176.4899016954</v>
      </c>
      <c r="N14" s="83">
        <f t="shared" si="2"/>
        <v>2282374.7399016954</v>
      </c>
      <c r="O14" s="83">
        <f t="shared" si="2"/>
        <v>2814477.4899016954</v>
      </c>
      <c r="P14" s="83">
        <f t="shared" si="2"/>
        <v>3383163.9899016954</v>
      </c>
      <c r="Q14" s="83">
        <f t="shared" si="2"/>
        <v>3987812.4899016954</v>
      </c>
      <c r="R14" s="83">
        <f t="shared" si="2"/>
        <v>4635750.9899016954</v>
      </c>
      <c r="S14" s="83">
        <f t="shared" si="2"/>
        <v>5389498.9899016954</v>
      </c>
      <c r="T14" s="83">
        <f t="shared" si="2"/>
        <v>6269330.4899016954</v>
      </c>
      <c r="U14" s="83">
        <f t="shared" si="2"/>
        <v>7266303.4899016954</v>
      </c>
      <c r="V14" s="83">
        <f t="shared" si="2"/>
        <v>8396035.4899016954</v>
      </c>
      <c r="W14" s="83">
        <f t="shared" si="2"/>
        <v>9684845.4899016954</v>
      </c>
      <c r="X14" s="83">
        <f t="shared" si="2"/>
        <v>11152617.489901695</v>
      </c>
    </row>
    <row r="15" spans="1:28" x14ac:dyDescent="0.3">
      <c r="A15" s="14"/>
      <c r="B15" s="14"/>
      <c r="C15" s="15"/>
      <c r="D15" s="17"/>
      <c r="E15" s="17" t="str">
        <f>IF(AND(F3=0,E3&lt;0),"Build Year","")</f>
        <v/>
      </c>
      <c r="F15" s="17" t="str">
        <f>IF(AND(G3=0,F3&lt;0),"Build Year","")</f>
        <v/>
      </c>
      <c r="G15" s="17" t="str">
        <f>IF(AND(H3=0,G3&lt;0),"Build Year","")</f>
        <v/>
      </c>
      <c r="H15" s="17" t="str">
        <f>IF(AND(I3=0,H3&lt;0),"Build Year","")</f>
        <v/>
      </c>
      <c r="I15" s="17"/>
      <c r="J15" s="17"/>
      <c r="K15" s="17" t="str">
        <f>IF(AND(L3=0,K3&lt;0),"Build Year","")</f>
        <v/>
      </c>
      <c r="L15" s="17"/>
      <c r="M15" s="17" t="str">
        <f t="shared" ref="M15:X15" si="3">IF(AND(N3=0,M3&lt;0),"Build Year","")</f>
        <v/>
      </c>
      <c r="N15" s="17" t="str">
        <f t="shared" si="3"/>
        <v/>
      </c>
      <c r="O15" s="17" t="str">
        <f t="shared" si="3"/>
        <v/>
      </c>
      <c r="P15" s="17" t="str">
        <f t="shared" si="3"/>
        <v/>
      </c>
      <c r="Q15" s="17" t="str">
        <f t="shared" si="3"/>
        <v/>
      </c>
      <c r="R15" s="17" t="str">
        <f t="shared" si="3"/>
        <v/>
      </c>
      <c r="S15" s="17" t="str">
        <f t="shared" si="3"/>
        <v/>
      </c>
      <c r="T15" s="17" t="str">
        <f t="shared" si="3"/>
        <v/>
      </c>
      <c r="U15" s="17" t="str">
        <f t="shared" si="3"/>
        <v/>
      </c>
      <c r="V15" s="17" t="str">
        <f t="shared" si="3"/>
        <v/>
      </c>
      <c r="W15" s="17" t="str">
        <f t="shared" si="3"/>
        <v/>
      </c>
      <c r="X15" s="17" t="str">
        <f t="shared" si="3"/>
        <v/>
      </c>
    </row>
    <row r="16" spans="1:28" x14ac:dyDescent="0.3">
      <c r="A16" s="18" t="s">
        <v>93</v>
      </c>
      <c r="B16" s="10"/>
      <c r="C16" s="81" t="s">
        <v>94</v>
      </c>
      <c r="D16" s="19">
        <v>2</v>
      </c>
      <c r="E16" s="19">
        <v>3</v>
      </c>
      <c r="F16" s="19">
        <v>4</v>
      </c>
      <c r="G16" s="19">
        <v>5</v>
      </c>
      <c r="H16" s="19">
        <v>6</v>
      </c>
      <c r="I16" s="19">
        <v>7</v>
      </c>
      <c r="J16" s="19">
        <v>8</v>
      </c>
      <c r="K16" s="19">
        <v>9</v>
      </c>
      <c r="L16" s="19">
        <v>10</v>
      </c>
      <c r="M16" s="19">
        <v>11</v>
      </c>
      <c r="N16" s="19">
        <v>12</v>
      </c>
      <c r="O16" s="19">
        <v>13</v>
      </c>
      <c r="P16" s="19">
        <v>14</v>
      </c>
      <c r="Q16" s="19">
        <v>15</v>
      </c>
      <c r="R16" s="19">
        <v>16</v>
      </c>
      <c r="S16" s="19">
        <v>17</v>
      </c>
      <c r="T16" s="19">
        <v>18</v>
      </c>
      <c r="U16" s="19">
        <v>19</v>
      </c>
      <c r="V16" s="19">
        <v>20</v>
      </c>
      <c r="W16" s="19">
        <v>21</v>
      </c>
      <c r="X16" s="19">
        <v>22</v>
      </c>
    </row>
    <row r="17" spans="1:24" x14ac:dyDescent="0.3">
      <c r="A17" s="14" t="s">
        <v>32</v>
      </c>
      <c r="B17" s="14"/>
      <c r="C17" s="20">
        <v>1</v>
      </c>
      <c r="D17" s="36">
        <v>759178.3203125</v>
      </c>
      <c r="E17" s="36">
        <v>806996.2734375</v>
      </c>
      <c r="F17" s="36">
        <v>852420.75390625</v>
      </c>
      <c r="G17" s="36">
        <v>916622.3046875</v>
      </c>
      <c r="H17" s="36">
        <v>1022697.2265625</v>
      </c>
      <c r="I17" s="36">
        <v>1146416.578125</v>
      </c>
      <c r="J17" s="36">
        <v>1297483.3125</v>
      </c>
      <c r="K17" s="36">
        <v>1468049.3515625</v>
      </c>
      <c r="L17" s="36">
        <v>1658938.625</v>
      </c>
      <c r="M17" s="36">
        <v>1910327.2578125</v>
      </c>
      <c r="N17" s="36">
        <v>2224127.25</v>
      </c>
      <c r="O17" s="36">
        <v>2588785.921875</v>
      </c>
      <c r="P17" s="36">
        <v>2983197.9140625</v>
      </c>
      <c r="Q17" s="36">
        <v>3407640.0625</v>
      </c>
      <c r="R17" s="36">
        <v>3868189.90625</v>
      </c>
      <c r="S17" s="36">
        <v>4414172.125</v>
      </c>
      <c r="T17" s="36">
        <v>5064041.84375</v>
      </c>
      <c r="U17" s="36">
        <v>5811424.578125</v>
      </c>
      <c r="V17" s="36">
        <v>6670018.265625</v>
      </c>
      <c r="W17" s="36">
        <v>7661584.203125</v>
      </c>
      <c r="X17" s="36">
        <v>8801455.109375</v>
      </c>
    </row>
    <row r="18" spans="1:24" x14ac:dyDescent="0.3">
      <c r="A18" s="14" t="s">
        <v>32</v>
      </c>
      <c r="B18" s="14"/>
      <c r="C18" s="20">
        <v>2</v>
      </c>
      <c r="D18" s="36">
        <v>709898.1328125</v>
      </c>
      <c r="E18" s="36">
        <v>754384.5234375</v>
      </c>
      <c r="F18" s="36">
        <v>796931.94140625</v>
      </c>
      <c r="G18" s="36">
        <v>856132.3046875</v>
      </c>
      <c r="H18" s="36">
        <v>951914.2265625</v>
      </c>
      <c r="I18" s="36">
        <v>1063151.453125</v>
      </c>
      <c r="J18" s="36">
        <v>1198069.0625</v>
      </c>
      <c r="K18" s="36">
        <v>1350133.8515625</v>
      </c>
      <c r="L18" s="36">
        <v>1519778.125</v>
      </c>
      <c r="M18" s="36">
        <v>1742387.0078125</v>
      </c>
      <c r="N18" s="36">
        <v>2020451.5</v>
      </c>
      <c r="O18" s="36">
        <v>2345496.421875</v>
      </c>
      <c r="P18" s="36">
        <v>2699418.4140625</v>
      </c>
      <c r="Q18" s="36">
        <v>3081377.8125</v>
      </c>
      <c r="R18" s="36">
        <v>3496379.90625</v>
      </c>
      <c r="S18" s="36">
        <v>3989651.125</v>
      </c>
      <c r="T18" s="36">
        <v>4579633.34375</v>
      </c>
      <c r="U18" s="36">
        <v>5262550.078125</v>
      </c>
      <c r="V18" s="36">
        <v>6050709.265625</v>
      </c>
      <c r="W18" s="36">
        <v>6964523.703125</v>
      </c>
      <c r="X18" s="36">
        <v>8019894.109375</v>
      </c>
    </row>
    <row r="19" spans="1:24" x14ac:dyDescent="0.3">
      <c r="A19" s="14" t="s">
        <v>32</v>
      </c>
      <c r="B19" s="14"/>
      <c r="C19" s="20">
        <v>4</v>
      </c>
      <c r="D19" s="36">
        <v>628122.9453125</v>
      </c>
      <c r="E19" s="36">
        <v>667123.6484375</v>
      </c>
      <c r="F19" s="36">
        <v>667123.6484375</v>
      </c>
      <c r="G19" s="36">
        <v>704897.69140625</v>
      </c>
      <c r="H19" s="36">
        <v>755956.3671875</v>
      </c>
      <c r="I19" s="36">
        <v>835770.1015625</v>
      </c>
      <c r="J19" s="36">
        <v>927465.578125</v>
      </c>
      <c r="K19" s="36">
        <v>1037289.6875</v>
      </c>
      <c r="L19" s="36">
        <v>1159794.8515625</v>
      </c>
      <c r="M19" s="36">
        <v>1295837.25</v>
      </c>
      <c r="N19" s="36">
        <v>1471555.7578125</v>
      </c>
      <c r="O19" s="36">
        <v>1689360.75</v>
      </c>
      <c r="P19" s="36">
        <v>1944118.421875</v>
      </c>
      <c r="Q19" s="36">
        <v>2223769.4140625</v>
      </c>
      <c r="R19" s="36">
        <v>2528622.3125</v>
      </c>
      <c r="S19" s="36">
        <v>2862562.15625</v>
      </c>
      <c r="T19" s="36">
        <v>3261536.125</v>
      </c>
      <c r="U19" s="36">
        <v>3740627.34375</v>
      </c>
      <c r="V19" s="36">
        <v>4298711.578125</v>
      </c>
      <c r="W19" s="36">
        <v>4949888.765625</v>
      </c>
      <c r="X19" s="36">
        <v>5714027.203125</v>
      </c>
    </row>
    <row r="20" spans="1:24" x14ac:dyDescent="0.3">
      <c r="A20" s="14" t="s">
        <v>32</v>
      </c>
      <c r="B20" s="14"/>
      <c r="C20" s="20">
        <v>5</v>
      </c>
      <c r="D20" s="36">
        <v>488771.5078125</v>
      </c>
      <c r="E20" s="36">
        <v>518627.8984375</v>
      </c>
      <c r="F20" s="36">
        <v>548239.31640625</v>
      </c>
      <c r="G20" s="36">
        <v>586103.6171875</v>
      </c>
      <c r="H20" s="36">
        <v>641201.6640625</v>
      </c>
      <c r="I20" s="36">
        <v>703358.578125</v>
      </c>
      <c r="J20" s="36">
        <v>775808.0625</v>
      </c>
      <c r="K20" s="36">
        <v>855359.4765625</v>
      </c>
      <c r="L20" s="36">
        <v>942252.875</v>
      </c>
      <c r="M20" s="36">
        <v>1050289.7578125</v>
      </c>
      <c r="N20" s="36">
        <v>1179415</v>
      </c>
      <c r="O20" s="36">
        <v>1326466.546875</v>
      </c>
      <c r="P20" s="36">
        <v>1485843.6640625</v>
      </c>
      <c r="Q20" s="36">
        <v>1658000.0625</v>
      </c>
      <c r="R20" s="36">
        <v>1846059.40625</v>
      </c>
      <c r="S20" s="36">
        <v>2068565.125</v>
      </c>
      <c r="T20" s="36">
        <v>2335556.34375</v>
      </c>
      <c r="U20" s="36">
        <v>2648841.328125</v>
      </c>
      <c r="V20" s="36">
        <v>3019303.265625</v>
      </c>
      <c r="W20" s="36">
        <v>3461699.203125</v>
      </c>
      <c r="X20" s="36">
        <v>3989964.109375</v>
      </c>
    </row>
    <row r="21" spans="1:24" x14ac:dyDescent="0.3">
      <c r="A21" s="14" t="s">
        <v>32</v>
      </c>
      <c r="B21" s="14"/>
      <c r="C21" s="20">
        <v>6</v>
      </c>
      <c r="D21" s="36">
        <v>468571.5078125</v>
      </c>
      <c r="E21" s="36">
        <v>497137.4609375</v>
      </c>
      <c r="F21" s="36">
        <v>525579.87890625</v>
      </c>
      <c r="G21" s="36">
        <v>561617.1796875</v>
      </c>
      <c r="H21" s="36">
        <v>613220.5390625</v>
      </c>
      <c r="I21" s="36">
        <v>671317.953125</v>
      </c>
      <c r="J21" s="36">
        <v>738975.6875</v>
      </c>
      <c r="K21" s="36">
        <v>813093.6015625</v>
      </c>
      <c r="L21" s="36">
        <v>893762.125</v>
      </c>
      <c r="M21" s="36">
        <v>993130.6328125</v>
      </c>
      <c r="N21" s="36">
        <v>1111631.25</v>
      </c>
      <c r="O21" s="36">
        <v>1245932.171875</v>
      </c>
      <c r="P21" s="36">
        <v>1390774.1640625</v>
      </c>
      <c r="Q21" s="36">
        <v>1547123.8125</v>
      </c>
      <c r="R21" s="36">
        <v>1717002.90625</v>
      </c>
      <c r="S21" s="36">
        <v>1916768.625</v>
      </c>
      <c r="T21" s="36">
        <v>2155088.84375</v>
      </c>
      <c r="U21" s="36">
        <v>2433733.578125</v>
      </c>
      <c r="V21" s="36">
        <v>2761773.765625</v>
      </c>
      <c r="W21" s="36">
        <v>3153090.703125</v>
      </c>
      <c r="X21" s="36">
        <v>3620961.109375</v>
      </c>
    </row>
    <row r="22" spans="1:24" x14ac:dyDescent="0.3">
      <c r="A22" s="14" t="s">
        <v>32</v>
      </c>
      <c r="B22" s="14"/>
      <c r="C22" s="20">
        <v>7</v>
      </c>
      <c r="D22" s="36">
        <v>445580.41145833331</v>
      </c>
      <c r="E22" s="36">
        <v>470064.00911458326</v>
      </c>
      <c r="F22" s="36">
        <v>497048.7578125</v>
      </c>
      <c r="G22" s="36">
        <v>530702.94661458326</v>
      </c>
      <c r="H22" s="36">
        <v>577764.59635416674</v>
      </c>
      <c r="I22" s="36">
        <v>630454.15364583337</v>
      </c>
      <c r="J22" s="36">
        <v>691330.7734375</v>
      </c>
      <c r="K22" s="36">
        <v>757809.08854166674</v>
      </c>
      <c r="L22" s="36">
        <v>830038.82031250023</v>
      </c>
      <c r="M22" s="36">
        <v>918174.62760416651</v>
      </c>
      <c r="N22" s="36">
        <v>1022383.7604166665</v>
      </c>
      <c r="O22" s="36">
        <v>1139908.5338541665</v>
      </c>
      <c r="P22" s="36">
        <v>1266645.25</v>
      </c>
      <c r="Q22" s="36">
        <v>1403316.6875</v>
      </c>
      <c r="R22" s="36">
        <v>1551601.057291667</v>
      </c>
      <c r="S22" s="36">
        <v>1725226.015625</v>
      </c>
      <c r="T22" s="36">
        <v>1931589.671875</v>
      </c>
      <c r="U22" s="36">
        <v>2172163.177083333</v>
      </c>
      <c r="V22" s="36">
        <v>2455071.270833333</v>
      </c>
      <c r="W22" s="36">
        <v>2792318.3125</v>
      </c>
      <c r="X22" s="36">
        <v>3196001.2031250009</v>
      </c>
    </row>
    <row r="23" spans="1:24" x14ac:dyDescent="0.3">
      <c r="A23" s="14" t="s">
        <v>32</v>
      </c>
      <c r="B23" s="14"/>
      <c r="C23" s="20">
        <v>8</v>
      </c>
      <c r="D23" s="36">
        <v>433672.6953125</v>
      </c>
      <c r="E23" s="36">
        <v>460043.2109375</v>
      </c>
      <c r="F23" s="36">
        <v>486502.19140625</v>
      </c>
      <c r="G23" s="36">
        <v>519415.2421875</v>
      </c>
      <c r="H23" s="36">
        <v>565258.2265625</v>
      </c>
      <c r="I23" s="36">
        <v>616563.703125</v>
      </c>
      <c r="J23" s="36">
        <v>675767.4375</v>
      </c>
      <c r="K23" s="36">
        <v>740464.1015625</v>
      </c>
      <c r="L23" s="36">
        <v>810839.875</v>
      </c>
      <c r="M23" s="36">
        <v>896615.7578125</v>
      </c>
      <c r="N23" s="36">
        <v>997527.75</v>
      </c>
      <c r="O23" s="36">
        <v>1110860.046875</v>
      </c>
      <c r="P23" s="36">
        <v>1232845.0390625</v>
      </c>
      <c r="Q23" s="36">
        <v>1363812.5625</v>
      </c>
      <c r="R23" s="36">
        <v>1505247.65625</v>
      </c>
      <c r="S23" s="36">
        <v>1669691.375</v>
      </c>
      <c r="T23" s="36">
        <v>1863457.59375</v>
      </c>
      <c r="U23" s="36">
        <v>2087118.828125</v>
      </c>
      <c r="V23" s="36">
        <v>2347890.515625</v>
      </c>
      <c r="W23" s="36">
        <v>2655951.453125</v>
      </c>
      <c r="X23" s="36">
        <v>3022191.609375</v>
      </c>
    </row>
    <row r="24" spans="1:24" x14ac:dyDescent="0.3">
      <c r="A24" s="14"/>
      <c r="B24" s="14"/>
      <c r="C24" s="20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</row>
    <row r="25" spans="1:24" x14ac:dyDescent="0.3">
      <c r="A25" s="22" t="s">
        <v>33</v>
      </c>
      <c r="B25" s="22"/>
      <c r="C25" s="23"/>
    </row>
    <row r="26" spans="1:24" x14ac:dyDescent="0.3">
      <c r="A26" s="10" t="s">
        <v>34</v>
      </c>
      <c r="B26" s="10"/>
      <c r="C26" s="11" t="s">
        <v>35</v>
      </c>
      <c r="D26" s="80" t="s">
        <v>1</v>
      </c>
      <c r="E26" s="80" t="s">
        <v>2</v>
      </c>
      <c r="F26" s="80" t="s">
        <v>3</v>
      </c>
      <c r="G26" s="80" t="s">
        <v>4</v>
      </c>
      <c r="H26" s="80" t="s">
        <v>5</v>
      </c>
      <c r="I26" s="80" t="s">
        <v>6</v>
      </c>
      <c r="J26" s="80" t="s">
        <v>7</v>
      </c>
      <c r="K26" s="80" t="s">
        <v>8</v>
      </c>
      <c r="L26" s="80" t="s">
        <v>9</v>
      </c>
      <c r="M26" s="80" t="s">
        <v>10</v>
      </c>
      <c r="N26" s="80" t="s">
        <v>11</v>
      </c>
      <c r="O26" s="80" t="s">
        <v>12</v>
      </c>
      <c r="P26" s="80" t="s">
        <v>13</v>
      </c>
      <c r="Q26" s="80" t="s">
        <v>14</v>
      </c>
      <c r="R26" s="80" t="s">
        <v>15</v>
      </c>
      <c r="S26" s="80" t="s">
        <v>16</v>
      </c>
      <c r="T26" s="80" t="s">
        <v>17</v>
      </c>
      <c r="U26" s="80" t="s">
        <v>18</v>
      </c>
      <c r="V26" s="80" t="s">
        <v>19</v>
      </c>
      <c r="W26" s="80" t="s">
        <v>20</v>
      </c>
      <c r="X26" s="80" t="s">
        <v>21</v>
      </c>
    </row>
    <row r="27" spans="1:24" x14ac:dyDescent="0.3">
      <c r="A27" s="3" t="s">
        <v>36</v>
      </c>
      <c r="C27" s="83">
        <f t="shared" ref="C27:C32" si="4">NPV($B$2,E27:X27)</f>
        <v>39406643.259082675</v>
      </c>
      <c r="D27" s="24"/>
      <c r="E27" s="24">
        <f t="shared" ref="E27:X27" si="5">IF(E33=1,E9,0)</f>
        <v>0</v>
      </c>
      <c r="F27" s="24">
        <f t="shared" si="5"/>
        <v>0</v>
      </c>
      <c r="G27" s="24">
        <f t="shared" si="5"/>
        <v>0</v>
      </c>
      <c r="H27" s="24">
        <f t="shared" si="5"/>
        <v>0</v>
      </c>
      <c r="I27" s="24">
        <f t="shared" si="5"/>
        <v>1482941.078125</v>
      </c>
      <c r="J27" s="24">
        <f t="shared" si="5"/>
        <v>1698558.3125</v>
      </c>
      <c r="K27" s="24">
        <f t="shared" si="5"/>
        <v>1941530.7265625</v>
      </c>
      <c r="L27" s="24">
        <f t="shared" si="5"/>
        <v>2211113.5</v>
      </c>
      <c r="M27" s="24">
        <f t="shared" si="5"/>
        <v>2564206.5078125</v>
      </c>
      <c r="N27" s="24">
        <f t="shared" si="5"/>
        <v>2999337.25</v>
      </c>
      <c r="O27" s="24">
        <f t="shared" si="5"/>
        <v>3498552.171875</v>
      </c>
      <c r="P27" s="24">
        <f t="shared" si="5"/>
        <v>4032450.4140625</v>
      </c>
      <c r="Q27" s="24">
        <f t="shared" si="5"/>
        <v>4600329.5625</v>
      </c>
      <c r="R27" s="24">
        <f t="shared" si="5"/>
        <v>5209431.40625</v>
      </c>
      <c r="S27" s="24">
        <f t="shared" si="5"/>
        <v>5922191.625</v>
      </c>
      <c r="T27" s="24">
        <f t="shared" si="5"/>
        <v>6758792.84375</v>
      </c>
      <c r="U27" s="24">
        <f t="shared" si="5"/>
        <v>7710203.078125</v>
      </c>
      <c r="V27" s="24">
        <f t="shared" si="5"/>
        <v>8791945.265625</v>
      </c>
      <c r="W27" s="24">
        <f t="shared" si="5"/>
        <v>10030241.203125</v>
      </c>
      <c r="X27" s="24">
        <f t="shared" si="5"/>
        <v>11444877.109375</v>
      </c>
    </row>
    <row r="28" spans="1:24" x14ac:dyDescent="0.3">
      <c r="A28" s="3" t="s">
        <v>37</v>
      </c>
      <c r="C28" s="83">
        <f t="shared" si="4"/>
        <v>3553450.4207765381</v>
      </c>
      <c r="D28" s="24"/>
      <c r="E28" s="24">
        <f t="shared" ref="E28:X28" si="6">IF(E27=0,0,E10)</f>
        <v>0</v>
      </c>
      <c r="F28" s="24">
        <f t="shared" si="6"/>
        <v>0</v>
      </c>
      <c r="G28" s="24">
        <f t="shared" si="6"/>
        <v>0</v>
      </c>
      <c r="H28" s="24">
        <f t="shared" si="6"/>
        <v>0</v>
      </c>
      <c r="I28" s="24">
        <f t="shared" si="6"/>
        <v>240374</v>
      </c>
      <c r="J28" s="24">
        <f t="shared" si="6"/>
        <v>259016</v>
      </c>
      <c r="K28" s="24">
        <f t="shared" si="6"/>
        <v>278816</v>
      </c>
      <c r="L28" s="24">
        <f t="shared" si="6"/>
        <v>299828</v>
      </c>
      <c r="M28" s="24">
        <f t="shared" si="6"/>
        <v>322108</v>
      </c>
      <c r="N28" s="24">
        <f t="shared" si="6"/>
        <v>345712</v>
      </c>
      <c r="O28" s="24">
        <f t="shared" si="6"/>
        <v>370699</v>
      </c>
      <c r="P28" s="24">
        <f t="shared" si="6"/>
        <v>397130</v>
      </c>
      <c r="Q28" s="24">
        <f t="shared" si="6"/>
        <v>425066</v>
      </c>
      <c r="R28" s="24">
        <f t="shared" si="6"/>
        <v>454573</v>
      </c>
      <c r="S28" s="24">
        <f t="shared" si="6"/>
        <v>485714</v>
      </c>
      <c r="T28" s="24">
        <f t="shared" si="6"/>
        <v>518559</v>
      </c>
      <c r="U28" s="24">
        <f t="shared" si="6"/>
        <v>553176</v>
      </c>
      <c r="V28" s="24">
        <f t="shared" si="6"/>
        <v>589637</v>
      </c>
      <c r="W28" s="24">
        <f t="shared" si="6"/>
        <v>628016</v>
      </c>
      <c r="X28" s="24">
        <f t="shared" si="6"/>
        <v>668387</v>
      </c>
    </row>
    <row r="29" spans="1:24" x14ac:dyDescent="0.3">
      <c r="A29" s="3" t="s">
        <v>38</v>
      </c>
      <c r="C29" s="83">
        <f t="shared" si="4"/>
        <v>1119557.7929453976</v>
      </c>
      <c r="D29" s="24"/>
      <c r="E29" s="24">
        <f t="shared" ref="E29:X29" si="7">IF(E27=0,0,E11)</f>
        <v>0</v>
      </c>
      <c r="F29" s="24">
        <f t="shared" si="7"/>
        <v>0</v>
      </c>
      <c r="G29" s="24">
        <f t="shared" si="7"/>
        <v>0</v>
      </c>
      <c r="H29" s="24">
        <f t="shared" si="7"/>
        <v>0</v>
      </c>
      <c r="I29" s="24">
        <f t="shared" si="7"/>
        <v>75553.671875</v>
      </c>
      <c r="J29" s="24">
        <f t="shared" si="7"/>
        <v>81448.0625</v>
      </c>
      <c r="K29" s="24">
        <f t="shared" si="7"/>
        <v>87708.7734375</v>
      </c>
      <c r="L29" s="24">
        <f t="shared" si="7"/>
        <v>94352.75</v>
      </c>
      <c r="M29" s="24">
        <f t="shared" si="7"/>
        <v>101397.4921875</v>
      </c>
      <c r="N29" s="24">
        <f t="shared" si="7"/>
        <v>108861</v>
      </c>
      <c r="O29" s="24">
        <f t="shared" si="7"/>
        <v>116761.828125</v>
      </c>
      <c r="P29" s="24">
        <f t="shared" si="7"/>
        <v>125119.0859375</v>
      </c>
      <c r="Q29" s="24">
        <f t="shared" si="7"/>
        <v>133952.4375</v>
      </c>
      <c r="R29" s="24">
        <f t="shared" si="7"/>
        <v>143282.09375</v>
      </c>
      <c r="S29" s="24">
        <f t="shared" si="7"/>
        <v>153128.875</v>
      </c>
      <c r="T29" s="24">
        <f t="shared" si="7"/>
        <v>163514.15625</v>
      </c>
      <c r="U29" s="24">
        <f t="shared" si="7"/>
        <v>174459.921875</v>
      </c>
      <c r="V29" s="24">
        <f t="shared" si="7"/>
        <v>185988.734375</v>
      </c>
      <c r="W29" s="24">
        <f t="shared" si="7"/>
        <v>198123.796875</v>
      </c>
      <c r="X29" s="24">
        <f t="shared" si="7"/>
        <v>210888.890625</v>
      </c>
    </row>
    <row r="30" spans="1:24" s="2" customFormat="1" x14ac:dyDescent="0.3">
      <c r="A30" s="3" t="s">
        <v>22</v>
      </c>
      <c r="B30" s="3"/>
      <c r="C30" s="83">
        <f t="shared" si="4"/>
        <v>-19947242.842375234</v>
      </c>
      <c r="D30" s="36"/>
      <c r="E30" s="36">
        <v>-171675.95650840001</v>
      </c>
      <c r="F30" s="36">
        <v>-2389413.6308733001</v>
      </c>
      <c r="G30" s="36">
        <v>-10297207.188030601</v>
      </c>
      <c r="H30" s="36">
        <v>-9185130.1495555993</v>
      </c>
      <c r="I30" s="36">
        <v>-1486522.5280460999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6">
        <v>0</v>
      </c>
      <c r="W30" s="36">
        <v>0</v>
      </c>
      <c r="X30" s="36">
        <v>0</v>
      </c>
    </row>
    <row r="31" spans="1:24" s="2" customFormat="1" x14ac:dyDescent="0.3">
      <c r="A31" s="10" t="s">
        <v>39</v>
      </c>
      <c r="B31" s="10"/>
      <c r="C31" s="86">
        <f t="shared" si="4"/>
        <v>5320914.2888245713</v>
      </c>
      <c r="D31" s="54"/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43">
        <f>SUM(D30:X30)*($B$6-SUM(D33:X33))/-$B$6</f>
        <v>14117969.671808401</v>
      </c>
    </row>
    <row r="32" spans="1:24" s="2" customFormat="1" x14ac:dyDescent="0.3">
      <c r="A32" s="3" t="s">
        <v>31</v>
      </c>
      <c r="B32" s="3"/>
      <c r="C32" s="83">
        <f t="shared" si="4"/>
        <v>29453322.919253945</v>
      </c>
      <c r="D32" s="83"/>
      <c r="E32" s="83">
        <f t="shared" ref="E32" si="8">SUM(E27:E31)</f>
        <v>-171675.95650840001</v>
      </c>
      <c r="F32" s="83">
        <f t="shared" ref="F32:T32" si="9">SUM(F27:F31)</f>
        <v>-2389413.6308733001</v>
      </c>
      <c r="G32" s="83">
        <f t="shared" si="9"/>
        <v>-10297207.188030601</v>
      </c>
      <c r="H32" s="83">
        <f t="shared" si="9"/>
        <v>-9185130.1495555993</v>
      </c>
      <c r="I32" s="83">
        <f>SUM(I27:I31)</f>
        <v>312346.22195390007</v>
      </c>
      <c r="J32" s="83">
        <f t="shared" si="9"/>
        <v>2039022.375</v>
      </c>
      <c r="K32" s="83">
        <f t="shared" si="9"/>
        <v>2308055.5</v>
      </c>
      <c r="L32" s="83">
        <f t="shared" si="9"/>
        <v>2605294.25</v>
      </c>
      <c r="M32" s="83">
        <f t="shared" si="9"/>
        <v>2987712</v>
      </c>
      <c r="N32" s="83">
        <f>SUM(N27:N31)</f>
        <v>3453910.25</v>
      </c>
      <c r="O32" s="83">
        <f t="shared" si="9"/>
        <v>3986013</v>
      </c>
      <c r="P32" s="83">
        <f t="shared" si="9"/>
        <v>4554699.5</v>
      </c>
      <c r="Q32" s="83">
        <f t="shared" si="9"/>
        <v>5159348</v>
      </c>
      <c r="R32" s="83">
        <f t="shared" si="9"/>
        <v>5807286.5</v>
      </c>
      <c r="S32" s="83">
        <f t="shared" si="9"/>
        <v>6561034.5</v>
      </c>
      <c r="T32" s="83">
        <f t="shared" si="9"/>
        <v>7440866</v>
      </c>
      <c r="U32" s="83">
        <f>SUM(U27:U31)</f>
        <v>8437839</v>
      </c>
      <c r="V32" s="83">
        <f t="shared" ref="V32:X32" si="10">SUM(V27:V31)</f>
        <v>9567571</v>
      </c>
      <c r="W32" s="83">
        <f t="shared" si="10"/>
        <v>10856381</v>
      </c>
      <c r="X32" s="83">
        <f t="shared" si="10"/>
        <v>26442122.671808399</v>
      </c>
    </row>
    <row r="33" spans="1:24" s="2" customFormat="1" x14ac:dyDescent="0.3">
      <c r="A33" s="3"/>
      <c r="B33" s="3"/>
      <c r="C33" s="17"/>
      <c r="D33" s="8"/>
      <c r="E33" s="8">
        <v>0</v>
      </c>
      <c r="F33" s="8">
        <v>0</v>
      </c>
      <c r="G33" s="8">
        <v>0</v>
      </c>
      <c r="H33" s="8">
        <v>0</v>
      </c>
      <c r="I33" s="8">
        <v>1</v>
      </c>
      <c r="J33" s="8">
        <v>1</v>
      </c>
      <c r="K33" s="8">
        <v>1</v>
      </c>
      <c r="L33" s="8">
        <v>1</v>
      </c>
      <c r="M33" s="8">
        <v>1</v>
      </c>
      <c r="N33" s="8">
        <v>1</v>
      </c>
      <c r="O33" s="8">
        <v>1</v>
      </c>
      <c r="P33" s="8">
        <v>1</v>
      </c>
      <c r="Q33" s="8">
        <v>1</v>
      </c>
      <c r="R33" s="8">
        <v>1</v>
      </c>
      <c r="S33" s="8">
        <v>1</v>
      </c>
      <c r="T33" s="8">
        <v>1</v>
      </c>
      <c r="U33" s="8">
        <v>1</v>
      </c>
      <c r="V33" s="8">
        <v>1</v>
      </c>
      <c r="W33" s="8">
        <v>1</v>
      </c>
      <c r="X33" s="8">
        <v>1</v>
      </c>
    </row>
    <row r="34" spans="1:24" s="2" customFormat="1" x14ac:dyDescent="0.3">
      <c r="A34" s="3"/>
      <c r="B34" s="3"/>
      <c r="R34" s="7"/>
      <c r="S34" s="7"/>
      <c r="T34" s="7"/>
      <c r="U34" s="7"/>
    </row>
    <row r="35" spans="1:24" x14ac:dyDescent="0.3">
      <c r="A35" s="22" t="s">
        <v>103</v>
      </c>
      <c r="B35" s="22"/>
      <c r="C35" s="3"/>
    </row>
    <row r="36" spans="1:24" x14ac:dyDescent="0.3">
      <c r="A36" s="3" t="s">
        <v>96</v>
      </c>
      <c r="C36" s="3"/>
      <c r="D36" s="85"/>
      <c r="E36" s="85"/>
      <c r="F36" s="85"/>
      <c r="G36" s="85">
        <v>1</v>
      </c>
      <c r="H36" s="85">
        <v>2</v>
      </c>
      <c r="I36" s="85">
        <v>4</v>
      </c>
      <c r="J36" s="85">
        <v>5</v>
      </c>
      <c r="K36" s="85">
        <v>7</v>
      </c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</row>
    <row r="37" spans="1:24" x14ac:dyDescent="0.3">
      <c r="A37" s="10" t="s">
        <v>34</v>
      </c>
      <c r="B37" s="10"/>
      <c r="C37" s="11" t="s">
        <v>35</v>
      </c>
      <c r="D37" s="90" t="s">
        <v>1</v>
      </c>
      <c r="E37" s="90" t="s">
        <v>2</v>
      </c>
      <c r="F37" s="90" t="s">
        <v>3</v>
      </c>
      <c r="G37" s="90" t="s">
        <v>4</v>
      </c>
      <c r="H37" s="90" t="s">
        <v>5</v>
      </c>
      <c r="I37" s="90" t="s">
        <v>6</v>
      </c>
      <c r="J37" s="90" t="s">
        <v>7</v>
      </c>
      <c r="K37" s="90" t="s">
        <v>8</v>
      </c>
      <c r="L37" s="90" t="s">
        <v>9</v>
      </c>
      <c r="M37" s="90" t="s">
        <v>10</v>
      </c>
      <c r="N37" s="90" t="s">
        <v>11</v>
      </c>
      <c r="O37" s="90" t="s">
        <v>12</v>
      </c>
      <c r="P37" s="90" t="s">
        <v>13</v>
      </c>
      <c r="Q37" s="90" t="s">
        <v>14</v>
      </c>
      <c r="R37" s="90" t="s">
        <v>15</v>
      </c>
      <c r="S37" s="90" t="s">
        <v>16</v>
      </c>
      <c r="T37" s="90" t="s">
        <v>17</v>
      </c>
      <c r="U37" s="90" t="s">
        <v>18</v>
      </c>
      <c r="V37" s="90" t="s">
        <v>19</v>
      </c>
      <c r="W37" s="90" t="s">
        <v>20</v>
      </c>
      <c r="X37" s="90" t="s">
        <v>21</v>
      </c>
    </row>
    <row r="38" spans="1:24" x14ac:dyDescent="0.3">
      <c r="A38" s="3" t="s">
        <v>36</v>
      </c>
      <c r="B38" s="28">
        <f>C38-C27</f>
        <v>-3809223.1421564519</v>
      </c>
      <c r="C38" s="83">
        <f t="shared" ref="C38:C46" si="11">NPV($B$2,E38:X38)</f>
        <v>35597420.116926223</v>
      </c>
      <c r="D38" s="24"/>
      <c r="E38" s="24">
        <f t="shared" ref="E38:X38" si="12">IF(E47=0,0,E9)</f>
        <v>0</v>
      </c>
      <c r="F38" s="24">
        <f t="shared" si="12"/>
        <v>0</v>
      </c>
      <c r="G38" s="24">
        <f t="shared" si="12"/>
        <v>0</v>
      </c>
      <c r="H38" s="24">
        <f t="shared" si="12"/>
        <v>0</v>
      </c>
      <c r="I38" s="24">
        <f t="shared" si="12"/>
        <v>0</v>
      </c>
      <c r="J38" s="24">
        <f t="shared" si="12"/>
        <v>0</v>
      </c>
      <c r="K38" s="24">
        <f t="shared" si="12"/>
        <v>0</v>
      </c>
      <c r="L38" s="24">
        <f t="shared" si="12"/>
        <v>2211113.5</v>
      </c>
      <c r="M38" s="24">
        <f t="shared" si="12"/>
        <v>2564206.5078125</v>
      </c>
      <c r="N38" s="24">
        <f t="shared" si="12"/>
        <v>2999337.25</v>
      </c>
      <c r="O38" s="24">
        <f t="shared" si="12"/>
        <v>3498552.171875</v>
      </c>
      <c r="P38" s="24">
        <f t="shared" si="12"/>
        <v>4032450.4140625</v>
      </c>
      <c r="Q38" s="24">
        <f t="shared" si="12"/>
        <v>4600329.5625</v>
      </c>
      <c r="R38" s="24">
        <f t="shared" si="12"/>
        <v>5209431.40625</v>
      </c>
      <c r="S38" s="24">
        <f t="shared" si="12"/>
        <v>5922191.625</v>
      </c>
      <c r="T38" s="24">
        <f t="shared" si="12"/>
        <v>6758792.84375</v>
      </c>
      <c r="U38" s="24">
        <f t="shared" si="12"/>
        <v>7710203.078125</v>
      </c>
      <c r="V38" s="24">
        <f t="shared" si="12"/>
        <v>8791945.265625</v>
      </c>
      <c r="W38" s="24">
        <f t="shared" si="12"/>
        <v>10030241.203125</v>
      </c>
      <c r="X38" s="24">
        <f t="shared" si="12"/>
        <v>11444877.109375</v>
      </c>
    </row>
    <row r="39" spans="1:24" x14ac:dyDescent="0.3">
      <c r="A39" s="3" t="s">
        <v>37</v>
      </c>
      <c r="B39" s="28">
        <f>C39-C28</f>
        <v>-579770.37165548187</v>
      </c>
      <c r="C39" s="83">
        <f t="shared" si="11"/>
        <v>2973680.0491210562</v>
      </c>
      <c r="D39" s="24"/>
      <c r="E39" s="24">
        <f t="shared" ref="E39:X39" si="13">IF(E38=0,0,E10)</f>
        <v>0</v>
      </c>
      <c r="F39" s="24">
        <f t="shared" si="13"/>
        <v>0</v>
      </c>
      <c r="G39" s="24">
        <f t="shared" si="13"/>
        <v>0</v>
      </c>
      <c r="H39" s="24">
        <f t="shared" si="13"/>
        <v>0</v>
      </c>
      <c r="I39" s="24">
        <f t="shared" si="13"/>
        <v>0</v>
      </c>
      <c r="J39" s="24">
        <f t="shared" si="13"/>
        <v>0</v>
      </c>
      <c r="K39" s="24">
        <f t="shared" si="13"/>
        <v>0</v>
      </c>
      <c r="L39" s="24">
        <f t="shared" si="13"/>
        <v>299828</v>
      </c>
      <c r="M39" s="24">
        <f t="shared" si="13"/>
        <v>322108</v>
      </c>
      <c r="N39" s="24">
        <f t="shared" si="13"/>
        <v>345712</v>
      </c>
      <c r="O39" s="24">
        <f t="shared" si="13"/>
        <v>370699</v>
      </c>
      <c r="P39" s="24">
        <f t="shared" si="13"/>
        <v>397130</v>
      </c>
      <c r="Q39" s="24">
        <f t="shared" si="13"/>
        <v>425066</v>
      </c>
      <c r="R39" s="24">
        <f t="shared" si="13"/>
        <v>454573</v>
      </c>
      <c r="S39" s="24">
        <f t="shared" si="13"/>
        <v>485714</v>
      </c>
      <c r="T39" s="24">
        <f t="shared" si="13"/>
        <v>518559</v>
      </c>
      <c r="U39" s="24">
        <f t="shared" si="13"/>
        <v>553176</v>
      </c>
      <c r="V39" s="24">
        <f t="shared" si="13"/>
        <v>589637</v>
      </c>
      <c r="W39" s="24">
        <f t="shared" si="13"/>
        <v>628016</v>
      </c>
      <c r="X39" s="24">
        <f t="shared" si="13"/>
        <v>668387</v>
      </c>
    </row>
    <row r="40" spans="1:24" x14ac:dyDescent="0.3">
      <c r="A40" s="3" t="s">
        <v>38</v>
      </c>
      <c r="B40" s="28">
        <f>C40-C29</f>
        <v>-182309.06492120097</v>
      </c>
      <c r="C40" s="83">
        <f t="shared" si="11"/>
        <v>937248.72802419658</v>
      </c>
      <c r="D40" s="24"/>
      <c r="E40" s="24">
        <f t="shared" ref="E40:X40" si="14">IF(E38=0,0,E11)</f>
        <v>0</v>
      </c>
      <c r="F40" s="24">
        <f t="shared" si="14"/>
        <v>0</v>
      </c>
      <c r="G40" s="24">
        <f t="shared" si="14"/>
        <v>0</v>
      </c>
      <c r="H40" s="24">
        <f t="shared" si="14"/>
        <v>0</v>
      </c>
      <c r="I40" s="24">
        <f t="shared" si="14"/>
        <v>0</v>
      </c>
      <c r="J40" s="24">
        <f t="shared" si="14"/>
        <v>0</v>
      </c>
      <c r="K40" s="24">
        <f t="shared" si="14"/>
        <v>0</v>
      </c>
      <c r="L40" s="24">
        <f t="shared" si="14"/>
        <v>94352.75</v>
      </c>
      <c r="M40" s="24">
        <f t="shared" si="14"/>
        <v>101397.4921875</v>
      </c>
      <c r="N40" s="24">
        <f t="shared" si="14"/>
        <v>108861</v>
      </c>
      <c r="O40" s="24">
        <f t="shared" si="14"/>
        <v>116761.828125</v>
      </c>
      <c r="P40" s="24">
        <f t="shared" si="14"/>
        <v>125119.0859375</v>
      </c>
      <c r="Q40" s="24">
        <f t="shared" si="14"/>
        <v>133952.4375</v>
      </c>
      <c r="R40" s="24">
        <f t="shared" si="14"/>
        <v>143282.09375</v>
      </c>
      <c r="S40" s="24">
        <f t="shared" si="14"/>
        <v>153128.875</v>
      </c>
      <c r="T40" s="24">
        <f t="shared" si="14"/>
        <v>163514.15625</v>
      </c>
      <c r="U40" s="24">
        <f t="shared" si="14"/>
        <v>174459.921875</v>
      </c>
      <c r="V40" s="24">
        <f t="shared" si="14"/>
        <v>185988.734375</v>
      </c>
      <c r="W40" s="24">
        <f t="shared" si="14"/>
        <v>198123.796875</v>
      </c>
      <c r="X40" s="24">
        <f t="shared" si="14"/>
        <v>210888.890625</v>
      </c>
    </row>
    <row r="41" spans="1:24" s="2" customFormat="1" x14ac:dyDescent="0.3">
      <c r="A41" s="3" t="s">
        <v>22</v>
      </c>
      <c r="B41" s="28">
        <f>C41-C30</f>
        <v>4284413.4364175703</v>
      </c>
      <c r="C41" s="83">
        <f t="shared" si="11"/>
        <v>-15662829.405957663</v>
      </c>
      <c r="D41" s="36"/>
      <c r="E41" s="36">
        <v>0</v>
      </c>
      <c r="F41" s="36">
        <v>0</v>
      </c>
      <c r="G41" s="36">
        <v>0</v>
      </c>
      <c r="H41" s="36">
        <v>-86819.687034400005</v>
      </c>
      <c r="I41" s="36">
        <v>-1068758.0750555999</v>
      </c>
      <c r="J41" s="36">
        <v>-5644467.1571434001</v>
      </c>
      <c r="K41" s="36">
        <v>-13369468.492673401</v>
      </c>
      <c r="L41" s="36">
        <v>-1537414.6740643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</row>
    <row r="42" spans="1:24" s="2" customFormat="1" x14ac:dyDescent="0.3">
      <c r="A42" s="3" t="s">
        <v>39</v>
      </c>
      <c r="B42" s="28">
        <f>C42-C31</f>
        <v>201336.91940649226</v>
      </c>
      <c r="C42" s="83">
        <f t="shared" si="11"/>
        <v>5522251.2082310636</v>
      </c>
      <c r="D42" s="36"/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36">
        <v>0</v>
      </c>
      <c r="W42" s="36">
        <v>0</v>
      </c>
      <c r="X42" s="24">
        <f>SUM(D41:X41)*($B$6-SUM(D47:X47))/-$B$6</f>
        <v>14652176.458030496</v>
      </c>
    </row>
    <row r="43" spans="1:24" s="2" customFormat="1" x14ac:dyDescent="0.3">
      <c r="A43" s="3" t="s">
        <v>43</v>
      </c>
      <c r="B43" s="28">
        <f>C43</f>
        <v>1989825.9336985147</v>
      </c>
      <c r="C43" s="83">
        <f t="shared" si="11"/>
        <v>1989825.9336985147</v>
      </c>
      <c r="D43" s="24"/>
      <c r="E43" s="24">
        <f>-E41*Assumptions!B6</f>
        <v>0</v>
      </c>
      <c r="F43" s="24">
        <f>-F41*Assumptions!C6</f>
        <v>0</v>
      </c>
      <c r="G43" s="24">
        <f>-G41*Assumptions!D6</f>
        <v>0</v>
      </c>
      <c r="H43" s="24">
        <f>-H41*Assumptions!E6</f>
        <v>8348.0468302307709</v>
      </c>
      <c r="I43" s="24">
        <f>-I41*Assumptions!F6</f>
        <v>115097.02346752615</v>
      </c>
      <c r="J43" s="24">
        <f>-J41*Assumptions!G6</f>
        <v>672994.16104402079</v>
      </c>
      <c r="K43" s="24">
        <f>-K41*Assumptions!H6</f>
        <v>1748315.110580368</v>
      </c>
      <c r="L43" s="24">
        <f>-L41*Assumptions!I6</f>
        <v>218785.9343860735</v>
      </c>
      <c r="M43" s="24">
        <f>-M41*Assumptions!J6</f>
        <v>0</v>
      </c>
      <c r="N43" s="24">
        <f>-N41*Assumptions!K6</f>
        <v>0</v>
      </c>
      <c r="O43" s="24">
        <f>-O41*Assumptions!L6</f>
        <v>0</v>
      </c>
      <c r="P43" s="24">
        <f>-P41*Assumptions!M6</f>
        <v>0</v>
      </c>
      <c r="Q43" s="24">
        <f>-Q41*Assumptions!N6</f>
        <v>0</v>
      </c>
      <c r="R43" s="24">
        <f>-R41*Assumptions!O6</f>
        <v>0</v>
      </c>
      <c r="S43" s="24">
        <f>-S41*Assumptions!Q5</f>
        <v>0</v>
      </c>
      <c r="T43" s="24">
        <f>-T41*Assumptions!R5</f>
        <v>0</v>
      </c>
      <c r="U43" s="24">
        <f>-U41*Assumptions!S5</f>
        <v>0</v>
      </c>
      <c r="V43" s="24">
        <f>-V41*Assumptions!T5</f>
        <v>0</v>
      </c>
      <c r="W43" s="24">
        <f>-W41*Assumptions!U5</f>
        <v>0</v>
      </c>
      <c r="X43" s="24">
        <f>-X41*Assumptions!V5</f>
        <v>0</v>
      </c>
    </row>
    <row r="44" spans="1:24" s="2" customFormat="1" x14ac:dyDescent="0.3">
      <c r="A44" s="3" t="s">
        <v>41</v>
      </c>
      <c r="B44" s="28">
        <f>C44</f>
        <v>-3428399.9989093249</v>
      </c>
      <c r="C44" s="83">
        <f t="shared" si="11"/>
        <v>-3428399.9989093249</v>
      </c>
      <c r="D44" s="36"/>
      <c r="E44" s="36">
        <v>0</v>
      </c>
      <c r="F44" s="36">
        <v>0</v>
      </c>
      <c r="G44" s="28">
        <f>-Assumptions!D14*(G36-F36)*1000*Assumptions!$C9-Assumptions!D15*G36*1000*Assumptions!$C10</f>
        <v>-646000</v>
      </c>
      <c r="H44" s="28">
        <f>-Assumptions!E14*(H36-G36)*1000*Assumptions!$C9-Assumptions!E15*H36*1000*Assumptions!$C10</f>
        <v>-649800</v>
      </c>
      <c r="I44" s="28">
        <f>-Assumptions!F14*(I36-H36)*1000*Assumptions!$C9-Assumptions!F15*I36*1000*Assumptions!$C10</f>
        <v>-1234620</v>
      </c>
      <c r="J44" s="28">
        <f>-Assumptions!G14*(J36-I36)*1000*Assumptions!$C9-Assumptions!G15*J36*1000*Assumptions!$C10</f>
        <v>-684185.25</v>
      </c>
      <c r="K44" s="28">
        <f>-Assumptions!H14*(K36-J36)*1000*Assumptions!$C9-Assumptions!H15*K36*1000*Assumptions!$C10</f>
        <v>-1207098.2625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  <c r="Q44" s="36">
        <v>0</v>
      </c>
      <c r="R44" s="36">
        <v>0</v>
      </c>
      <c r="S44" s="36">
        <v>0</v>
      </c>
      <c r="T44" s="36">
        <v>0</v>
      </c>
      <c r="U44" s="36">
        <v>0</v>
      </c>
      <c r="V44" s="36">
        <v>0</v>
      </c>
      <c r="W44" s="36">
        <v>0</v>
      </c>
      <c r="X44" s="36">
        <v>0</v>
      </c>
    </row>
    <row r="45" spans="1:24" s="2" customFormat="1" x14ac:dyDescent="0.3">
      <c r="A45" s="10" t="s">
        <v>42</v>
      </c>
      <c r="B45" s="45">
        <f>C45</f>
        <v>2539362.0887462334</v>
      </c>
      <c r="C45" s="86">
        <f t="shared" si="11"/>
        <v>2539362.0887462334</v>
      </c>
      <c r="D45" s="43"/>
      <c r="E45" s="43">
        <f t="shared" ref="E45:X45" si="15">IF(E36&gt;0,E$9-VLOOKUP(E36,$C$17:$X$23,E$16,FALSE),0)</f>
        <v>0</v>
      </c>
      <c r="F45" s="43">
        <f t="shared" si="15"/>
        <v>0</v>
      </c>
      <c r="G45" s="43">
        <f t="shared" si="15"/>
        <v>242637.375</v>
      </c>
      <c r="H45" s="43">
        <f t="shared" si="15"/>
        <v>355983</v>
      </c>
      <c r="I45" s="43">
        <f t="shared" si="15"/>
        <v>647170.9765625</v>
      </c>
      <c r="J45" s="43">
        <f t="shared" si="15"/>
        <v>922750.25</v>
      </c>
      <c r="K45" s="43">
        <f t="shared" si="15"/>
        <v>1183721.6380208333</v>
      </c>
      <c r="L45" s="43">
        <f t="shared" si="15"/>
        <v>0</v>
      </c>
      <c r="M45" s="43">
        <f t="shared" si="15"/>
        <v>0</v>
      </c>
      <c r="N45" s="43">
        <f t="shared" si="15"/>
        <v>0</v>
      </c>
      <c r="O45" s="43">
        <f t="shared" si="15"/>
        <v>0</v>
      </c>
      <c r="P45" s="43">
        <f t="shared" si="15"/>
        <v>0</v>
      </c>
      <c r="Q45" s="43">
        <f t="shared" si="15"/>
        <v>0</v>
      </c>
      <c r="R45" s="43">
        <f t="shared" si="15"/>
        <v>0</v>
      </c>
      <c r="S45" s="43">
        <f t="shared" si="15"/>
        <v>0</v>
      </c>
      <c r="T45" s="43">
        <f t="shared" si="15"/>
        <v>0</v>
      </c>
      <c r="U45" s="43">
        <f t="shared" si="15"/>
        <v>0</v>
      </c>
      <c r="V45" s="43">
        <f t="shared" si="15"/>
        <v>0</v>
      </c>
      <c r="W45" s="43">
        <f t="shared" si="15"/>
        <v>0</v>
      </c>
      <c r="X45" s="43">
        <f t="shared" si="15"/>
        <v>0</v>
      </c>
    </row>
    <row r="46" spans="1:24" s="2" customFormat="1" x14ac:dyDescent="0.3">
      <c r="A46" s="3"/>
      <c r="B46" s="3"/>
      <c r="C46" s="28">
        <f t="shared" si="11"/>
        <v>30468558.719880298</v>
      </c>
      <c r="D46" s="28"/>
      <c r="E46" s="28">
        <f t="shared" ref="E46:U46" si="16">SUM(E38:E45)</f>
        <v>0</v>
      </c>
      <c r="F46" s="28">
        <f t="shared" si="16"/>
        <v>0</v>
      </c>
      <c r="G46" s="28">
        <f t="shared" si="16"/>
        <v>-403362.625</v>
      </c>
      <c r="H46" s="28">
        <f t="shared" si="16"/>
        <v>-372288.64020416921</v>
      </c>
      <c r="I46" s="28">
        <f t="shared" si="16"/>
        <v>-1541110.0750255738</v>
      </c>
      <c r="J46" s="28">
        <f t="shared" si="16"/>
        <v>-4732907.9960993789</v>
      </c>
      <c r="K46" s="28">
        <f t="shared" si="16"/>
        <v>-11644530.006572198</v>
      </c>
      <c r="L46" s="28">
        <f t="shared" si="16"/>
        <v>1286665.5103217736</v>
      </c>
      <c r="M46" s="28">
        <f t="shared" si="16"/>
        <v>2987712</v>
      </c>
      <c r="N46" s="28">
        <f t="shared" si="16"/>
        <v>3453910.25</v>
      </c>
      <c r="O46" s="28">
        <f t="shared" si="16"/>
        <v>3986013</v>
      </c>
      <c r="P46" s="28">
        <f t="shared" si="16"/>
        <v>4554699.5</v>
      </c>
      <c r="Q46" s="28">
        <f t="shared" si="16"/>
        <v>5159348</v>
      </c>
      <c r="R46" s="28">
        <f t="shared" si="16"/>
        <v>5807286.5</v>
      </c>
      <c r="S46" s="28">
        <f t="shared" si="16"/>
        <v>6561034.5</v>
      </c>
      <c r="T46" s="28">
        <f t="shared" si="16"/>
        <v>7440866</v>
      </c>
      <c r="U46" s="28">
        <f t="shared" si="16"/>
        <v>8437839</v>
      </c>
      <c r="V46" s="28">
        <f t="shared" ref="V46:X46" si="17">SUM(V38:V45)</f>
        <v>9567571</v>
      </c>
      <c r="W46" s="28">
        <f t="shared" si="17"/>
        <v>10856381</v>
      </c>
      <c r="X46" s="28">
        <f t="shared" si="17"/>
        <v>26976329.458030496</v>
      </c>
    </row>
    <row r="47" spans="1:24" x14ac:dyDescent="0.3">
      <c r="C47" s="3"/>
      <c r="D47" s="8"/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1</v>
      </c>
      <c r="M47" s="8">
        <v>1</v>
      </c>
      <c r="N47" s="8">
        <v>1</v>
      </c>
      <c r="O47" s="8">
        <v>1</v>
      </c>
      <c r="P47" s="8">
        <v>1</v>
      </c>
      <c r="Q47" s="8">
        <v>1</v>
      </c>
      <c r="R47" s="8">
        <v>1</v>
      </c>
      <c r="S47" s="8">
        <v>1</v>
      </c>
      <c r="T47" s="8">
        <v>1</v>
      </c>
      <c r="U47" s="8">
        <v>1</v>
      </c>
      <c r="V47" s="8">
        <v>1</v>
      </c>
      <c r="W47" s="8">
        <v>1</v>
      </c>
      <c r="X47" s="8">
        <v>1</v>
      </c>
    </row>
    <row r="48" spans="1:24" x14ac:dyDescent="0.3">
      <c r="A48" s="87" t="s">
        <v>98</v>
      </c>
      <c r="C48" s="3"/>
      <c r="E48" s="30" t="str">
        <f>IF(E45&gt;0,E45/E$9,"")</f>
        <v/>
      </c>
      <c r="F48" s="30" t="str">
        <f t="shared" ref="F48:G48" si="18">IF(F45&gt;0,F45/F$9,"")</f>
        <v/>
      </c>
      <c r="G48" s="30">
        <f t="shared" si="18"/>
        <v>0.2093037300024162</v>
      </c>
      <c r="H48" s="30">
        <f t="shared" ref="H48:J48" si="19">IF(H45&gt;0,H45/H$9,"")</f>
        <v>0.27217964284213486</v>
      </c>
      <c r="I48" s="30">
        <f t="shared" si="19"/>
        <v>0.4364104455052048</v>
      </c>
      <c r="J48" s="30">
        <f t="shared" si="19"/>
        <v>0.5432549728845415</v>
      </c>
      <c r="K48" s="30">
        <f t="shared" ref="K48" si="20">IF(K45&gt;0,K45/K$9,"")</f>
        <v>0.60968473062315343</v>
      </c>
    </row>
    <row r="49" spans="1:13" x14ac:dyDescent="0.3">
      <c r="A49" s="87" t="s">
        <v>97</v>
      </c>
      <c r="C49" s="3"/>
      <c r="E49" s="7"/>
      <c r="F49" s="7"/>
      <c r="G49" s="30">
        <f>IF(G$45&gt;0,G$45/G$12,"")</f>
        <v>0.16962687311910346</v>
      </c>
      <c r="H49" s="30">
        <f>IF(H$45&gt;0,H$45/H$12,"")</f>
        <v>0.22238577450208158</v>
      </c>
      <c r="I49" s="30">
        <f>IF(I$45&gt;0,I$45/I$12,"")</f>
        <v>0.35976553406828599</v>
      </c>
      <c r="J49" s="30">
        <f>IF(J$45&gt;0,J$45/J$12,"")</f>
        <v>0.45254542633451977</v>
      </c>
      <c r="K49" s="30">
        <f>IF(K$45&gt;0,K$45/K$12,"")</f>
        <v>0.51286532668769591</v>
      </c>
    </row>
    <row r="50" spans="1:13" x14ac:dyDescent="0.3">
      <c r="A50" s="32"/>
      <c r="B50" s="32"/>
      <c r="C50" s="16"/>
    </row>
    <row r="54" spans="1:13" x14ac:dyDescent="0.3">
      <c r="J54" s="24"/>
      <c r="K54" s="24"/>
      <c r="L54" s="24"/>
      <c r="M54" s="24"/>
    </row>
  </sheetData>
  <pageMargins left="0.25" right="0.25" top="0.75" bottom="0.75" header="0.3" footer="0.3"/>
  <pageSetup paperSize="8" scale="67" orientation="portrait" verticalDpi="300" r:id="rId1"/>
  <customProperties>
    <customPr name="_pios_id" r:id="rId2"/>
  </customProperties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B45"/>
  <sheetViews>
    <sheetView zoomScale="85" zoomScaleNormal="85" workbookViewId="0">
      <selection activeCell="B1" sqref="B1"/>
    </sheetView>
  </sheetViews>
  <sheetFormatPr defaultColWidth="8.90625" defaultRowHeight="13.8" x14ac:dyDescent="0.3"/>
  <cols>
    <col min="1" max="1" width="22.90625" style="3" customWidth="1"/>
    <col min="2" max="2" width="8.08984375" style="3" customWidth="1"/>
    <col min="3" max="3" width="9.36328125" style="2" customWidth="1"/>
    <col min="4" max="4" width="7.90625" style="3" bestFit="1" customWidth="1"/>
    <col min="5" max="5" width="7.08984375" style="3" bestFit="1" customWidth="1"/>
    <col min="6" max="6" width="7.6328125" style="3" bestFit="1" customWidth="1"/>
    <col min="7" max="7" width="7.1796875" style="3" bestFit="1" customWidth="1"/>
    <col min="8" max="8" width="8.08984375" style="3" bestFit="1" customWidth="1"/>
    <col min="9" max="9" width="7.54296875" style="3" bestFit="1" customWidth="1"/>
    <col min="10" max="10" width="8" style="3" bestFit="1" customWidth="1"/>
    <col min="11" max="18" width="7.54296875" style="3" bestFit="1" customWidth="1"/>
    <col min="19" max="19" width="7.1796875" style="3" bestFit="1" customWidth="1"/>
    <col min="20" max="20" width="8.36328125" style="3" bestFit="1" customWidth="1"/>
    <col min="21" max="21" width="7.54296875" style="3" bestFit="1" customWidth="1"/>
    <col min="22" max="16384" width="8.90625" style="3"/>
  </cols>
  <sheetData>
    <row r="1" spans="1:28" x14ac:dyDescent="0.3">
      <c r="A1" s="1" t="s">
        <v>102</v>
      </c>
      <c r="B1" s="3" t="s">
        <v>119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8" x14ac:dyDescent="0.3">
      <c r="A2" s="3" t="s">
        <v>0</v>
      </c>
      <c r="B2" s="4">
        <v>0.05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5" t="s">
        <v>15</v>
      </c>
      <c r="S2" s="5" t="s">
        <v>16</v>
      </c>
      <c r="T2" s="5" t="s">
        <v>17</v>
      </c>
      <c r="U2" s="5" t="s">
        <v>18</v>
      </c>
      <c r="V2" s="5" t="s">
        <v>19</v>
      </c>
      <c r="W2" s="5" t="s">
        <v>20</v>
      </c>
      <c r="X2" s="5" t="s">
        <v>21</v>
      </c>
      <c r="Y2" s="6"/>
      <c r="Z2" s="6"/>
      <c r="AA2" s="6"/>
      <c r="AB2" s="6"/>
    </row>
    <row r="3" spans="1:28" x14ac:dyDescent="0.3">
      <c r="A3" s="3" t="s">
        <v>22</v>
      </c>
      <c r="B3" s="83">
        <f>SUM(D3:W3)</f>
        <v>-7856814.7633592999</v>
      </c>
      <c r="D3" s="36">
        <v>0</v>
      </c>
      <c r="E3" s="36">
        <v>0</v>
      </c>
      <c r="F3" s="36">
        <v>0</v>
      </c>
      <c r="G3" s="36">
        <v>0</v>
      </c>
      <c r="H3" s="36">
        <v>0</v>
      </c>
      <c r="I3" s="36">
        <v>-53281.314076000002</v>
      </c>
      <c r="J3" s="36">
        <v>-795398.19827629998</v>
      </c>
      <c r="K3" s="36">
        <v>-2148843.7726042001</v>
      </c>
      <c r="L3" s="36">
        <v>-4295988.1845054999</v>
      </c>
      <c r="M3" s="36">
        <v>-561067.69407670002</v>
      </c>
      <c r="N3" s="36">
        <v>-2235.5998205999999</v>
      </c>
      <c r="O3" s="36">
        <v>0</v>
      </c>
      <c r="P3" s="36">
        <v>0</v>
      </c>
      <c r="Q3" s="36">
        <v>0</v>
      </c>
      <c r="R3" s="36">
        <v>0</v>
      </c>
      <c r="S3" s="36">
        <v>0</v>
      </c>
      <c r="T3" s="36">
        <v>0</v>
      </c>
      <c r="U3" s="36">
        <v>0</v>
      </c>
      <c r="V3" s="36">
        <v>0</v>
      </c>
      <c r="W3" s="36">
        <v>0</v>
      </c>
      <c r="X3" s="36">
        <v>0</v>
      </c>
    </row>
    <row r="4" spans="1:28" x14ac:dyDescent="0.3">
      <c r="A4" s="3" t="s">
        <v>23</v>
      </c>
      <c r="B4" s="36">
        <v>411693.82637055963</v>
      </c>
    </row>
    <row r="5" spans="1:28" x14ac:dyDescent="0.3">
      <c r="A5" s="3" t="s">
        <v>24</v>
      </c>
      <c r="B5" s="8">
        <v>40</v>
      </c>
    </row>
    <row r="6" spans="1:28" x14ac:dyDescent="0.3">
      <c r="C6" s="7"/>
    </row>
    <row r="7" spans="1:28" x14ac:dyDescent="0.3">
      <c r="A7" s="10" t="s">
        <v>25</v>
      </c>
      <c r="B7" s="10"/>
      <c r="C7" s="11"/>
      <c r="D7" s="80" t="s">
        <v>1</v>
      </c>
      <c r="E7" s="80" t="s">
        <v>2</v>
      </c>
      <c r="F7" s="80" t="s">
        <v>3</v>
      </c>
      <c r="G7" s="80" t="s">
        <v>4</v>
      </c>
      <c r="H7" s="80" t="s">
        <v>5</v>
      </c>
      <c r="I7" s="80" t="s">
        <v>6</v>
      </c>
      <c r="J7" s="80" t="s">
        <v>7</v>
      </c>
      <c r="K7" s="80" t="s">
        <v>8</v>
      </c>
      <c r="L7" s="80" t="s">
        <v>9</v>
      </c>
      <c r="M7" s="80" t="s">
        <v>10</v>
      </c>
      <c r="N7" s="80" t="s">
        <v>11</v>
      </c>
      <c r="O7" s="80" t="s">
        <v>12</v>
      </c>
      <c r="P7" s="80" t="s">
        <v>13</v>
      </c>
      <c r="Q7" s="80" t="s">
        <v>14</v>
      </c>
      <c r="R7" s="80" t="s">
        <v>15</v>
      </c>
      <c r="S7" s="80" t="s">
        <v>16</v>
      </c>
      <c r="T7" s="80" t="s">
        <v>17</v>
      </c>
      <c r="U7" s="80" t="s">
        <v>18</v>
      </c>
      <c r="V7" s="80" t="s">
        <v>19</v>
      </c>
      <c r="W7" s="80" t="s">
        <v>20</v>
      </c>
      <c r="X7" s="80" t="s">
        <v>21</v>
      </c>
    </row>
    <row r="8" spans="1:28" x14ac:dyDescent="0.3">
      <c r="A8" s="3" t="s">
        <v>26</v>
      </c>
      <c r="D8" s="36">
        <v>173371.04296875</v>
      </c>
      <c r="E8" s="36">
        <v>179154.4970703125</v>
      </c>
      <c r="F8" s="36">
        <v>145728.759765625</v>
      </c>
      <c r="G8" s="36">
        <v>137775.037109375</v>
      </c>
      <c r="H8" s="36">
        <v>149822.583984375</v>
      </c>
      <c r="I8" s="36">
        <v>171456.111328125</v>
      </c>
      <c r="J8" s="36">
        <v>202046.17578125</v>
      </c>
      <c r="K8" s="36">
        <v>238076.88671875</v>
      </c>
      <c r="L8" s="36">
        <v>278857.46875</v>
      </c>
      <c r="M8" s="36">
        <v>342362.115234375</v>
      </c>
      <c r="N8" s="36">
        <v>429397.609375</v>
      </c>
      <c r="O8" s="36">
        <v>534133.0390625</v>
      </c>
      <c r="P8" s="36">
        <v>640172.69921875</v>
      </c>
      <c r="Q8" s="36">
        <v>751706.92578125</v>
      </c>
      <c r="R8" s="36">
        <v>865421.3515625</v>
      </c>
      <c r="S8" s="36">
        <v>1005493.32421875</v>
      </c>
      <c r="T8" s="36">
        <v>1176431.609375</v>
      </c>
      <c r="U8" s="36">
        <v>1376724.0546875</v>
      </c>
      <c r="V8" s="36">
        <v>1611364.46484375</v>
      </c>
      <c r="W8" s="36">
        <v>1886383.3671875</v>
      </c>
      <c r="X8" s="36">
        <v>2206493.7109375</v>
      </c>
    </row>
    <row r="9" spans="1:28" x14ac:dyDescent="0.3">
      <c r="A9" s="3" t="s">
        <v>27</v>
      </c>
      <c r="D9" s="36">
        <v>46505</v>
      </c>
      <c r="E9" s="36">
        <v>50981</v>
      </c>
      <c r="F9" s="36">
        <v>55797</v>
      </c>
      <c r="G9" s="36">
        <v>60973</v>
      </c>
      <c r="H9" s="36">
        <v>66527</v>
      </c>
      <c r="I9" s="36">
        <v>72481</v>
      </c>
      <c r="J9" s="36">
        <v>78856</v>
      </c>
      <c r="K9" s="36">
        <v>85674</v>
      </c>
      <c r="L9" s="36">
        <v>92958</v>
      </c>
      <c r="M9" s="36">
        <v>100733</v>
      </c>
      <c r="N9" s="36">
        <v>109021</v>
      </c>
      <c r="O9" s="36">
        <v>117849</v>
      </c>
      <c r="P9" s="36">
        <v>127243</v>
      </c>
      <c r="Q9" s="36">
        <v>137230</v>
      </c>
      <c r="R9" s="36">
        <v>147837</v>
      </c>
      <c r="S9" s="36">
        <v>159093</v>
      </c>
      <c r="T9" s="36">
        <v>171029</v>
      </c>
      <c r="U9" s="36">
        <v>183674</v>
      </c>
      <c r="V9" s="36">
        <v>197060</v>
      </c>
      <c r="W9" s="36">
        <v>211219</v>
      </c>
      <c r="X9" s="36">
        <v>226185</v>
      </c>
    </row>
    <row r="10" spans="1:28" x14ac:dyDescent="0.3">
      <c r="A10" s="10" t="s">
        <v>28</v>
      </c>
      <c r="B10" s="10"/>
      <c r="C10" s="13"/>
      <c r="D10" s="54">
        <v>14704.69140625</v>
      </c>
      <c r="E10" s="54">
        <v>16120.0029296875</v>
      </c>
      <c r="F10" s="54">
        <v>17642.818359375</v>
      </c>
      <c r="G10" s="54">
        <v>19279.197265625</v>
      </c>
      <c r="H10" s="54">
        <v>21035.431640625</v>
      </c>
      <c r="I10" s="54">
        <v>22918.044921875</v>
      </c>
      <c r="J10" s="54">
        <v>24933.79296875</v>
      </c>
      <c r="K10" s="54">
        <v>27089.67578125</v>
      </c>
      <c r="L10" s="54">
        <v>29392.9375</v>
      </c>
      <c r="M10" s="54">
        <v>31851.072265625</v>
      </c>
      <c r="N10" s="54">
        <v>34471.828125</v>
      </c>
      <c r="O10" s="54">
        <v>37263.2109375</v>
      </c>
      <c r="P10" s="54">
        <v>40233.48828125</v>
      </c>
      <c r="Q10" s="54">
        <v>43391.19921875</v>
      </c>
      <c r="R10" s="54">
        <v>46745.1484375</v>
      </c>
      <c r="S10" s="54">
        <v>50304.42578125</v>
      </c>
      <c r="T10" s="54">
        <v>54078.390625</v>
      </c>
      <c r="U10" s="54">
        <v>58076.6953125</v>
      </c>
      <c r="V10" s="54">
        <v>62309.28515625</v>
      </c>
      <c r="W10" s="54">
        <v>66786.3828125</v>
      </c>
      <c r="X10" s="54">
        <v>71518.5390625</v>
      </c>
    </row>
    <row r="11" spans="1:28" x14ac:dyDescent="0.3">
      <c r="A11" s="14" t="s">
        <v>29</v>
      </c>
      <c r="B11" s="14"/>
      <c r="C11" s="15"/>
      <c r="D11" s="83">
        <f>SUM(D8:D10)</f>
        <v>234580.734375</v>
      </c>
      <c r="E11" s="83">
        <f>SUM(E8:E10)</f>
        <v>246255.5</v>
      </c>
      <c r="F11" s="83">
        <f t="shared" ref="F11:X11" si="0">SUM(F8:F10)</f>
        <v>219168.578125</v>
      </c>
      <c r="G11" s="83">
        <f t="shared" si="0"/>
        <v>218027.234375</v>
      </c>
      <c r="H11" s="83">
        <f t="shared" si="0"/>
        <v>237385.015625</v>
      </c>
      <c r="I11" s="83">
        <f t="shared" si="0"/>
        <v>266855.15625</v>
      </c>
      <c r="J11" s="83">
        <f t="shared" si="0"/>
        <v>305835.96875</v>
      </c>
      <c r="K11" s="83">
        <f t="shared" si="0"/>
        <v>350840.5625</v>
      </c>
      <c r="L11" s="83">
        <f t="shared" si="0"/>
        <v>401208.40625</v>
      </c>
      <c r="M11" s="83">
        <f t="shared" si="0"/>
        <v>474946.1875</v>
      </c>
      <c r="N11" s="83">
        <f t="shared" si="0"/>
        <v>572890.4375</v>
      </c>
      <c r="O11" s="83">
        <f t="shared" si="0"/>
        <v>689245.25</v>
      </c>
      <c r="P11" s="83">
        <f t="shared" si="0"/>
        <v>807649.1875</v>
      </c>
      <c r="Q11" s="83">
        <f t="shared" si="0"/>
        <v>932328.125</v>
      </c>
      <c r="R11" s="83">
        <f t="shared" si="0"/>
        <v>1060003.5</v>
      </c>
      <c r="S11" s="83">
        <f t="shared" si="0"/>
        <v>1214890.75</v>
      </c>
      <c r="T11" s="83">
        <f t="shared" si="0"/>
        <v>1401539</v>
      </c>
      <c r="U11" s="83">
        <f t="shared" si="0"/>
        <v>1618474.75</v>
      </c>
      <c r="V11" s="83">
        <f t="shared" si="0"/>
        <v>1870733.75</v>
      </c>
      <c r="W11" s="83">
        <f t="shared" si="0"/>
        <v>2164388.75</v>
      </c>
      <c r="X11" s="83">
        <f t="shared" si="0"/>
        <v>2504197.25</v>
      </c>
    </row>
    <row r="12" spans="1:28" x14ac:dyDescent="0.3">
      <c r="A12" s="14" t="s">
        <v>30</v>
      </c>
      <c r="B12" s="14"/>
      <c r="C12" s="15"/>
      <c r="D12" s="83">
        <f t="shared" ref="D12:X12" si="1">$B$4</f>
        <v>411693.82637055963</v>
      </c>
      <c r="E12" s="83">
        <f t="shared" si="1"/>
        <v>411693.82637055963</v>
      </c>
      <c r="F12" s="83">
        <f t="shared" si="1"/>
        <v>411693.82637055963</v>
      </c>
      <c r="G12" s="83">
        <f t="shared" si="1"/>
        <v>411693.82637055963</v>
      </c>
      <c r="H12" s="83">
        <f t="shared" si="1"/>
        <v>411693.82637055963</v>
      </c>
      <c r="I12" s="83">
        <f t="shared" si="1"/>
        <v>411693.82637055963</v>
      </c>
      <c r="J12" s="83">
        <f t="shared" si="1"/>
        <v>411693.82637055963</v>
      </c>
      <c r="K12" s="83">
        <f t="shared" si="1"/>
        <v>411693.82637055963</v>
      </c>
      <c r="L12" s="83">
        <f t="shared" si="1"/>
        <v>411693.82637055963</v>
      </c>
      <c r="M12" s="83">
        <f t="shared" si="1"/>
        <v>411693.82637055963</v>
      </c>
      <c r="N12" s="83">
        <f t="shared" si="1"/>
        <v>411693.82637055963</v>
      </c>
      <c r="O12" s="83">
        <f t="shared" si="1"/>
        <v>411693.82637055963</v>
      </c>
      <c r="P12" s="83">
        <f t="shared" si="1"/>
        <v>411693.82637055963</v>
      </c>
      <c r="Q12" s="83">
        <f t="shared" si="1"/>
        <v>411693.82637055963</v>
      </c>
      <c r="R12" s="83">
        <f t="shared" si="1"/>
        <v>411693.82637055963</v>
      </c>
      <c r="S12" s="83">
        <f t="shared" si="1"/>
        <v>411693.82637055963</v>
      </c>
      <c r="T12" s="83">
        <f t="shared" si="1"/>
        <v>411693.82637055963</v>
      </c>
      <c r="U12" s="83">
        <f t="shared" si="1"/>
        <v>411693.82637055963</v>
      </c>
      <c r="V12" s="83">
        <f t="shared" si="1"/>
        <v>411693.82637055963</v>
      </c>
      <c r="W12" s="83">
        <f t="shared" si="1"/>
        <v>411693.82637055963</v>
      </c>
      <c r="X12" s="83">
        <f t="shared" si="1"/>
        <v>411693.82637055963</v>
      </c>
    </row>
    <row r="13" spans="1:28" x14ac:dyDescent="0.3">
      <c r="A13" s="14" t="s">
        <v>31</v>
      </c>
      <c r="B13" s="14"/>
      <c r="C13" s="15"/>
      <c r="D13" s="83">
        <f t="shared" ref="D13:X13" si="2">D11-D12</f>
        <v>-177113.09199555963</v>
      </c>
      <c r="E13" s="83">
        <f>E11-E12</f>
        <v>-165438.32637055963</v>
      </c>
      <c r="F13" s="83">
        <f t="shared" si="2"/>
        <v>-192525.24824555963</v>
      </c>
      <c r="G13" s="83">
        <f t="shared" si="2"/>
        <v>-193666.59199555963</v>
      </c>
      <c r="H13" s="83">
        <f t="shared" si="2"/>
        <v>-174308.81074555963</v>
      </c>
      <c r="I13" s="83">
        <f t="shared" si="2"/>
        <v>-144838.67012055963</v>
      </c>
      <c r="J13" s="83">
        <f t="shared" si="2"/>
        <v>-105857.85762055963</v>
      </c>
      <c r="K13" s="83">
        <f t="shared" si="2"/>
        <v>-60853.263870559633</v>
      </c>
      <c r="L13" s="83">
        <f t="shared" si="2"/>
        <v>-10485.420120559633</v>
      </c>
      <c r="M13" s="83">
        <f t="shared" si="2"/>
        <v>63252.361129440367</v>
      </c>
      <c r="N13" s="83">
        <f t="shared" si="2"/>
        <v>161196.61112944037</v>
      </c>
      <c r="O13" s="83">
        <f t="shared" si="2"/>
        <v>277551.42362944037</v>
      </c>
      <c r="P13" s="83">
        <f t="shared" si="2"/>
        <v>395955.36112944037</v>
      </c>
      <c r="Q13" s="83">
        <f t="shared" si="2"/>
        <v>520634.29862944037</v>
      </c>
      <c r="R13" s="83">
        <f t="shared" si="2"/>
        <v>648309.67362944037</v>
      </c>
      <c r="S13" s="83">
        <f t="shared" si="2"/>
        <v>803196.92362944037</v>
      </c>
      <c r="T13" s="83">
        <f t="shared" si="2"/>
        <v>989845.17362944037</v>
      </c>
      <c r="U13" s="83">
        <f t="shared" si="2"/>
        <v>1206780.9236294404</v>
      </c>
      <c r="V13" s="83">
        <f t="shared" si="2"/>
        <v>1459039.9236294404</v>
      </c>
      <c r="W13" s="83">
        <f t="shared" si="2"/>
        <v>1752694.9236294404</v>
      </c>
      <c r="X13" s="83">
        <f t="shared" si="2"/>
        <v>2092503.4236294404</v>
      </c>
    </row>
    <row r="14" spans="1:28" x14ac:dyDescent="0.3">
      <c r="A14" s="14"/>
      <c r="B14" s="14"/>
      <c r="C14" s="15"/>
      <c r="D14" s="16"/>
      <c r="E14" s="16" t="str">
        <f t="shared" ref="E14:H14" si="3">IF(AND(D11&lt;D12,E11&gt;E12),"Need Year","")</f>
        <v/>
      </c>
      <c r="F14" s="16" t="str">
        <f t="shared" si="3"/>
        <v/>
      </c>
      <c r="G14" s="16" t="str">
        <f t="shared" si="3"/>
        <v/>
      </c>
      <c r="H14" s="16" t="str">
        <f t="shared" si="3"/>
        <v/>
      </c>
      <c r="I14" s="16"/>
      <c r="J14" s="16"/>
      <c r="K14" s="16" t="str">
        <f t="shared" ref="K14:U14" si="4">IF(AND(J11&lt;J12,K11&gt;K12),"Need Year","")</f>
        <v/>
      </c>
      <c r="L14" s="16" t="str">
        <f t="shared" si="4"/>
        <v/>
      </c>
      <c r="M14" s="16"/>
      <c r="N14" s="16" t="str">
        <f t="shared" si="4"/>
        <v/>
      </c>
      <c r="O14" s="16" t="str">
        <f t="shared" si="4"/>
        <v/>
      </c>
      <c r="P14" s="16" t="str">
        <f t="shared" si="4"/>
        <v/>
      </c>
      <c r="Q14" s="16" t="str">
        <f t="shared" si="4"/>
        <v/>
      </c>
      <c r="R14" s="16" t="str">
        <f t="shared" si="4"/>
        <v/>
      </c>
      <c r="S14" s="16" t="str">
        <f t="shared" si="4"/>
        <v/>
      </c>
      <c r="T14" s="16" t="str">
        <f t="shared" si="4"/>
        <v/>
      </c>
      <c r="U14" s="16" t="str">
        <f t="shared" si="4"/>
        <v/>
      </c>
    </row>
    <row r="15" spans="1:28" x14ac:dyDescent="0.3">
      <c r="A15" s="18" t="s">
        <v>93</v>
      </c>
      <c r="B15" s="10"/>
      <c r="C15" s="81" t="s">
        <v>94</v>
      </c>
      <c r="D15" s="19">
        <v>2</v>
      </c>
      <c r="E15" s="19">
        <v>3</v>
      </c>
      <c r="F15" s="19">
        <v>4</v>
      </c>
      <c r="G15" s="19">
        <v>5</v>
      </c>
      <c r="H15" s="19">
        <v>6</v>
      </c>
      <c r="I15" s="19">
        <v>7</v>
      </c>
      <c r="J15" s="19">
        <v>8</v>
      </c>
      <c r="K15" s="19">
        <v>9</v>
      </c>
      <c r="L15" s="19">
        <v>10</v>
      </c>
      <c r="M15" s="19">
        <v>11</v>
      </c>
      <c r="N15" s="19">
        <v>12</v>
      </c>
      <c r="O15" s="19">
        <v>13</v>
      </c>
      <c r="P15" s="19">
        <v>14</v>
      </c>
      <c r="Q15" s="19">
        <v>15</v>
      </c>
      <c r="R15" s="19">
        <v>16</v>
      </c>
      <c r="S15" s="19">
        <v>17</v>
      </c>
      <c r="T15" s="19">
        <v>18</v>
      </c>
      <c r="U15" s="19">
        <v>19</v>
      </c>
      <c r="V15" s="19">
        <v>20</v>
      </c>
      <c r="W15" s="19">
        <v>21</v>
      </c>
      <c r="X15" s="19">
        <v>22</v>
      </c>
    </row>
    <row r="16" spans="1:28" x14ac:dyDescent="0.3">
      <c r="A16" s="14" t="s">
        <v>32</v>
      </c>
      <c r="B16" s="14"/>
      <c r="C16" s="20">
        <v>1</v>
      </c>
      <c r="D16" s="36">
        <v>128592.54296875</v>
      </c>
      <c r="E16" s="36">
        <v>133357.4189453125</v>
      </c>
      <c r="F16" s="36">
        <v>117690.119140625</v>
      </c>
      <c r="G16" s="36">
        <v>116957.365234375</v>
      </c>
      <c r="H16" s="36">
        <v>125539.037109375</v>
      </c>
      <c r="I16" s="36">
        <v>138765.548828125</v>
      </c>
      <c r="J16" s="36">
        <v>156950.26953125</v>
      </c>
      <c r="K16" s="36">
        <v>178870.54296875</v>
      </c>
      <c r="L16" s="36">
        <v>204344.75</v>
      </c>
      <c r="M16" s="36">
        <v>244185.490234375</v>
      </c>
      <c r="N16" s="36">
        <v>300301.171875</v>
      </c>
      <c r="O16" s="36">
        <v>370103.2265625</v>
      </c>
      <c r="P16" s="36">
        <v>442804.57421875</v>
      </c>
      <c r="Q16" s="36">
        <v>520772.23828125</v>
      </c>
      <c r="R16" s="36">
        <v>601249.4765625</v>
      </c>
      <c r="S16" s="36">
        <v>701898.51171875</v>
      </c>
      <c r="T16" s="36">
        <v>826868.484375</v>
      </c>
      <c r="U16" s="36">
        <v>975859.3046875</v>
      </c>
      <c r="V16" s="36">
        <v>1153670.71484375</v>
      </c>
      <c r="W16" s="36">
        <v>1366030.3671875</v>
      </c>
      <c r="X16" s="36">
        <v>1617672.2109375</v>
      </c>
    </row>
    <row r="17" spans="1:24" x14ac:dyDescent="0.3">
      <c r="A17" s="14" t="s">
        <v>32</v>
      </c>
      <c r="B17" s="14"/>
      <c r="C17" s="20">
        <v>2</v>
      </c>
      <c r="D17" s="36">
        <v>104614.85546875</v>
      </c>
      <c r="E17" s="36">
        <v>109262.5751953125</v>
      </c>
      <c r="F17" s="36">
        <v>105048.478515625</v>
      </c>
      <c r="G17" s="36">
        <v>107516.771484375</v>
      </c>
      <c r="H17" s="36">
        <v>114687.583984375</v>
      </c>
      <c r="I17" s="36">
        <v>124210.408203125</v>
      </c>
      <c r="J17" s="36">
        <v>135991.81640625</v>
      </c>
      <c r="K17" s="36">
        <v>149599.07421875</v>
      </c>
      <c r="L17" s="36">
        <v>165259.4375</v>
      </c>
      <c r="M17" s="36">
        <v>188607.677734375</v>
      </c>
      <c r="N17" s="36">
        <v>222039.078125</v>
      </c>
      <c r="O17" s="36">
        <v>265250.7265625</v>
      </c>
      <c r="P17" s="36">
        <v>311851.66796875</v>
      </c>
      <c r="Q17" s="36">
        <v>362868.67578125</v>
      </c>
      <c r="R17" s="36">
        <v>416436.0390625</v>
      </c>
      <c r="S17" s="36">
        <v>484279.01171875</v>
      </c>
      <c r="T17" s="36">
        <v>570028.296875</v>
      </c>
      <c r="U17" s="36">
        <v>674288.3671875</v>
      </c>
      <c r="V17" s="36">
        <v>801140.96484375</v>
      </c>
      <c r="W17" s="36">
        <v>955539.3671875</v>
      </c>
      <c r="X17" s="36">
        <v>1142199.2109375</v>
      </c>
    </row>
    <row r="18" spans="1:24" x14ac:dyDescent="0.3">
      <c r="A18" s="14" t="s">
        <v>32</v>
      </c>
      <c r="B18" s="14"/>
      <c r="C18" s="20">
        <v>3</v>
      </c>
      <c r="D18" s="36">
        <v>93768.55859375</v>
      </c>
      <c r="E18" s="36">
        <v>98443.3408203125</v>
      </c>
      <c r="F18" s="36">
        <v>98522.931640625</v>
      </c>
      <c r="G18" s="36">
        <v>101701.474609375</v>
      </c>
      <c r="H18" s="36">
        <v>108335.724609375</v>
      </c>
      <c r="I18" s="36">
        <v>116635.251953125</v>
      </c>
      <c r="J18" s="36">
        <v>126188.19140625</v>
      </c>
      <c r="K18" s="36">
        <v>136614.26171875</v>
      </c>
      <c r="L18" s="36">
        <v>148006.46875</v>
      </c>
      <c r="M18" s="36">
        <v>162845.021484375</v>
      </c>
      <c r="N18" s="36">
        <v>182351.453125</v>
      </c>
      <c r="O18" s="36">
        <v>207424.3203125</v>
      </c>
      <c r="P18" s="36">
        <v>235531.29296875</v>
      </c>
      <c r="Q18" s="36">
        <v>267209.95703125</v>
      </c>
      <c r="R18" s="36">
        <v>301265.6328125</v>
      </c>
      <c r="S18" s="36">
        <v>344527.26171875</v>
      </c>
      <c r="T18" s="36">
        <v>399741.859375</v>
      </c>
      <c r="U18" s="36">
        <v>467842.9296875</v>
      </c>
      <c r="V18" s="36">
        <v>552231.52734375</v>
      </c>
      <c r="W18" s="36">
        <v>657149.8046875</v>
      </c>
      <c r="X18" s="36">
        <v>786984.3359375</v>
      </c>
    </row>
    <row r="19" spans="1:24" x14ac:dyDescent="0.3">
      <c r="A19" s="14" t="s">
        <v>32</v>
      </c>
      <c r="B19" s="14"/>
      <c r="C19" s="20">
        <v>4</v>
      </c>
      <c r="D19" s="36">
        <v>88862.240755524996</v>
      </c>
      <c r="E19" s="36">
        <v>93585.212928896653</v>
      </c>
      <c r="F19" s="36">
        <v>95154.479453049687</v>
      </c>
      <c r="G19" s="36">
        <v>98119.318800119378</v>
      </c>
      <c r="H19" s="36">
        <v>104617.68638398522</v>
      </c>
      <c r="I19" s="36">
        <v>112692.79659042292</v>
      </c>
      <c r="J19" s="36">
        <v>121602.40148332958</v>
      </c>
      <c r="K19" s="36">
        <v>130854.20378998083</v>
      </c>
      <c r="L19" s="36">
        <v>140390.69413674914</v>
      </c>
      <c r="M19" s="36">
        <v>150902.94555154364</v>
      </c>
      <c r="N19" s="36">
        <v>162225.39333452034</v>
      </c>
      <c r="O19" s="36">
        <v>175532.91801126694</v>
      </c>
      <c r="P19" s="36">
        <v>191051.18323357086</v>
      </c>
      <c r="Q19" s="36">
        <v>209259.45656111906</v>
      </c>
      <c r="R19" s="36">
        <v>229494.75589349872</v>
      </c>
      <c r="S19" s="36">
        <v>254780.93095306723</v>
      </c>
      <c r="T19" s="36">
        <v>286841.02762163035</v>
      </c>
      <c r="U19" s="36">
        <v>326517.24685519323</v>
      </c>
      <c r="V19" s="36">
        <v>376484.91850700241</v>
      </c>
      <c r="W19" s="36">
        <v>440247.77514497307</v>
      </c>
      <c r="X19" s="36">
        <v>521611.52313579386</v>
      </c>
    </row>
    <row r="20" spans="1:24" x14ac:dyDescent="0.3">
      <c r="A20" s="14"/>
      <c r="B20" s="14"/>
      <c r="C20" s="20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</row>
    <row r="21" spans="1:24" x14ac:dyDescent="0.3">
      <c r="A21" s="22" t="s">
        <v>33</v>
      </c>
      <c r="B21" s="22"/>
      <c r="C21" s="2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</row>
    <row r="22" spans="1:24" x14ac:dyDescent="0.3">
      <c r="A22" s="10" t="s">
        <v>34</v>
      </c>
      <c r="B22" s="10"/>
      <c r="C22" s="11" t="s">
        <v>35</v>
      </c>
      <c r="D22" s="80" t="s">
        <v>1</v>
      </c>
      <c r="E22" s="80" t="s">
        <v>2</v>
      </c>
      <c r="F22" s="80" t="s">
        <v>3</v>
      </c>
      <c r="G22" s="80" t="s">
        <v>4</v>
      </c>
      <c r="H22" s="80" t="s">
        <v>5</v>
      </c>
      <c r="I22" s="80" t="s">
        <v>6</v>
      </c>
      <c r="J22" s="80" t="s">
        <v>7</v>
      </c>
      <c r="K22" s="80" t="s">
        <v>8</v>
      </c>
      <c r="L22" s="80" t="s">
        <v>9</v>
      </c>
      <c r="M22" s="80" t="s">
        <v>10</v>
      </c>
      <c r="N22" s="80" t="s">
        <v>11</v>
      </c>
      <c r="O22" s="80" t="s">
        <v>12</v>
      </c>
      <c r="P22" s="80" t="s">
        <v>13</v>
      </c>
      <c r="Q22" s="80" t="s">
        <v>14</v>
      </c>
      <c r="R22" s="80" t="s">
        <v>15</v>
      </c>
      <c r="S22" s="80" t="s">
        <v>16</v>
      </c>
      <c r="T22" s="80" t="s">
        <v>17</v>
      </c>
      <c r="U22" s="80" t="s">
        <v>18</v>
      </c>
      <c r="V22" s="80" t="s">
        <v>19</v>
      </c>
      <c r="W22" s="80" t="s">
        <v>20</v>
      </c>
      <c r="X22" s="80" t="s">
        <v>21</v>
      </c>
    </row>
    <row r="23" spans="1:24" x14ac:dyDescent="0.3">
      <c r="A23" s="3" t="s">
        <v>36</v>
      </c>
      <c r="C23" s="83">
        <f>NPV($B$2,E23:X23)</f>
        <v>5859735.963305478</v>
      </c>
      <c r="D23" s="24"/>
      <c r="E23" s="24">
        <f t="shared" ref="E23:X23" si="5">IF(E29=1,E8,0)</f>
        <v>0</v>
      </c>
      <c r="F23" s="24">
        <f t="shared" si="5"/>
        <v>0</v>
      </c>
      <c r="G23" s="24">
        <f t="shared" si="5"/>
        <v>0</v>
      </c>
      <c r="H23" s="24">
        <f t="shared" si="5"/>
        <v>0</v>
      </c>
      <c r="I23" s="24">
        <f t="shared" si="5"/>
        <v>0</v>
      </c>
      <c r="J23" s="24">
        <f t="shared" si="5"/>
        <v>0</v>
      </c>
      <c r="K23" s="24">
        <f t="shared" si="5"/>
        <v>0</v>
      </c>
      <c r="L23" s="24">
        <f t="shared" si="5"/>
        <v>0</v>
      </c>
      <c r="M23" s="24">
        <f t="shared" si="5"/>
        <v>342362.115234375</v>
      </c>
      <c r="N23" s="24">
        <f t="shared" si="5"/>
        <v>429397.609375</v>
      </c>
      <c r="O23" s="24">
        <f t="shared" si="5"/>
        <v>534133.0390625</v>
      </c>
      <c r="P23" s="24">
        <f t="shared" si="5"/>
        <v>640172.69921875</v>
      </c>
      <c r="Q23" s="24">
        <f t="shared" si="5"/>
        <v>751706.92578125</v>
      </c>
      <c r="R23" s="24">
        <f t="shared" si="5"/>
        <v>865421.3515625</v>
      </c>
      <c r="S23" s="24">
        <f t="shared" si="5"/>
        <v>1005493.32421875</v>
      </c>
      <c r="T23" s="24">
        <f t="shared" si="5"/>
        <v>1176431.609375</v>
      </c>
      <c r="U23" s="24">
        <f t="shared" si="5"/>
        <v>1376724.0546875</v>
      </c>
      <c r="V23" s="24">
        <f t="shared" si="5"/>
        <v>1611364.46484375</v>
      </c>
      <c r="W23" s="24">
        <f t="shared" si="5"/>
        <v>1886383.3671875</v>
      </c>
      <c r="X23" s="24">
        <f t="shared" si="5"/>
        <v>2206493.7109375</v>
      </c>
    </row>
    <row r="24" spans="1:24" x14ac:dyDescent="0.3">
      <c r="A24" s="3" t="s">
        <v>37</v>
      </c>
      <c r="C24" s="83">
        <f t="shared" ref="C24:C28" si="6">NPV($B$2,E24:X24)</f>
        <v>904793.03490880749</v>
      </c>
      <c r="D24" s="24"/>
      <c r="E24" s="24">
        <f t="shared" ref="E24:X24" si="7">IF(E23=0,0,E9)</f>
        <v>0</v>
      </c>
      <c r="F24" s="24">
        <f t="shared" si="7"/>
        <v>0</v>
      </c>
      <c r="G24" s="24">
        <f t="shared" si="7"/>
        <v>0</v>
      </c>
      <c r="H24" s="24">
        <f t="shared" si="7"/>
        <v>0</v>
      </c>
      <c r="I24" s="24">
        <f t="shared" si="7"/>
        <v>0</v>
      </c>
      <c r="J24" s="24">
        <f t="shared" si="7"/>
        <v>0</v>
      </c>
      <c r="K24" s="24">
        <f t="shared" si="7"/>
        <v>0</v>
      </c>
      <c r="L24" s="24">
        <f t="shared" si="7"/>
        <v>0</v>
      </c>
      <c r="M24" s="24">
        <f t="shared" si="7"/>
        <v>100733</v>
      </c>
      <c r="N24" s="24">
        <f t="shared" si="7"/>
        <v>109021</v>
      </c>
      <c r="O24" s="24">
        <f t="shared" si="7"/>
        <v>117849</v>
      </c>
      <c r="P24" s="24">
        <f t="shared" si="7"/>
        <v>127243</v>
      </c>
      <c r="Q24" s="24">
        <f t="shared" si="7"/>
        <v>137230</v>
      </c>
      <c r="R24" s="24">
        <f t="shared" si="7"/>
        <v>147837</v>
      </c>
      <c r="S24" s="24">
        <f t="shared" si="7"/>
        <v>159093</v>
      </c>
      <c r="T24" s="24">
        <f t="shared" si="7"/>
        <v>171029</v>
      </c>
      <c r="U24" s="24">
        <f t="shared" si="7"/>
        <v>183674</v>
      </c>
      <c r="V24" s="24">
        <f t="shared" si="7"/>
        <v>197060</v>
      </c>
      <c r="W24" s="24">
        <f t="shared" si="7"/>
        <v>211219</v>
      </c>
      <c r="X24" s="24">
        <f t="shared" si="7"/>
        <v>226185</v>
      </c>
    </row>
    <row r="25" spans="1:24" x14ac:dyDescent="0.3">
      <c r="A25" s="3" t="s">
        <v>38</v>
      </c>
      <c r="C25" s="83">
        <f t="shared" si="6"/>
        <v>286090.40482115565</v>
      </c>
      <c r="D25" s="24"/>
      <c r="E25" s="24">
        <f t="shared" ref="E25:X25" si="8">IF(E23=0,0,E10)</f>
        <v>0</v>
      </c>
      <c r="F25" s="24">
        <f t="shared" si="8"/>
        <v>0</v>
      </c>
      <c r="G25" s="24">
        <f t="shared" si="8"/>
        <v>0</v>
      </c>
      <c r="H25" s="24">
        <f t="shared" si="8"/>
        <v>0</v>
      </c>
      <c r="I25" s="24">
        <f t="shared" si="8"/>
        <v>0</v>
      </c>
      <c r="J25" s="24">
        <f t="shared" si="8"/>
        <v>0</v>
      </c>
      <c r="K25" s="24">
        <f t="shared" si="8"/>
        <v>0</v>
      </c>
      <c r="L25" s="24">
        <f t="shared" si="8"/>
        <v>0</v>
      </c>
      <c r="M25" s="24">
        <f t="shared" si="8"/>
        <v>31851.072265625</v>
      </c>
      <c r="N25" s="24">
        <f t="shared" si="8"/>
        <v>34471.828125</v>
      </c>
      <c r="O25" s="24">
        <f t="shared" si="8"/>
        <v>37263.2109375</v>
      </c>
      <c r="P25" s="24">
        <f t="shared" si="8"/>
        <v>40233.48828125</v>
      </c>
      <c r="Q25" s="24">
        <f t="shared" si="8"/>
        <v>43391.19921875</v>
      </c>
      <c r="R25" s="24">
        <f t="shared" si="8"/>
        <v>46745.1484375</v>
      </c>
      <c r="S25" s="24">
        <f t="shared" si="8"/>
        <v>50304.42578125</v>
      </c>
      <c r="T25" s="24">
        <f t="shared" si="8"/>
        <v>54078.390625</v>
      </c>
      <c r="U25" s="24">
        <f t="shared" si="8"/>
        <v>58076.6953125</v>
      </c>
      <c r="V25" s="24">
        <f t="shared" si="8"/>
        <v>62309.28515625</v>
      </c>
      <c r="W25" s="24">
        <f t="shared" si="8"/>
        <v>66786.3828125</v>
      </c>
      <c r="X25" s="24">
        <f t="shared" si="8"/>
        <v>71518.5390625</v>
      </c>
    </row>
    <row r="26" spans="1:24" s="2" customFormat="1" x14ac:dyDescent="0.3">
      <c r="A26" s="3" t="s">
        <v>22</v>
      </c>
      <c r="B26" s="3"/>
      <c r="C26" s="83">
        <f t="shared" si="6"/>
        <v>-5433164.4409759184</v>
      </c>
      <c r="D26" s="36"/>
      <c r="E26" s="36">
        <v>0</v>
      </c>
      <c r="F26" s="36">
        <v>0</v>
      </c>
      <c r="G26" s="36">
        <v>0</v>
      </c>
      <c r="H26" s="36">
        <v>0</v>
      </c>
      <c r="I26" s="36">
        <v>-53281.314076000002</v>
      </c>
      <c r="J26" s="36">
        <v>-795398.19827629998</v>
      </c>
      <c r="K26" s="36">
        <v>-2148843.7726042001</v>
      </c>
      <c r="L26" s="36">
        <v>-4295988.1845054999</v>
      </c>
      <c r="M26" s="36">
        <v>-561067.69407670002</v>
      </c>
      <c r="N26" s="36">
        <v>-2235.5998205999999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6">
        <v>0</v>
      </c>
      <c r="W26" s="36">
        <v>0</v>
      </c>
      <c r="X26" s="36">
        <v>0</v>
      </c>
    </row>
    <row r="27" spans="1:24" s="2" customFormat="1" x14ac:dyDescent="0.3">
      <c r="A27" s="10" t="s">
        <v>39</v>
      </c>
      <c r="B27" s="10"/>
      <c r="C27" s="86">
        <f t="shared" si="6"/>
        <v>2072805.5972340091</v>
      </c>
      <c r="D27" s="54"/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54">
        <v>0</v>
      </c>
      <c r="X27" s="43">
        <f>SUM(D26:X26)*($B$5-SUM(D29:X29))/-$B$5</f>
        <v>5499770.3343515098</v>
      </c>
    </row>
    <row r="28" spans="1:24" s="2" customFormat="1" x14ac:dyDescent="0.3">
      <c r="A28" s="3" t="s">
        <v>31</v>
      </c>
      <c r="B28" s="3"/>
      <c r="C28" s="83">
        <f t="shared" si="6"/>
        <v>3690260.5592935318</v>
      </c>
      <c r="D28" s="24"/>
      <c r="E28" s="83">
        <f t="shared" ref="E28" si="9">SUM(E23:E27)</f>
        <v>0</v>
      </c>
      <c r="F28" s="83">
        <f t="shared" ref="F28:T28" si="10">SUM(F23:F27)</f>
        <v>0</v>
      </c>
      <c r="G28" s="83">
        <f t="shared" si="10"/>
        <v>0</v>
      </c>
      <c r="H28" s="83">
        <f t="shared" si="10"/>
        <v>0</v>
      </c>
      <c r="I28" s="83">
        <f>SUM(I23:I27)</f>
        <v>-53281.314076000002</v>
      </c>
      <c r="J28" s="83">
        <f t="shared" si="10"/>
        <v>-795398.19827629998</v>
      </c>
      <c r="K28" s="83">
        <f t="shared" si="10"/>
        <v>-2148843.7726042001</v>
      </c>
      <c r="L28" s="83">
        <f t="shared" si="10"/>
        <v>-4295988.1845054999</v>
      </c>
      <c r="M28" s="83">
        <f t="shared" si="10"/>
        <v>-86121.50657670002</v>
      </c>
      <c r="N28" s="83">
        <f>SUM(N23:N27)</f>
        <v>570654.83767939999</v>
      </c>
      <c r="O28" s="83">
        <f t="shared" si="10"/>
        <v>689245.25</v>
      </c>
      <c r="P28" s="83">
        <f t="shared" si="10"/>
        <v>807649.1875</v>
      </c>
      <c r="Q28" s="83">
        <f t="shared" si="10"/>
        <v>932328.125</v>
      </c>
      <c r="R28" s="83">
        <f t="shared" si="10"/>
        <v>1060003.5</v>
      </c>
      <c r="S28" s="83">
        <f t="shared" si="10"/>
        <v>1214890.75</v>
      </c>
      <c r="T28" s="83">
        <f t="shared" si="10"/>
        <v>1401539</v>
      </c>
      <c r="U28" s="83">
        <f>SUM(U23:U27)</f>
        <v>1618474.75</v>
      </c>
      <c r="V28" s="83">
        <f t="shared" ref="V28:X28" si="11">SUM(V23:V27)</f>
        <v>1870733.75</v>
      </c>
      <c r="W28" s="83">
        <f t="shared" si="11"/>
        <v>2164388.75</v>
      </c>
      <c r="X28" s="83">
        <f t="shared" si="11"/>
        <v>8003967.5843515098</v>
      </c>
    </row>
    <row r="29" spans="1:24" s="2" customFormat="1" x14ac:dyDescent="0.3">
      <c r="A29" s="3"/>
      <c r="B29" s="3"/>
      <c r="C29" s="17"/>
      <c r="D29" s="8"/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1</v>
      </c>
      <c r="N29" s="8">
        <v>1</v>
      </c>
      <c r="O29" s="8">
        <v>1</v>
      </c>
      <c r="P29" s="8">
        <v>1</v>
      </c>
      <c r="Q29" s="8">
        <v>1</v>
      </c>
      <c r="R29" s="8">
        <v>1</v>
      </c>
      <c r="S29" s="8">
        <v>1</v>
      </c>
      <c r="T29" s="8">
        <v>1</v>
      </c>
      <c r="U29" s="8">
        <v>1</v>
      </c>
      <c r="V29" s="8">
        <v>1</v>
      </c>
      <c r="W29" s="8">
        <v>1</v>
      </c>
      <c r="X29" s="8">
        <v>1</v>
      </c>
    </row>
    <row r="30" spans="1:24" s="2" customFormat="1" x14ac:dyDescent="0.3">
      <c r="A30" s="3"/>
      <c r="B30" s="3"/>
      <c r="C30" s="16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4" x14ac:dyDescent="0.3">
      <c r="A31" s="22" t="s">
        <v>103</v>
      </c>
      <c r="B31" s="22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48"/>
    </row>
    <row r="32" spans="1:24" x14ac:dyDescent="0.3">
      <c r="A32" s="3" t="s">
        <v>96</v>
      </c>
      <c r="C32" s="3"/>
      <c r="D32" s="85"/>
      <c r="E32" s="85"/>
      <c r="F32" s="85"/>
      <c r="G32" s="85"/>
      <c r="H32" s="85"/>
      <c r="I32" s="85">
        <v>1</v>
      </c>
      <c r="J32" s="85">
        <v>2</v>
      </c>
      <c r="K32" s="85">
        <v>2</v>
      </c>
      <c r="L32" s="85">
        <v>3</v>
      </c>
      <c r="M32" s="85">
        <v>3</v>
      </c>
      <c r="N32" s="85">
        <v>3</v>
      </c>
      <c r="O32" s="85">
        <v>3</v>
      </c>
      <c r="P32" s="85"/>
      <c r="Q32" s="85"/>
      <c r="R32" s="85"/>
      <c r="S32" s="85"/>
      <c r="T32" s="85"/>
      <c r="U32" s="85"/>
      <c r="V32" s="85"/>
      <c r="W32" s="85"/>
      <c r="X32" s="85"/>
    </row>
    <row r="33" spans="1:24" x14ac:dyDescent="0.3">
      <c r="A33" s="10" t="s">
        <v>34</v>
      </c>
      <c r="B33" s="10"/>
      <c r="C33" s="11" t="s">
        <v>35</v>
      </c>
      <c r="D33" s="90" t="s">
        <v>1</v>
      </c>
      <c r="E33" s="90" t="s">
        <v>2</v>
      </c>
      <c r="F33" s="90" t="s">
        <v>3</v>
      </c>
      <c r="G33" s="90" t="s">
        <v>4</v>
      </c>
      <c r="H33" s="90" t="s">
        <v>5</v>
      </c>
      <c r="I33" s="90" t="s">
        <v>6</v>
      </c>
      <c r="J33" s="90" t="s">
        <v>7</v>
      </c>
      <c r="K33" s="90" t="s">
        <v>8</v>
      </c>
      <c r="L33" s="90" t="s">
        <v>9</v>
      </c>
      <c r="M33" s="90" t="s">
        <v>10</v>
      </c>
      <c r="N33" s="90" t="s">
        <v>11</v>
      </c>
      <c r="O33" s="90" t="s">
        <v>12</v>
      </c>
      <c r="P33" s="90" t="s">
        <v>13</v>
      </c>
      <c r="Q33" s="90" t="s">
        <v>14</v>
      </c>
      <c r="R33" s="90" t="s">
        <v>15</v>
      </c>
      <c r="S33" s="90" t="s">
        <v>16</v>
      </c>
      <c r="T33" s="90" t="s">
        <v>17</v>
      </c>
      <c r="U33" s="90" t="s">
        <v>18</v>
      </c>
      <c r="V33" s="90" t="s">
        <v>19</v>
      </c>
      <c r="W33" s="90" t="s">
        <v>20</v>
      </c>
      <c r="X33" s="90" t="s">
        <v>21</v>
      </c>
    </row>
    <row r="34" spans="1:24" x14ac:dyDescent="0.3">
      <c r="A34" s="3" t="s">
        <v>36</v>
      </c>
      <c r="B34" s="28">
        <f>C34-C23</f>
        <v>-796599.081045934</v>
      </c>
      <c r="C34" s="24">
        <f t="shared" ref="C34:C42" si="12">NPV($B$2,E34:X34)</f>
        <v>5063136.882259544</v>
      </c>
      <c r="D34" s="24"/>
      <c r="E34" s="24">
        <f t="shared" ref="E34:X34" si="13">IF(E43=0,0,E8)</f>
        <v>0</v>
      </c>
      <c r="F34" s="24">
        <f t="shared" si="13"/>
        <v>0</v>
      </c>
      <c r="G34" s="24">
        <f t="shared" si="13"/>
        <v>0</v>
      </c>
      <c r="H34" s="24">
        <f t="shared" si="13"/>
        <v>0</v>
      </c>
      <c r="I34" s="24">
        <f t="shared" si="13"/>
        <v>0</v>
      </c>
      <c r="J34" s="24">
        <f t="shared" si="13"/>
        <v>0</v>
      </c>
      <c r="K34" s="24">
        <f t="shared" si="13"/>
        <v>0</v>
      </c>
      <c r="L34" s="24">
        <f t="shared" si="13"/>
        <v>0</v>
      </c>
      <c r="M34" s="24">
        <f t="shared" si="13"/>
        <v>0</v>
      </c>
      <c r="N34" s="24">
        <f t="shared" si="13"/>
        <v>0</v>
      </c>
      <c r="O34" s="24">
        <f t="shared" si="13"/>
        <v>0</v>
      </c>
      <c r="P34" s="24">
        <f t="shared" si="13"/>
        <v>640172.69921875</v>
      </c>
      <c r="Q34" s="24">
        <f t="shared" si="13"/>
        <v>751706.92578125</v>
      </c>
      <c r="R34" s="24">
        <f t="shared" si="13"/>
        <v>865421.3515625</v>
      </c>
      <c r="S34" s="24">
        <f t="shared" si="13"/>
        <v>1005493.32421875</v>
      </c>
      <c r="T34" s="24">
        <f t="shared" si="13"/>
        <v>1176431.609375</v>
      </c>
      <c r="U34" s="24">
        <f t="shared" si="13"/>
        <v>1376724.0546875</v>
      </c>
      <c r="V34" s="24">
        <f t="shared" si="13"/>
        <v>1611364.46484375</v>
      </c>
      <c r="W34" s="24">
        <f t="shared" si="13"/>
        <v>1886383.3671875</v>
      </c>
      <c r="X34" s="24">
        <f t="shared" si="13"/>
        <v>2206493.7109375</v>
      </c>
    </row>
    <row r="35" spans="1:24" x14ac:dyDescent="0.3">
      <c r="A35" s="3" t="s">
        <v>37</v>
      </c>
      <c r="B35" s="28">
        <f>C35-C24</f>
        <v>-200766.69631118199</v>
      </c>
      <c r="C35" s="24">
        <f t="shared" si="12"/>
        <v>704026.33859762549</v>
      </c>
      <c r="D35" s="24"/>
      <c r="E35" s="24">
        <f t="shared" ref="E35:X35" si="14">IF(E34=0,0,E9)</f>
        <v>0</v>
      </c>
      <c r="F35" s="24">
        <f t="shared" si="14"/>
        <v>0</v>
      </c>
      <c r="G35" s="24">
        <f t="shared" si="14"/>
        <v>0</v>
      </c>
      <c r="H35" s="24">
        <f t="shared" si="14"/>
        <v>0</v>
      </c>
      <c r="I35" s="24">
        <f t="shared" si="14"/>
        <v>0</v>
      </c>
      <c r="J35" s="24">
        <f t="shared" si="14"/>
        <v>0</v>
      </c>
      <c r="K35" s="24">
        <f t="shared" si="14"/>
        <v>0</v>
      </c>
      <c r="L35" s="24">
        <f t="shared" si="14"/>
        <v>0</v>
      </c>
      <c r="M35" s="24">
        <f t="shared" si="14"/>
        <v>0</v>
      </c>
      <c r="N35" s="24">
        <f t="shared" si="14"/>
        <v>0</v>
      </c>
      <c r="O35" s="24">
        <f t="shared" si="14"/>
        <v>0</v>
      </c>
      <c r="P35" s="24">
        <f t="shared" si="14"/>
        <v>127243</v>
      </c>
      <c r="Q35" s="24">
        <f t="shared" si="14"/>
        <v>137230</v>
      </c>
      <c r="R35" s="24">
        <f t="shared" si="14"/>
        <v>147837</v>
      </c>
      <c r="S35" s="24">
        <f t="shared" si="14"/>
        <v>159093</v>
      </c>
      <c r="T35" s="24">
        <f t="shared" si="14"/>
        <v>171029</v>
      </c>
      <c r="U35" s="24">
        <f t="shared" si="14"/>
        <v>183674</v>
      </c>
      <c r="V35" s="24">
        <f t="shared" si="14"/>
        <v>197060</v>
      </c>
      <c r="W35" s="24">
        <f t="shared" si="14"/>
        <v>211219</v>
      </c>
      <c r="X35" s="24">
        <f t="shared" si="14"/>
        <v>226185</v>
      </c>
    </row>
    <row r="36" spans="1:24" x14ac:dyDescent="0.3">
      <c r="A36" s="3" t="s">
        <v>38</v>
      </c>
      <c r="B36" s="28">
        <f>C36-C25</f>
        <v>-63481.225013251271</v>
      </c>
      <c r="C36" s="24">
        <f t="shared" si="12"/>
        <v>222609.17980790438</v>
      </c>
      <c r="D36" s="24"/>
      <c r="E36" s="24">
        <f t="shared" ref="E36:X36" si="15">IF(E34=0,0,E10)</f>
        <v>0</v>
      </c>
      <c r="F36" s="24">
        <f t="shared" si="15"/>
        <v>0</v>
      </c>
      <c r="G36" s="24">
        <f t="shared" si="15"/>
        <v>0</v>
      </c>
      <c r="H36" s="24">
        <f t="shared" si="15"/>
        <v>0</v>
      </c>
      <c r="I36" s="24">
        <f t="shared" si="15"/>
        <v>0</v>
      </c>
      <c r="J36" s="24">
        <f t="shared" si="15"/>
        <v>0</v>
      </c>
      <c r="K36" s="24">
        <f t="shared" si="15"/>
        <v>0</v>
      </c>
      <c r="L36" s="24">
        <f t="shared" si="15"/>
        <v>0</v>
      </c>
      <c r="M36" s="24">
        <f t="shared" si="15"/>
        <v>0</v>
      </c>
      <c r="N36" s="24">
        <f t="shared" si="15"/>
        <v>0</v>
      </c>
      <c r="O36" s="24">
        <f t="shared" si="15"/>
        <v>0</v>
      </c>
      <c r="P36" s="24">
        <f t="shared" si="15"/>
        <v>40233.48828125</v>
      </c>
      <c r="Q36" s="24">
        <f t="shared" si="15"/>
        <v>43391.19921875</v>
      </c>
      <c r="R36" s="24">
        <f t="shared" si="15"/>
        <v>46745.1484375</v>
      </c>
      <c r="S36" s="24">
        <f t="shared" si="15"/>
        <v>50304.42578125</v>
      </c>
      <c r="T36" s="24">
        <f t="shared" si="15"/>
        <v>54078.390625</v>
      </c>
      <c r="U36" s="24">
        <f t="shared" si="15"/>
        <v>58076.6953125</v>
      </c>
      <c r="V36" s="24">
        <f t="shared" si="15"/>
        <v>62309.28515625</v>
      </c>
      <c r="W36" s="24">
        <f t="shared" si="15"/>
        <v>66786.3828125</v>
      </c>
      <c r="X36" s="24">
        <f t="shared" si="15"/>
        <v>71518.5390625</v>
      </c>
    </row>
    <row r="37" spans="1:24" s="2" customFormat="1" x14ac:dyDescent="0.3">
      <c r="A37" s="3" t="s">
        <v>22</v>
      </c>
      <c r="B37" s="28">
        <f>C37-C26</f>
        <v>739792.71785667073</v>
      </c>
      <c r="C37" s="24">
        <f t="shared" si="12"/>
        <v>-4693371.7231192477</v>
      </c>
      <c r="D37" s="36"/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36">
        <v>-53281.314076000002</v>
      </c>
      <c r="M37" s="36">
        <v>-795398.19827629998</v>
      </c>
      <c r="N37" s="36">
        <v>-2148843.7726042001</v>
      </c>
      <c r="O37" s="36">
        <v>-4295988.1845054999</v>
      </c>
      <c r="P37" s="36">
        <v>-561067.69407670002</v>
      </c>
      <c r="Q37" s="36">
        <v>-2235.5998205999999</v>
      </c>
      <c r="R37" s="36">
        <v>0</v>
      </c>
      <c r="S37" s="36">
        <v>0</v>
      </c>
      <c r="T37" s="36">
        <v>0</v>
      </c>
      <c r="U37" s="36">
        <v>0</v>
      </c>
      <c r="V37" s="36">
        <v>0</v>
      </c>
      <c r="W37" s="36">
        <v>0</v>
      </c>
      <c r="X37" s="36">
        <v>0</v>
      </c>
    </row>
    <row r="38" spans="1:24" s="2" customFormat="1" x14ac:dyDescent="0.3">
      <c r="A38" s="3" t="s">
        <v>39</v>
      </c>
      <c r="B38" s="28">
        <f>C38-C27</f>
        <v>222086.31398935779</v>
      </c>
      <c r="C38" s="24">
        <f t="shared" si="12"/>
        <v>2294891.9112233669</v>
      </c>
      <c r="D38" s="24"/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f>SUM(D37:X37)*($B$5-SUM(D43:X43))/-$B$5</f>
        <v>6089031.4416034576</v>
      </c>
    </row>
    <row r="39" spans="1:24" s="2" customFormat="1" x14ac:dyDescent="0.3">
      <c r="A39" s="3" t="s">
        <v>43</v>
      </c>
      <c r="B39" s="28">
        <f>C39</f>
        <v>805696.0830216551</v>
      </c>
      <c r="C39" s="24">
        <f t="shared" si="12"/>
        <v>805696.0830216551</v>
      </c>
      <c r="D39" s="24"/>
      <c r="E39" s="24">
        <f>-E37*Assumptions!B6</f>
        <v>0</v>
      </c>
      <c r="F39" s="24">
        <f>-F37*Assumptions!C6</f>
        <v>0</v>
      </c>
      <c r="G39" s="24">
        <f>-G37*Assumptions!D6</f>
        <v>0</v>
      </c>
      <c r="H39" s="24">
        <f>-H37*Assumptions!E6</f>
        <v>0</v>
      </c>
      <c r="I39" s="24">
        <f>-I37*Assumptions!F6</f>
        <v>0</v>
      </c>
      <c r="J39" s="24">
        <f>-J37*Assumptions!G6</f>
        <v>0</v>
      </c>
      <c r="K39" s="24">
        <f>-K37*Assumptions!H6</f>
        <v>0</v>
      </c>
      <c r="L39" s="24">
        <f>-L37*Assumptions!I6</f>
        <v>7582.3408492769249</v>
      </c>
      <c r="M39" s="24">
        <f>-M37*Assumptions!J6</f>
        <v>122368.95358096926</v>
      </c>
      <c r="N39" s="24">
        <f>-N37*Assumptions!K6</f>
        <v>355385.70085377165</v>
      </c>
      <c r="O39" s="24">
        <f>-O37*Assumptions!L6</f>
        <v>760059.44802789646</v>
      </c>
      <c r="P39" s="24">
        <f>-P37*Assumptions!M6</f>
        <v>105739.68080676274</v>
      </c>
      <c r="Q39" s="24">
        <f>-Q37*Assumptions!N6</f>
        <v>447.11996412000002</v>
      </c>
      <c r="R39" s="24">
        <f>-R37*Assumptions!O6</f>
        <v>0</v>
      </c>
      <c r="S39" s="24">
        <f>-S37*Assumptions!Q5</f>
        <v>0</v>
      </c>
      <c r="T39" s="24">
        <f>-T37*Assumptions!R5</f>
        <v>0</v>
      </c>
      <c r="U39" s="24">
        <f>-U37*Assumptions!S5</f>
        <v>0</v>
      </c>
      <c r="V39" s="24">
        <f>-V37*Assumptions!T5</f>
        <v>0</v>
      </c>
      <c r="W39" s="24">
        <f>-W37*Assumptions!U5</f>
        <v>0</v>
      </c>
      <c r="X39" s="24">
        <f>-X37*Assumptions!V5</f>
        <v>0</v>
      </c>
    </row>
    <row r="40" spans="1:24" s="2" customFormat="1" x14ac:dyDescent="0.3">
      <c r="A40" s="3" t="s">
        <v>41</v>
      </c>
      <c r="B40" s="28">
        <f>C40</f>
        <v>-1463655.790745266</v>
      </c>
      <c r="C40" s="24">
        <f t="shared" si="12"/>
        <v>-1463655.790745266</v>
      </c>
      <c r="D40" s="24"/>
      <c r="E40" s="36">
        <v>0</v>
      </c>
      <c r="F40" s="36">
        <v>0</v>
      </c>
      <c r="G40" s="36">
        <v>0</v>
      </c>
      <c r="H40" s="36">
        <v>0</v>
      </c>
      <c r="I40" s="28">
        <f>-Assumptions!F14*(I32-H32)*1000*Assumptions!$C9-Assumptions!F15*I32*1000*Assumptions!$C10</f>
        <v>-583015</v>
      </c>
      <c r="J40" s="28">
        <f>-Assumptions!G14*(J32-I32)*1000*Assumptions!$C9-Assumptions!G15*J32*1000*Assumptions!$C10</f>
        <v>-586444.49999999988</v>
      </c>
      <c r="K40" s="28">
        <f>-Assumptions!H14*(K32-J32)*1000*Assumptions!$C9-Assumptions!H15*K32*1000*Assumptions!$C10</f>
        <v>-61902.474999999991</v>
      </c>
      <c r="L40" s="28">
        <f>-Assumptions!I14*(L32-K32)*1000*Assumptions!$C9-Assumptions!I15*L32*1000*Assumptions!$C10</f>
        <v>-558669.8368749998</v>
      </c>
      <c r="M40" s="28">
        <f>-Assumptions!J14*(M32-L32)*1000*Assumptions!$C9-Assumptions!J15*M32*1000*Assumptions!$C10</f>
        <v>-83800.475531249991</v>
      </c>
      <c r="N40" s="28">
        <f>-Assumptions!K14*(N32-M32)*1000*Assumptions!$C9-Assumptions!K15*N32*1000*Assumptions!$C10</f>
        <v>-79610.45175468747</v>
      </c>
      <c r="O40" s="28">
        <f>-Assumptions!L14*(O32-N32)*1000*Assumptions!$C9-Assumptions!L15*O32*1000*Assumptions!$C10</f>
        <v>-75629.929166953094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36">
        <v>0</v>
      </c>
      <c r="W40" s="36">
        <v>0</v>
      </c>
      <c r="X40" s="36">
        <v>0</v>
      </c>
    </row>
    <row r="41" spans="1:24" s="2" customFormat="1" x14ac:dyDescent="0.3">
      <c r="A41" s="10" t="s">
        <v>42</v>
      </c>
      <c r="B41" s="45">
        <f>C41</f>
        <v>684752.37815125892</v>
      </c>
      <c r="C41" s="43">
        <f t="shared" si="12"/>
        <v>684752.37815125892</v>
      </c>
      <c r="D41" s="43"/>
      <c r="E41" s="43">
        <f t="shared" ref="E41:O41" si="16">IF(E32&gt;0,E$8-VLOOKUP(E32,$C$16:$X$19,E$15,FALSE),0)</f>
        <v>0</v>
      </c>
      <c r="F41" s="43">
        <f t="shared" si="16"/>
        <v>0</v>
      </c>
      <c r="G41" s="43">
        <f t="shared" si="16"/>
        <v>0</v>
      </c>
      <c r="H41" s="43">
        <f t="shared" si="16"/>
        <v>0</v>
      </c>
      <c r="I41" s="43">
        <f t="shared" si="16"/>
        <v>32690.5625</v>
      </c>
      <c r="J41" s="43">
        <f t="shared" si="16"/>
        <v>66054.359375</v>
      </c>
      <c r="K41" s="43">
        <f t="shared" si="16"/>
        <v>88477.8125</v>
      </c>
      <c r="L41" s="43">
        <f t="shared" si="16"/>
        <v>130851</v>
      </c>
      <c r="M41" s="43">
        <f t="shared" si="16"/>
        <v>179517.09375</v>
      </c>
      <c r="N41" s="43">
        <f t="shared" si="16"/>
        <v>247046.15625</v>
      </c>
      <c r="O41" s="43">
        <f t="shared" si="16"/>
        <v>326708.71875</v>
      </c>
      <c r="P41" s="43">
        <f t="shared" ref="P41:X41" si="17">IF(P32&gt;0,P$8-VLOOKUP(P32,$C$16:$X$18,P$15,FALSE),0)</f>
        <v>0</v>
      </c>
      <c r="Q41" s="43">
        <f t="shared" si="17"/>
        <v>0</v>
      </c>
      <c r="R41" s="43">
        <f t="shared" si="17"/>
        <v>0</v>
      </c>
      <c r="S41" s="43">
        <f t="shared" si="17"/>
        <v>0</v>
      </c>
      <c r="T41" s="43">
        <f t="shared" si="17"/>
        <v>0</v>
      </c>
      <c r="U41" s="43">
        <f t="shared" si="17"/>
        <v>0</v>
      </c>
      <c r="V41" s="43">
        <f t="shared" si="17"/>
        <v>0</v>
      </c>
      <c r="W41" s="43">
        <f t="shared" si="17"/>
        <v>0</v>
      </c>
      <c r="X41" s="43">
        <f t="shared" si="17"/>
        <v>0</v>
      </c>
    </row>
    <row r="42" spans="1:24" s="2" customFormat="1" x14ac:dyDescent="0.3">
      <c r="A42" s="3" t="s">
        <v>31</v>
      </c>
      <c r="B42" s="3"/>
      <c r="C42" s="24">
        <f t="shared" si="12"/>
        <v>3618085.2591968416</v>
      </c>
      <c r="D42" s="24"/>
      <c r="E42" s="83">
        <f t="shared" ref="E42:U42" si="18">SUM(E34:E41)</f>
        <v>0</v>
      </c>
      <c r="F42" s="83">
        <f t="shared" si="18"/>
        <v>0</v>
      </c>
      <c r="G42" s="83">
        <f t="shared" si="18"/>
        <v>0</v>
      </c>
      <c r="H42" s="83">
        <f t="shared" si="18"/>
        <v>0</v>
      </c>
      <c r="I42" s="83">
        <f t="shared" si="18"/>
        <v>-550324.4375</v>
      </c>
      <c r="J42" s="83">
        <f t="shared" si="18"/>
        <v>-520390.14062499988</v>
      </c>
      <c r="K42" s="83">
        <f t="shared" si="18"/>
        <v>26575.337500000009</v>
      </c>
      <c r="L42" s="83">
        <f t="shared" si="18"/>
        <v>-473517.81010172283</v>
      </c>
      <c r="M42" s="83">
        <f t="shared" si="18"/>
        <v>-577312.62647658074</v>
      </c>
      <c r="N42" s="83">
        <f t="shared" si="18"/>
        <v>-1626022.3672551159</v>
      </c>
      <c r="O42" s="83">
        <f t="shared" si="18"/>
        <v>-3284849.9468945563</v>
      </c>
      <c r="P42" s="83">
        <f t="shared" si="18"/>
        <v>352321.17423006275</v>
      </c>
      <c r="Q42" s="83">
        <f t="shared" si="18"/>
        <v>930539.64514351997</v>
      </c>
      <c r="R42" s="83">
        <f t="shared" si="18"/>
        <v>1060003.5</v>
      </c>
      <c r="S42" s="83">
        <f t="shared" si="18"/>
        <v>1214890.75</v>
      </c>
      <c r="T42" s="83">
        <f t="shared" si="18"/>
        <v>1401539</v>
      </c>
      <c r="U42" s="83">
        <f t="shared" si="18"/>
        <v>1618474.75</v>
      </c>
      <c r="V42" s="83">
        <f t="shared" ref="V42:X42" si="19">SUM(V34:V41)</f>
        <v>1870733.75</v>
      </c>
      <c r="W42" s="83">
        <f t="shared" si="19"/>
        <v>2164388.75</v>
      </c>
      <c r="X42" s="83">
        <f t="shared" si="19"/>
        <v>8593228.6916034576</v>
      </c>
    </row>
    <row r="43" spans="1:24" x14ac:dyDescent="0.3">
      <c r="C43" s="3"/>
      <c r="D43" s="8"/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1</v>
      </c>
      <c r="Q43" s="8">
        <v>1</v>
      </c>
      <c r="R43" s="8">
        <v>1</v>
      </c>
      <c r="S43" s="8">
        <v>1</v>
      </c>
      <c r="T43" s="8">
        <v>1</v>
      </c>
      <c r="U43" s="8">
        <v>1</v>
      </c>
      <c r="V43" s="8">
        <v>1</v>
      </c>
      <c r="W43" s="8">
        <v>1</v>
      </c>
      <c r="X43" s="8">
        <v>1</v>
      </c>
    </row>
    <row r="44" spans="1:24" x14ac:dyDescent="0.3">
      <c r="A44" s="87" t="s">
        <v>98</v>
      </c>
      <c r="C44" s="3"/>
      <c r="D44" s="21"/>
      <c r="G44" s="33"/>
      <c r="H44" s="33"/>
      <c r="I44" s="30">
        <f t="shared" ref="I44:O44" si="20">IF(I41&gt;0,I41/I$8,"")</f>
        <v>0.19066431780572854</v>
      </c>
      <c r="J44" s="30">
        <f t="shared" si="20"/>
        <v>0.32692704585765231</v>
      </c>
      <c r="K44" s="30">
        <f t="shared" si="20"/>
        <v>0.37163545659315711</v>
      </c>
      <c r="L44" s="30">
        <f t="shared" si="20"/>
        <v>0.46923971800558056</v>
      </c>
      <c r="M44" s="30">
        <f t="shared" si="20"/>
        <v>0.52434859396491873</v>
      </c>
      <c r="N44" s="30">
        <f t="shared" si="20"/>
        <v>0.5753319321213326</v>
      </c>
      <c r="O44" s="30">
        <f t="shared" si="20"/>
        <v>0.61166169260645786</v>
      </c>
    </row>
    <row r="45" spans="1:24" x14ac:dyDescent="0.3">
      <c r="A45" s="87" t="s">
        <v>97</v>
      </c>
      <c r="C45" s="3"/>
      <c r="D45" s="34"/>
      <c r="I45" s="30">
        <f t="shared" ref="I45:N45" si="21">IF(I41&gt;0,I41/I$11,"")</f>
        <v>0.12250301983812614</v>
      </c>
      <c r="J45" s="30">
        <f t="shared" si="21"/>
        <v>0.21597969540657569</v>
      </c>
      <c r="K45" s="30">
        <f t="shared" si="21"/>
        <v>0.25218809327385</v>
      </c>
      <c r="L45" s="30">
        <f t="shared" si="21"/>
        <v>0.32614221925964443</v>
      </c>
      <c r="M45" s="30">
        <f t="shared" si="21"/>
        <v>0.37797354410808909</v>
      </c>
      <c r="N45" s="30">
        <f t="shared" si="21"/>
        <v>0.43122757874624151</v>
      </c>
      <c r="O45" s="30">
        <f>IF(O41&gt;0,O41/O$11,"")</f>
        <v>0.47400938744227833</v>
      </c>
    </row>
  </sheetData>
  <pageMargins left="0.25" right="0.25" top="0.75" bottom="0.75" header="0.3" footer="0.3"/>
  <pageSetup paperSize="8" scale="67" orientation="portrait" verticalDpi="300" r:id="rId1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B49"/>
  <sheetViews>
    <sheetView zoomScale="85" zoomScaleNormal="85" workbookViewId="0">
      <selection activeCell="B1" sqref="B1"/>
    </sheetView>
  </sheetViews>
  <sheetFormatPr defaultColWidth="8.90625" defaultRowHeight="13.8" x14ac:dyDescent="0.3"/>
  <cols>
    <col min="1" max="1" width="21.54296875" style="3" customWidth="1"/>
    <col min="2" max="2" width="7.90625" style="3" customWidth="1"/>
    <col min="3" max="3" width="9.36328125" style="2" customWidth="1"/>
    <col min="4" max="5" width="7.08984375" style="3" bestFit="1" customWidth="1"/>
    <col min="6" max="6" width="7.6328125" style="3" bestFit="1" customWidth="1"/>
    <col min="7" max="7" width="7.1796875" style="3" bestFit="1" customWidth="1"/>
    <col min="8" max="8" width="8.08984375" style="3" bestFit="1" customWidth="1"/>
    <col min="9" max="9" width="7.54296875" style="3" bestFit="1" customWidth="1"/>
    <col min="10" max="10" width="8" style="3" bestFit="1" customWidth="1"/>
    <col min="11" max="18" width="7.54296875" style="3" bestFit="1" customWidth="1"/>
    <col min="19" max="19" width="7.1796875" style="3" bestFit="1" customWidth="1"/>
    <col min="20" max="20" width="8.36328125" style="3" bestFit="1" customWidth="1"/>
    <col min="21" max="21" width="7.54296875" style="3" bestFit="1" customWidth="1"/>
    <col min="22" max="16384" width="8.90625" style="3"/>
  </cols>
  <sheetData>
    <row r="1" spans="1:28" ht="15.6" x14ac:dyDescent="0.3">
      <c r="A1" s="1" t="s">
        <v>101</v>
      </c>
      <c r="B1" s="3" t="s">
        <v>119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8" x14ac:dyDescent="0.3">
      <c r="A2" s="3" t="s">
        <v>0</v>
      </c>
      <c r="B2" s="4">
        <v>0.05</v>
      </c>
      <c r="D2" s="80" t="s">
        <v>1</v>
      </c>
      <c r="E2" s="80" t="s">
        <v>2</v>
      </c>
      <c r="F2" s="80" t="s">
        <v>3</v>
      </c>
      <c r="G2" s="80" t="s">
        <v>4</v>
      </c>
      <c r="H2" s="80" t="s">
        <v>5</v>
      </c>
      <c r="I2" s="80" t="s">
        <v>6</v>
      </c>
      <c r="J2" s="80" t="s">
        <v>7</v>
      </c>
      <c r="K2" s="80" t="s">
        <v>8</v>
      </c>
      <c r="L2" s="80" t="s">
        <v>9</v>
      </c>
      <c r="M2" s="80" t="s">
        <v>10</v>
      </c>
      <c r="N2" s="80" t="s">
        <v>11</v>
      </c>
      <c r="O2" s="80" t="s">
        <v>12</v>
      </c>
      <c r="P2" s="80" t="s">
        <v>13</v>
      </c>
      <c r="Q2" s="80" t="s">
        <v>14</v>
      </c>
      <c r="R2" s="80" t="s">
        <v>15</v>
      </c>
      <c r="S2" s="80" t="s">
        <v>16</v>
      </c>
      <c r="T2" s="80" t="s">
        <v>17</v>
      </c>
      <c r="U2" s="80" t="s">
        <v>18</v>
      </c>
      <c r="V2" s="80" t="s">
        <v>19</v>
      </c>
      <c r="W2" s="80" t="s">
        <v>20</v>
      </c>
      <c r="X2" s="80" t="s">
        <v>21</v>
      </c>
      <c r="Y2" s="6"/>
      <c r="Z2" s="6"/>
      <c r="AA2" s="6"/>
      <c r="AB2" s="6"/>
    </row>
    <row r="3" spans="1:28" x14ac:dyDescent="0.3">
      <c r="A3" s="3" t="s">
        <v>22</v>
      </c>
      <c r="B3" s="83">
        <f>SUM(D3:W3)</f>
        <v>-13747435.382914999</v>
      </c>
      <c r="C3" s="3"/>
      <c r="D3" s="36">
        <v>0</v>
      </c>
      <c r="E3" s="36">
        <v>0</v>
      </c>
      <c r="F3" s="36">
        <v>0</v>
      </c>
      <c r="G3" s="36">
        <v>0</v>
      </c>
      <c r="H3" s="36">
        <v>0</v>
      </c>
      <c r="I3" s="36">
        <v>0</v>
      </c>
      <c r="J3" s="36">
        <v>0</v>
      </c>
      <c r="K3" s="36">
        <v>-37851.380225200002</v>
      </c>
      <c r="L3" s="36">
        <v>-1116488.6216607001</v>
      </c>
      <c r="M3" s="36">
        <v>-1171981.8300401</v>
      </c>
      <c r="N3" s="36">
        <v>-5067315.5201915996</v>
      </c>
      <c r="O3" s="36">
        <v>-3449448.6117663002</v>
      </c>
      <c r="P3" s="36">
        <v>-2904349.4190310999</v>
      </c>
      <c r="Q3" s="36">
        <v>0</v>
      </c>
      <c r="R3" s="36">
        <v>0</v>
      </c>
      <c r="S3" s="36">
        <v>0</v>
      </c>
      <c r="T3" s="36">
        <v>0</v>
      </c>
      <c r="U3" s="36">
        <v>0</v>
      </c>
      <c r="V3" s="36">
        <v>0</v>
      </c>
      <c r="W3" s="36">
        <v>0</v>
      </c>
      <c r="X3" s="36">
        <v>0</v>
      </c>
    </row>
    <row r="4" spans="1:28" x14ac:dyDescent="0.3">
      <c r="A4" s="3" t="s">
        <v>23</v>
      </c>
      <c r="B4" s="36">
        <v>692167.18507020548</v>
      </c>
      <c r="C4" s="3"/>
    </row>
    <row r="5" spans="1:28" x14ac:dyDescent="0.3">
      <c r="A5" s="3" t="s">
        <v>24</v>
      </c>
      <c r="B5" s="8">
        <v>40</v>
      </c>
      <c r="C5" s="3"/>
    </row>
    <row r="6" spans="1:28" x14ac:dyDescent="0.3">
      <c r="A6" s="9"/>
      <c r="B6" s="9"/>
    </row>
    <row r="7" spans="1:28" x14ac:dyDescent="0.3">
      <c r="A7" s="10" t="s">
        <v>25</v>
      </c>
      <c r="B7" s="10"/>
      <c r="C7" s="11"/>
      <c r="D7" s="80" t="s">
        <v>1</v>
      </c>
      <c r="E7" s="80" t="s">
        <v>2</v>
      </c>
      <c r="F7" s="80" t="s">
        <v>3</v>
      </c>
      <c r="G7" s="80" t="s">
        <v>4</v>
      </c>
      <c r="H7" s="80" t="s">
        <v>5</v>
      </c>
      <c r="I7" s="80" t="s">
        <v>6</v>
      </c>
      <c r="J7" s="80" t="s">
        <v>7</v>
      </c>
      <c r="K7" s="80" t="s">
        <v>8</v>
      </c>
      <c r="L7" s="80" t="s">
        <v>9</v>
      </c>
      <c r="M7" s="80" t="s">
        <v>10</v>
      </c>
      <c r="N7" s="80" t="s">
        <v>11</v>
      </c>
      <c r="O7" s="80" t="s">
        <v>12</v>
      </c>
      <c r="P7" s="80" t="s">
        <v>13</v>
      </c>
      <c r="Q7" s="80" t="s">
        <v>14</v>
      </c>
      <c r="R7" s="80" t="s">
        <v>15</v>
      </c>
      <c r="S7" s="80" t="s">
        <v>16</v>
      </c>
      <c r="T7" s="80" t="s">
        <v>17</v>
      </c>
      <c r="U7" s="80" t="s">
        <v>18</v>
      </c>
      <c r="V7" s="80" t="s">
        <v>19</v>
      </c>
      <c r="W7" s="80" t="s">
        <v>20</v>
      </c>
      <c r="X7" s="80" t="s">
        <v>21</v>
      </c>
    </row>
    <row r="8" spans="1:28" x14ac:dyDescent="0.3">
      <c r="A8" s="3" t="s">
        <v>26</v>
      </c>
      <c r="D8" s="36">
        <v>72467.88671875</v>
      </c>
      <c r="E8" s="36">
        <v>102365.998046875</v>
      </c>
      <c r="F8" s="36">
        <v>97557.0029296875</v>
      </c>
      <c r="G8" s="36">
        <v>116637.55859375</v>
      </c>
      <c r="H8" s="36">
        <v>144695.763671875</v>
      </c>
      <c r="I8" s="36">
        <v>170233.857421875</v>
      </c>
      <c r="J8" s="36">
        <v>204340.388671875</v>
      </c>
      <c r="K8" s="36">
        <v>244995.560546875</v>
      </c>
      <c r="L8" s="36">
        <v>292175.90625</v>
      </c>
      <c r="M8" s="36">
        <v>357886</v>
      </c>
      <c r="N8" s="36">
        <v>439807.498046875</v>
      </c>
      <c r="O8" s="36">
        <v>535323.15234375</v>
      </c>
      <c r="P8" s="36">
        <v>636188.48046875</v>
      </c>
      <c r="Q8" s="36">
        <v>744170.3046875</v>
      </c>
      <c r="R8" s="36">
        <v>860543.580078125</v>
      </c>
      <c r="S8" s="36">
        <v>1001191.83203125</v>
      </c>
      <c r="T8" s="36">
        <v>1170290.71875</v>
      </c>
      <c r="U8" s="36">
        <v>1364062.77734375</v>
      </c>
      <c r="V8" s="36">
        <v>1585630.78125</v>
      </c>
      <c r="W8" s="36">
        <v>1839028.3828125</v>
      </c>
      <c r="X8" s="36">
        <v>2127397.83203125</v>
      </c>
    </row>
    <row r="9" spans="1:28" x14ac:dyDescent="0.3">
      <c r="A9" s="3" t="s">
        <v>27</v>
      </c>
      <c r="D9" s="36">
        <v>44044</v>
      </c>
      <c r="E9" s="36">
        <v>48436</v>
      </c>
      <c r="F9" s="36">
        <v>53188</v>
      </c>
      <c r="G9" s="36">
        <v>58322</v>
      </c>
      <c r="H9" s="36">
        <v>63862</v>
      </c>
      <c r="I9" s="36">
        <v>69830</v>
      </c>
      <c r="J9" s="36">
        <v>76251</v>
      </c>
      <c r="K9" s="36">
        <v>83152</v>
      </c>
      <c r="L9" s="36">
        <v>90557</v>
      </c>
      <c r="M9" s="36">
        <v>98496</v>
      </c>
      <c r="N9" s="36">
        <v>106996</v>
      </c>
      <c r="O9" s="36">
        <v>116087</v>
      </c>
      <c r="P9" s="36">
        <v>125800</v>
      </c>
      <c r="Q9" s="36">
        <v>136165</v>
      </c>
      <c r="R9" s="36">
        <v>147216</v>
      </c>
      <c r="S9" s="36">
        <v>158987</v>
      </c>
      <c r="T9" s="36">
        <v>171512</v>
      </c>
      <c r="U9" s="36">
        <v>184828</v>
      </c>
      <c r="V9" s="36">
        <v>198971</v>
      </c>
      <c r="W9" s="36">
        <v>213979</v>
      </c>
      <c r="X9" s="36">
        <v>229894</v>
      </c>
    </row>
    <row r="10" spans="1:28" x14ac:dyDescent="0.3">
      <c r="A10" s="10" t="s">
        <v>28</v>
      </c>
      <c r="B10" s="10"/>
      <c r="C10" s="13"/>
      <c r="D10" s="54">
        <v>9743.98046875</v>
      </c>
      <c r="E10" s="54">
        <v>10716.095703125</v>
      </c>
      <c r="F10" s="54">
        <v>11767.9814453125</v>
      </c>
      <c r="G10" s="54">
        <v>12904.48828125</v>
      </c>
      <c r="H10" s="54">
        <v>14130.658203125</v>
      </c>
      <c r="I10" s="54">
        <v>15451.736328125</v>
      </c>
      <c r="J10" s="54">
        <v>16873.173828125</v>
      </c>
      <c r="K10" s="54">
        <v>18400.626953125</v>
      </c>
      <c r="L10" s="54">
        <v>20039.96875</v>
      </c>
      <c r="M10" s="54">
        <v>21797.28125</v>
      </c>
      <c r="N10" s="54">
        <v>23678.876953125</v>
      </c>
      <c r="O10" s="54">
        <v>25691.28515625</v>
      </c>
      <c r="P10" s="54">
        <v>27841.26953125</v>
      </c>
      <c r="Q10" s="54">
        <v>30135.8203125</v>
      </c>
      <c r="R10" s="54">
        <v>32582.169921875</v>
      </c>
      <c r="S10" s="54">
        <v>35187.79296875</v>
      </c>
      <c r="T10" s="54">
        <v>37960.40625</v>
      </c>
      <c r="U10" s="54">
        <v>40907.97265625</v>
      </c>
      <c r="V10" s="54">
        <v>44038.71875</v>
      </c>
      <c r="W10" s="54">
        <v>47361.1171875</v>
      </c>
      <c r="X10" s="54">
        <v>50883.91796875</v>
      </c>
    </row>
    <row r="11" spans="1:28" x14ac:dyDescent="0.3">
      <c r="A11" s="14" t="s">
        <v>29</v>
      </c>
      <c r="B11" s="14"/>
      <c r="C11" s="15"/>
      <c r="D11" s="83">
        <f>SUM(D8:D10)</f>
        <v>126255.8671875</v>
      </c>
      <c r="E11" s="83">
        <f>SUM(E8:E10)</f>
        <v>161518.09375</v>
      </c>
      <c r="F11" s="83">
        <f t="shared" ref="F11:X11" si="0">SUM(F8:F10)</f>
        <v>162512.984375</v>
      </c>
      <c r="G11" s="83">
        <f t="shared" si="0"/>
        <v>187864.046875</v>
      </c>
      <c r="H11" s="83">
        <f t="shared" si="0"/>
        <v>222688.421875</v>
      </c>
      <c r="I11" s="83">
        <f t="shared" si="0"/>
        <v>255515.59375</v>
      </c>
      <c r="J11" s="83">
        <f t="shared" si="0"/>
        <v>297464.5625</v>
      </c>
      <c r="K11" s="83">
        <f t="shared" si="0"/>
        <v>346548.1875</v>
      </c>
      <c r="L11" s="83">
        <f t="shared" si="0"/>
        <v>402772.875</v>
      </c>
      <c r="M11" s="83">
        <f t="shared" si="0"/>
        <v>478179.28125</v>
      </c>
      <c r="N11" s="83">
        <f t="shared" si="0"/>
        <v>570482.375</v>
      </c>
      <c r="O11" s="83">
        <f t="shared" si="0"/>
        <v>677101.4375</v>
      </c>
      <c r="P11" s="83">
        <f t="shared" si="0"/>
        <v>789829.75</v>
      </c>
      <c r="Q11" s="83">
        <f t="shared" si="0"/>
        <v>910471.125</v>
      </c>
      <c r="R11" s="83">
        <f t="shared" si="0"/>
        <v>1040341.75</v>
      </c>
      <c r="S11" s="83">
        <f t="shared" si="0"/>
        <v>1195366.625</v>
      </c>
      <c r="T11" s="83">
        <f t="shared" si="0"/>
        <v>1379763.125</v>
      </c>
      <c r="U11" s="83">
        <f t="shared" si="0"/>
        <v>1589798.75</v>
      </c>
      <c r="V11" s="83">
        <f t="shared" si="0"/>
        <v>1828640.5</v>
      </c>
      <c r="W11" s="83">
        <f t="shared" si="0"/>
        <v>2100368.5</v>
      </c>
      <c r="X11" s="83">
        <f t="shared" si="0"/>
        <v>2408175.75</v>
      </c>
    </row>
    <row r="12" spans="1:28" x14ac:dyDescent="0.3">
      <c r="A12" s="14" t="s">
        <v>30</v>
      </c>
      <c r="B12" s="14"/>
      <c r="C12" s="15"/>
      <c r="D12" s="83">
        <f t="shared" ref="D12:X12" si="1">$B$4</f>
        <v>692167.18507020548</v>
      </c>
      <c r="E12" s="83">
        <f t="shared" si="1"/>
        <v>692167.18507020548</v>
      </c>
      <c r="F12" s="83">
        <f t="shared" si="1"/>
        <v>692167.18507020548</v>
      </c>
      <c r="G12" s="83">
        <f t="shared" si="1"/>
        <v>692167.18507020548</v>
      </c>
      <c r="H12" s="83">
        <f t="shared" si="1"/>
        <v>692167.18507020548</v>
      </c>
      <c r="I12" s="83">
        <f t="shared" si="1"/>
        <v>692167.18507020548</v>
      </c>
      <c r="J12" s="83">
        <f t="shared" si="1"/>
        <v>692167.18507020548</v>
      </c>
      <c r="K12" s="83">
        <f t="shared" si="1"/>
        <v>692167.18507020548</v>
      </c>
      <c r="L12" s="83">
        <f t="shared" si="1"/>
        <v>692167.18507020548</v>
      </c>
      <c r="M12" s="83">
        <f t="shared" si="1"/>
        <v>692167.18507020548</v>
      </c>
      <c r="N12" s="83">
        <f t="shared" si="1"/>
        <v>692167.18507020548</v>
      </c>
      <c r="O12" s="83">
        <f t="shared" si="1"/>
        <v>692167.18507020548</v>
      </c>
      <c r="P12" s="83">
        <f t="shared" si="1"/>
        <v>692167.18507020548</v>
      </c>
      <c r="Q12" s="83">
        <f t="shared" si="1"/>
        <v>692167.18507020548</v>
      </c>
      <c r="R12" s="83">
        <f t="shared" si="1"/>
        <v>692167.18507020548</v>
      </c>
      <c r="S12" s="83">
        <f t="shared" si="1"/>
        <v>692167.18507020548</v>
      </c>
      <c r="T12" s="83">
        <f t="shared" si="1"/>
        <v>692167.18507020548</v>
      </c>
      <c r="U12" s="83">
        <f t="shared" si="1"/>
        <v>692167.18507020548</v>
      </c>
      <c r="V12" s="83">
        <f t="shared" si="1"/>
        <v>692167.18507020548</v>
      </c>
      <c r="W12" s="83">
        <f t="shared" si="1"/>
        <v>692167.18507020548</v>
      </c>
      <c r="X12" s="83">
        <f t="shared" si="1"/>
        <v>692167.18507020548</v>
      </c>
    </row>
    <row r="13" spans="1:28" x14ac:dyDescent="0.3">
      <c r="A13" s="14" t="s">
        <v>31</v>
      </c>
      <c r="B13" s="14"/>
      <c r="C13" s="15"/>
      <c r="D13" s="83">
        <f t="shared" ref="D13:X13" si="2">D11-D12</f>
        <v>-565911.31788270548</v>
      </c>
      <c r="E13" s="83">
        <f>E11-E12</f>
        <v>-530649.09132020548</v>
      </c>
      <c r="F13" s="83">
        <f t="shared" si="2"/>
        <v>-529654.20069520548</v>
      </c>
      <c r="G13" s="83">
        <f t="shared" si="2"/>
        <v>-504303.13819520548</v>
      </c>
      <c r="H13" s="83">
        <f t="shared" si="2"/>
        <v>-469478.76319520548</v>
      </c>
      <c r="I13" s="83">
        <f t="shared" si="2"/>
        <v>-436651.59132020548</v>
      </c>
      <c r="J13" s="83">
        <f t="shared" si="2"/>
        <v>-394702.62257020548</v>
      </c>
      <c r="K13" s="83">
        <f t="shared" si="2"/>
        <v>-345618.99757020548</v>
      </c>
      <c r="L13" s="83">
        <f t="shared" si="2"/>
        <v>-289394.31007020548</v>
      </c>
      <c r="M13" s="83">
        <f t="shared" si="2"/>
        <v>-213987.90382020548</v>
      </c>
      <c r="N13" s="83">
        <f t="shared" si="2"/>
        <v>-121684.81007020548</v>
      </c>
      <c r="O13" s="83">
        <f t="shared" si="2"/>
        <v>-15065.74757020548</v>
      </c>
      <c r="P13" s="83">
        <f t="shared" si="2"/>
        <v>97662.56492979452</v>
      </c>
      <c r="Q13" s="83">
        <f t="shared" si="2"/>
        <v>218303.93992979452</v>
      </c>
      <c r="R13" s="83">
        <f t="shared" si="2"/>
        <v>348174.56492979452</v>
      </c>
      <c r="S13" s="83">
        <f t="shared" si="2"/>
        <v>503199.43992979452</v>
      </c>
      <c r="T13" s="83">
        <f t="shared" si="2"/>
        <v>687595.93992979452</v>
      </c>
      <c r="U13" s="83">
        <f t="shared" si="2"/>
        <v>897631.56492979452</v>
      </c>
      <c r="V13" s="83">
        <f t="shared" si="2"/>
        <v>1136473.3149297945</v>
      </c>
      <c r="W13" s="83">
        <f t="shared" si="2"/>
        <v>1408201.3149297945</v>
      </c>
      <c r="X13" s="83">
        <f t="shared" si="2"/>
        <v>1716008.5649297945</v>
      </c>
    </row>
    <row r="14" spans="1:28" x14ac:dyDescent="0.3">
      <c r="A14" s="9"/>
      <c r="B14" s="9"/>
      <c r="C14" s="15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8" x14ac:dyDescent="0.3">
      <c r="A15" s="18" t="s">
        <v>93</v>
      </c>
      <c r="B15" s="10"/>
      <c r="C15" s="81" t="s">
        <v>94</v>
      </c>
      <c r="D15" s="19">
        <v>2</v>
      </c>
      <c r="E15" s="19">
        <v>3</v>
      </c>
      <c r="F15" s="19">
        <v>4</v>
      </c>
      <c r="G15" s="19">
        <v>5</v>
      </c>
      <c r="H15" s="19">
        <v>6</v>
      </c>
      <c r="I15" s="19">
        <v>7</v>
      </c>
      <c r="J15" s="19">
        <v>8</v>
      </c>
      <c r="K15" s="19">
        <v>9</v>
      </c>
      <c r="L15" s="19">
        <v>10</v>
      </c>
      <c r="M15" s="19">
        <v>11</v>
      </c>
      <c r="N15" s="19">
        <v>12</v>
      </c>
      <c r="O15" s="19">
        <v>13</v>
      </c>
      <c r="P15" s="19">
        <v>14</v>
      </c>
      <c r="Q15" s="19">
        <v>15</v>
      </c>
      <c r="R15" s="19">
        <v>16</v>
      </c>
      <c r="S15" s="19">
        <v>17</v>
      </c>
      <c r="T15" s="19">
        <v>18</v>
      </c>
      <c r="U15" s="19">
        <v>19</v>
      </c>
      <c r="V15" s="19">
        <v>20</v>
      </c>
      <c r="W15" s="19">
        <v>21</v>
      </c>
      <c r="X15" s="19">
        <v>22</v>
      </c>
    </row>
    <row r="16" spans="1:28" x14ac:dyDescent="0.3">
      <c r="A16" s="14" t="s">
        <v>32</v>
      </c>
      <c r="B16" s="14"/>
      <c r="C16" s="20">
        <v>1</v>
      </c>
      <c r="D16" s="21"/>
      <c r="E16" s="36">
        <v>87076.404296875</v>
      </c>
      <c r="F16" s="36">
        <v>85531.9560546875</v>
      </c>
      <c r="G16" s="36">
        <v>98289.68359375</v>
      </c>
      <c r="H16" s="36">
        <v>116569.685546875</v>
      </c>
      <c r="I16" s="36">
        <v>133956.669921875</v>
      </c>
      <c r="J16" s="36">
        <v>157654.185546875</v>
      </c>
      <c r="K16" s="36">
        <v>186749.435546875</v>
      </c>
      <c r="L16" s="36">
        <v>221435.71875</v>
      </c>
      <c r="M16" s="36">
        <v>271153.59375</v>
      </c>
      <c r="N16" s="36">
        <v>335078.623046875</v>
      </c>
      <c r="O16" s="36">
        <v>411844.77734375</v>
      </c>
      <c r="P16" s="36">
        <v>494626.23046875</v>
      </c>
      <c r="Q16" s="36">
        <v>584519.3046875</v>
      </c>
      <c r="R16" s="36">
        <v>682422.142578125</v>
      </c>
      <c r="S16" s="36">
        <v>802632.76953125</v>
      </c>
      <c r="T16" s="36">
        <v>949383.21875</v>
      </c>
      <c r="U16" s="36">
        <v>1119494.27734375</v>
      </c>
      <c r="V16" s="36">
        <v>1315936.15625</v>
      </c>
      <c r="W16" s="36">
        <v>1542562.0078125</v>
      </c>
      <c r="X16" s="36">
        <v>1802495.83203125</v>
      </c>
    </row>
    <row r="17" spans="1:24" x14ac:dyDescent="0.3">
      <c r="A17" s="14" t="s">
        <v>32</v>
      </c>
      <c r="B17" s="14"/>
      <c r="C17" s="20">
        <v>2</v>
      </c>
      <c r="D17" s="21"/>
      <c r="E17" s="36">
        <v>77833.669921875</v>
      </c>
      <c r="F17" s="36">
        <v>77960.0341796875</v>
      </c>
      <c r="G17" s="36">
        <v>87318.08984375</v>
      </c>
      <c r="H17" s="36">
        <v>99835.935546875</v>
      </c>
      <c r="I17" s="36">
        <v>111747.576171875</v>
      </c>
      <c r="J17" s="36">
        <v>127600.794921875</v>
      </c>
      <c r="K17" s="36">
        <v>147246.951171875</v>
      </c>
      <c r="L17" s="36">
        <v>171210.5</v>
      </c>
      <c r="M17" s="36">
        <v>206393.90625</v>
      </c>
      <c r="N17" s="36">
        <v>253248.310546875</v>
      </c>
      <c r="O17" s="36">
        <v>311449.80859375</v>
      </c>
      <c r="P17" s="36">
        <v>375837.54296875</v>
      </c>
      <c r="Q17" s="36">
        <v>447247.5546875</v>
      </c>
      <c r="R17" s="36">
        <v>526365.955078125</v>
      </c>
      <c r="S17" s="36">
        <v>625552.33203125</v>
      </c>
      <c r="T17" s="36">
        <v>749068.28125</v>
      </c>
      <c r="U17" s="36">
        <v>894571.40234375</v>
      </c>
      <c r="V17" s="36">
        <v>1065061.03125</v>
      </c>
      <c r="W17" s="36">
        <v>1264278.7578125</v>
      </c>
      <c r="X17" s="36">
        <v>1495213.08203125</v>
      </c>
    </row>
    <row r="18" spans="1:24" x14ac:dyDescent="0.3">
      <c r="A18" s="14" t="s">
        <v>32</v>
      </c>
      <c r="B18" s="14"/>
      <c r="C18" s="20">
        <v>3</v>
      </c>
      <c r="D18" s="21"/>
      <c r="E18" s="36">
        <v>71851.404296875</v>
      </c>
      <c r="F18" s="36">
        <v>72881.5498046875</v>
      </c>
      <c r="G18" s="36">
        <v>80301.91796875</v>
      </c>
      <c r="H18" s="36">
        <v>89661.623046875</v>
      </c>
      <c r="I18" s="36">
        <v>98586.294921875</v>
      </c>
      <c r="J18" s="36">
        <v>109863.482421875</v>
      </c>
      <c r="K18" s="36">
        <v>123357.544921875</v>
      </c>
      <c r="L18" s="36">
        <v>139551.1875</v>
      </c>
      <c r="M18" s="36">
        <v>162997.6875</v>
      </c>
      <c r="N18" s="36">
        <v>194998.248046875</v>
      </c>
      <c r="O18" s="36">
        <v>236250.05859375</v>
      </c>
      <c r="P18" s="36">
        <v>283436.32421875</v>
      </c>
      <c r="Q18" s="36">
        <v>337105.3671875</v>
      </c>
      <c r="R18" s="36">
        <v>397769.955078125</v>
      </c>
      <c r="S18" s="36">
        <v>475528.76953125</v>
      </c>
      <c r="T18" s="36">
        <v>574894.59375</v>
      </c>
      <c r="U18" s="36">
        <v>694768.15234375</v>
      </c>
      <c r="V18" s="36">
        <v>838112.15625</v>
      </c>
      <c r="W18" s="36">
        <v>1008618.5078125</v>
      </c>
      <c r="X18" s="36">
        <v>1209416.70703125</v>
      </c>
    </row>
    <row r="19" spans="1:24" x14ac:dyDescent="0.3">
      <c r="A19" s="14" t="s">
        <v>32</v>
      </c>
      <c r="B19" s="14"/>
      <c r="C19" s="20">
        <v>4</v>
      </c>
      <c r="D19" s="21"/>
      <c r="E19" s="36">
        <v>67593.669921875</v>
      </c>
      <c r="F19" s="36">
        <v>68888.9716796875</v>
      </c>
      <c r="G19" s="36">
        <v>75418.26171875</v>
      </c>
      <c r="H19" s="36">
        <v>83062.654296875</v>
      </c>
      <c r="I19" s="36">
        <v>90271.091796875</v>
      </c>
      <c r="J19" s="36">
        <v>99021.513671875</v>
      </c>
      <c r="K19" s="36">
        <v>109187.076171875</v>
      </c>
      <c r="L19" s="36">
        <v>120973.28125</v>
      </c>
      <c r="M19" s="36">
        <v>137001</v>
      </c>
      <c r="N19" s="36">
        <v>158193.935546875</v>
      </c>
      <c r="O19" s="36">
        <v>185663.99609375</v>
      </c>
      <c r="P19" s="36">
        <v>218056.35546875</v>
      </c>
      <c r="Q19" s="36">
        <v>255981.9296875</v>
      </c>
      <c r="R19" s="36">
        <v>299898.173828125</v>
      </c>
      <c r="S19" s="36">
        <v>357459.20703125</v>
      </c>
      <c r="T19" s="36">
        <v>432989.90625</v>
      </c>
      <c r="U19" s="36">
        <v>526530.27734375</v>
      </c>
      <c r="V19" s="36">
        <v>641501.09375</v>
      </c>
      <c r="W19" s="36">
        <v>781881.0703125</v>
      </c>
      <c r="X19" s="36">
        <v>950937.08203125</v>
      </c>
    </row>
    <row r="20" spans="1:24" x14ac:dyDescent="0.3">
      <c r="A20" s="14" t="s">
        <v>32</v>
      </c>
      <c r="B20" s="14"/>
      <c r="C20" s="20">
        <v>5</v>
      </c>
      <c r="D20" s="21"/>
      <c r="E20" s="36">
        <v>63976.091796875</v>
      </c>
      <c r="F20" s="36">
        <v>65197.9326171875</v>
      </c>
      <c r="G20" s="36">
        <v>71363.55859375</v>
      </c>
      <c r="H20" s="36">
        <v>78269.779296875</v>
      </c>
      <c r="I20" s="36">
        <v>84610.263671875</v>
      </c>
      <c r="J20" s="36">
        <v>91970.763671875</v>
      </c>
      <c r="K20" s="36">
        <v>100222.451171875</v>
      </c>
      <c r="L20" s="36">
        <v>109531.5625</v>
      </c>
      <c r="M20" s="36">
        <v>121560.53125</v>
      </c>
      <c r="N20" s="36">
        <v>136647.029296875</v>
      </c>
      <c r="O20" s="36">
        <v>155320.74609375</v>
      </c>
      <c r="P20" s="36">
        <v>177050.41796875</v>
      </c>
      <c r="Q20" s="36">
        <v>202612.0234375</v>
      </c>
      <c r="R20" s="36">
        <v>232649.955078125</v>
      </c>
      <c r="S20" s="36">
        <v>272650.98828125</v>
      </c>
      <c r="T20" s="36">
        <v>326462.15625</v>
      </c>
      <c r="U20" s="36">
        <v>395144.02734375</v>
      </c>
      <c r="V20" s="36">
        <v>482139.71875</v>
      </c>
      <c r="W20" s="36">
        <v>591464.1953125</v>
      </c>
      <c r="X20" s="36">
        <v>727094.64453125</v>
      </c>
    </row>
    <row r="21" spans="1:24" x14ac:dyDescent="0.3">
      <c r="A21" s="14" t="s">
        <v>32</v>
      </c>
      <c r="B21" s="14"/>
      <c r="C21" s="20">
        <v>6</v>
      </c>
      <c r="D21" s="21"/>
      <c r="E21" s="36">
        <v>60497.958984375</v>
      </c>
      <c r="F21" s="36">
        <v>61544.8857421875</v>
      </c>
      <c r="G21" s="36">
        <v>67500.15234375</v>
      </c>
      <c r="H21" s="36">
        <v>74087.826171875</v>
      </c>
      <c r="I21" s="36">
        <v>80029.373046875</v>
      </c>
      <c r="J21" s="36">
        <v>86755.435546875</v>
      </c>
      <c r="K21" s="36">
        <v>94061.794921875</v>
      </c>
      <c r="L21" s="36">
        <v>102043.953125</v>
      </c>
      <c r="M21" s="36">
        <v>111788.265625</v>
      </c>
      <c r="N21" s="36">
        <v>123460.310546875</v>
      </c>
      <c r="O21" s="36">
        <v>137393.90234375</v>
      </c>
      <c r="P21" s="36">
        <v>153111.69921875</v>
      </c>
      <c r="Q21" s="36">
        <v>171056.8046875</v>
      </c>
      <c r="R21" s="36">
        <v>191708.236328125</v>
      </c>
      <c r="S21" s="36">
        <v>218564.01953125</v>
      </c>
      <c r="T21" s="36">
        <v>254629.3125</v>
      </c>
      <c r="U21" s="36">
        <v>301732.77734375</v>
      </c>
      <c r="V21" s="36">
        <v>363287.03125</v>
      </c>
      <c r="W21" s="36">
        <v>443240.1953125</v>
      </c>
      <c r="X21" s="36">
        <v>545762.20703125</v>
      </c>
    </row>
    <row r="22" spans="1:24" x14ac:dyDescent="0.3">
      <c r="A22" s="14" t="s">
        <v>32</v>
      </c>
      <c r="B22" s="14"/>
      <c r="C22" s="20">
        <v>7</v>
      </c>
      <c r="D22" s="21"/>
      <c r="E22" s="36">
        <v>57027.029296875</v>
      </c>
      <c r="F22" s="36">
        <v>57891.8310546875</v>
      </c>
      <c r="G22" s="36">
        <v>63650.38671875</v>
      </c>
      <c r="H22" s="36">
        <v>70023.888671875</v>
      </c>
      <c r="I22" s="36">
        <v>75714.779296875</v>
      </c>
      <c r="J22" s="36">
        <v>82118.701171875</v>
      </c>
      <c r="K22" s="36">
        <v>88991.716796875</v>
      </c>
      <c r="L22" s="36">
        <v>96361.84375</v>
      </c>
      <c r="M22" s="36">
        <v>105019.90625</v>
      </c>
      <c r="N22" s="36">
        <v>114889.544921875</v>
      </c>
      <c r="O22" s="36">
        <v>126114.33984375</v>
      </c>
      <c r="P22" s="36">
        <v>138452.76171875</v>
      </c>
      <c r="Q22" s="36">
        <v>152271.0234375</v>
      </c>
      <c r="R22" s="36">
        <v>167783.048828125</v>
      </c>
      <c r="S22" s="36">
        <v>186996.92578125</v>
      </c>
      <c r="T22" s="36">
        <v>211568.9375</v>
      </c>
      <c r="U22" s="36">
        <v>242887.77734375</v>
      </c>
      <c r="V22" s="36">
        <v>283847.15625</v>
      </c>
      <c r="W22" s="36">
        <v>338317.9453125</v>
      </c>
      <c r="X22" s="36">
        <v>410630.26953125</v>
      </c>
    </row>
    <row r="23" spans="1:24" x14ac:dyDescent="0.3">
      <c r="A23" s="14"/>
      <c r="B23" s="14"/>
      <c r="C23" s="20"/>
      <c r="D23" s="2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24" x14ac:dyDescent="0.3">
      <c r="A24" s="14"/>
      <c r="B24" s="14"/>
      <c r="C24" s="20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</row>
    <row r="25" spans="1:24" x14ac:dyDescent="0.3">
      <c r="A25" s="22" t="s">
        <v>33</v>
      </c>
      <c r="B25" s="22"/>
      <c r="C25" s="23"/>
    </row>
    <row r="26" spans="1:24" x14ac:dyDescent="0.3">
      <c r="A26" s="10" t="s">
        <v>34</v>
      </c>
      <c r="B26" s="10"/>
      <c r="C26" s="11" t="s">
        <v>35</v>
      </c>
      <c r="D26" s="80" t="s">
        <v>1</v>
      </c>
      <c r="E26" s="80" t="s">
        <v>2</v>
      </c>
      <c r="F26" s="80" t="s">
        <v>3</v>
      </c>
      <c r="G26" s="80" t="s">
        <v>4</v>
      </c>
      <c r="H26" s="80" t="s">
        <v>5</v>
      </c>
      <c r="I26" s="80" t="s">
        <v>6</v>
      </c>
      <c r="J26" s="80" t="s">
        <v>7</v>
      </c>
      <c r="K26" s="80" t="s">
        <v>8</v>
      </c>
      <c r="L26" s="80" t="s">
        <v>9</v>
      </c>
      <c r="M26" s="80" t="s">
        <v>10</v>
      </c>
      <c r="N26" s="80" t="s">
        <v>11</v>
      </c>
      <c r="O26" s="80" t="s">
        <v>12</v>
      </c>
      <c r="P26" s="80" t="s">
        <v>13</v>
      </c>
      <c r="Q26" s="80" t="s">
        <v>14</v>
      </c>
      <c r="R26" s="80" t="s">
        <v>15</v>
      </c>
      <c r="S26" s="80" t="s">
        <v>16</v>
      </c>
      <c r="T26" s="80" t="s">
        <v>17</v>
      </c>
      <c r="U26" s="80" t="s">
        <v>18</v>
      </c>
      <c r="V26" s="80" t="s">
        <v>19</v>
      </c>
      <c r="W26" s="80" t="s">
        <v>20</v>
      </c>
      <c r="X26" s="80" t="s">
        <v>21</v>
      </c>
    </row>
    <row r="27" spans="1:24" x14ac:dyDescent="0.3">
      <c r="A27" s="3" t="s">
        <v>36</v>
      </c>
      <c r="C27" s="83">
        <f t="shared" ref="C27:C32" si="3">NPV($B$2,E27:X27)</f>
        <v>4984808.2483261423</v>
      </c>
      <c r="D27" s="24"/>
      <c r="E27" s="24">
        <f t="shared" ref="E27:X27" si="4">IF(E33=1,E8,0)</f>
        <v>0</v>
      </c>
      <c r="F27" s="24">
        <f t="shared" si="4"/>
        <v>0</v>
      </c>
      <c r="G27" s="24">
        <f t="shared" si="4"/>
        <v>0</v>
      </c>
      <c r="H27" s="24">
        <f t="shared" si="4"/>
        <v>0</v>
      </c>
      <c r="I27" s="24">
        <f t="shared" si="4"/>
        <v>0</v>
      </c>
      <c r="J27" s="24">
        <f t="shared" si="4"/>
        <v>0</v>
      </c>
      <c r="K27" s="24">
        <f t="shared" si="4"/>
        <v>0</v>
      </c>
      <c r="L27" s="24">
        <f t="shared" si="4"/>
        <v>0</v>
      </c>
      <c r="M27" s="24">
        <f t="shared" si="4"/>
        <v>0</v>
      </c>
      <c r="N27" s="24">
        <f t="shared" si="4"/>
        <v>0</v>
      </c>
      <c r="O27" s="24">
        <f t="shared" si="4"/>
        <v>0</v>
      </c>
      <c r="P27" s="24">
        <f t="shared" si="4"/>
        <v>636188.48046875</v>
      </c>
      <c r="Q27" s="24">
        <f t="shared" si="4"/>
        <v>744170.3046875</v>
      </c>
      <c r="R27" s="24">
        <f t="shared" si="4"/>
        <v>860543.580078125</v>
      </c>
      <c r="S27" s="24">
        <f t="shared" si="4"/>
        <v>1001191.83203125</v>
      </c>
      <c r="T27" s="24">
        <f t="shared" si="4"/>
        <v>1170290.71875</v>
      </c>
      <c r="U27" s="24">
        <f t="shared" si="4"/>
        <v>1364062.77734375</v>
      </c>
      <c r="V27" s="24">
        <f t="shared" si="4"/>
        <v>1585630.78125</v>
      </c>
      <c r="W27" s="24">
        <f t="shared" si="4"/>
        <v>1839028.3828125</v>
      </c>
      <c r="X27" s="24">
        <f t="shared" si="4"/>
        <v>2127397.83203125</v>
      </c>
    </row>
    <row r="28" spans="1:24" x14ac:dyDescent="0.3">
      <c r="A28" s="3" t="s">
        <v>37</v>
      </c>
      <c r="C28" s="83">
        <f t="shared" si="3"/>
        <v>706302.31798096851</v>
      </c>
      <c r="D28" s="24"/>
      <c r="E28" s="24">
        <f t="shared" ref="E28:X28" si="5">IF(E27=0,0,E9)</f>
        <v>0</v>
      </c>
      <c r="F28" s="24">
        <f t="shared" si="5"/>
        <v>0</v>
      </c>
      <c r="G28" s="24">
        <f t="shared" si="5"/>
        <v>0</v>
      </c>
      <c r="H28" s="24">
        <f t="shared" si="5"/>
        <v>0</v>
      </c>
      <c r="I28" s="24">
        <f t="shared" si="5"/>
        <v>0</v>
      </c>
      <c r="J28" s="24">
        <f t="shared" si="5"/>
        <v>0</v>
      </c>
      <c r="K28" s="24">
        <f t="shared" si="5"/>
        <v>0</v>
      </c>
      <c r="L28" s="24">
        <f t="shared" si="5"/>
        <v>0</v>
      </c>
      <c r="M28" s="24">
        <f t="shared" si="5"/>
        <v>0</v>
      </c>
      <c r="N28" s="24">
        <f t="shared" si="5"/>
        <v>0</v>
      </c>
      <c r="O28" s="24">
        <f t="shared" si="5"/>
        <v>0</v>
      </c>
      <c r="P28" s="24">
        <f t="shared" si="5"/>
        <v>125800</v>
      </c>
      <c r="Q28" s="24">
        <f t="shared" si="5"/>
        <v>136165</v>
      </c>
      <c r="R28" s="24">
        <f t="shared" si="5"/>
        <v>147216</v>
      </c>
      <c r="S28" s="24">
        <f t="shared" si="5"/>
        <v>158987</v>
      </c>
      <c r="T28" s="24">
        <f t="shared" si="5"/>
        <v>171512</v>
      </c>
      <c r="U28" s="24">
        <f t="shared" si="5"/>
        <v>184828</v>
      </c>
      <c r="V28" s="24">
        <f t="shared" si="5"/>
        <v>198971</v>
      </c>
      <c r="W28" s="24">
        <f t="shared" si="5"/>
        <v>213979</v>
      </c>
      <c r="X28" s="24">
        <f t="shared" si="5"/>
        <v>229894</v>
      </c>
    </row>
    <row r="29" spans="1:24" x14ac:dyDescent="0.3">
      <c r="A29" s="3" t="s">
        <v>38</v>
      </c>
      <c r="C29" s="83">
        <f t="shared" si="3"/>
        <v>156323.99505119785</v>
      </c>
      <c r="D29" s="24"/>
      <c r="E29" s="24">
        <f t="shared" ref="E29:X29" si="6">IF(E27=0,0,E10)</f>
        <v>0</v>
      </c>
      <c r="F29" s="24">
        <f t="shared" si="6"/>
        <v>0</v>
      </c>
      <c r="G29" s="24">
        <f t="shared" si="6"/>
        <v>0</v>
      </c>
      <c r="H29" s="24">
        <f t="shared" si="6"/>
        <v>0</v>
      </c>
      <c r="I29" s="24">
        <f t="shared" si="6"/>
        <v>0</v>
      </c>
      <c r="J29" s="24">
        <f t="shared" si="6"/>
        <v>0</v>
      </c>
      <c r="K29" s="24">
        <f t="shared" si="6"/>
        <v>0</v>
      </c>
      <c r="L29" s="24">
        <f t="shared" si="6"/>
        <v>0</v>
      </c>
      <c r="M29" s="24">
        <f t="shared" si="6"/>
        <v>0</v>
      </c>
      <c r="N29" s="24">
        <f t="shared" si="6"/>
        <v>0</v>
      </c>
      <c r="O29" s="24">
        <f t="shared" si="6"/>
        <v>0</v>
      </c>
      <c r="P29" s="24">
        <f t="shared" si="6"/>
        <v>27841.26953125</v>
      </c>
      <c r="Q29" s="24">
        <f t="shared" si="6"/>
        <v>30135.8203125</v>
      </c>
      <c r="R29" s="24">
        <f t="shared" si="6"/>
        <v>32582.169921875</v>
      </c>
      <c r="S29" s="24">
        <f t="shared" si="6"/>
        <v>35187.79296875</v>
      </c>
      <c r="T29" s="24">
        <f t="shared" si="6"/>
        <v>37960.40625</v>
      </c>
      <c r="U29" s="24">
        <f t="shared" si="6"/>
        <v>40907.97265625</v>
      </c>
      <c r="V29" s="24">
        <f t="shared" si="6"/>
        <v>44038.71875</v>
      </c>
      <c r="W29" s="24">
        <f t="shared" si="6"/>
        <v>47361.1171875</v>
      </c>
      <c r="X29" s="24">
        <f t="shared" si="6"/>
        <v>50883.91796875</v>
      </c>
    </row>
    <row r="30" spans="1:24" s="2" customFormat="1" x14ac:dyDescent="0.3">
      <c r="A30" s="3" t="s">
        <v>22</v>
      </c>
      <c r="B30" s="3"/>
      <c r="C30" s="83">
        <f t="shared" si="3"/>
        <v>-8283017.4046968222</v>
      </c>
      <c r="D30" s="36"/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-37851.380225200002</v>
      </c>
      <c r="L30" s="36">
        <v>-1116488.6216607001</v>
      </c>
      <c r="M30" s="36">
        <v>-1171981.8300401</v>
      </c>
      <c r="N30" s="36">
        <v>-5067315.5201915996</v>
      </c>
      <c r="O30" s="36">
        <v>-3449448.6117663002</v>
      </c>
      <c r="P30" s="36">
        <v>-2904349.4190310999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6">
        <v>0</v>
      </c>
      <c r="W30" s="36">
        <v>0</v>
      </c>
      <c r="X30" s="36">
        <v>0</v>
      </c>
    </row>
    <row r="31" spans="1:24" s="2" customFormat="1" x14ac:dyDescent="0.3">
      <c r="A31" s="10" t="s">
        <v>39</v>
      </c>
      <c r="B31" s="10"/>
      <c r="C31" s="86">
        <f t="shared" si="3"/>
        <v>4015479.4545300375</v>
      </c>
      <c r="D31" s="54"/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43">
        <f>SUM(D30:X30)*($B$5-SUM(D33:X33))/-$B$5</f>
        <v>10654262.421759125</v>
      </c>
    </row>
    <row r="32" spans="1:24" s="2" customFormat="1" x14ac:dyDescent="0.3">
      <c r="A32" s="3" t="s">
        <v>31</v>
      </c>
      <c r="B32" s="3"/>
      <c r="C32" s="83">
        <f t="shared" si="3"/>
        <v>1579896.611191524</v>
      </c>
      <c r="D32" s="83"/>
      <c r="E32" s="83">
        <f t="shared" ref="E32" si="7">SUM(E27:E31)</f>
        <v>0</v>
      </c>
      <c r="F32" s="83">
        <f t="shared" ref="F32:T32" si="8">SUM(F27:F31)</f>
        <v>0</v>
      </c>
      <c r="G32" s="83">
        <f t="shared" si="8"/>
        <v>0</v>
      </c>
      <c r="H32" s="83">
        <f t="shared" si="8"/>
        <v>0</v>
      </c>
      <c r="I32" s="83">
        <f>SUM(I27:I31)</f>
        <v>0</v>
      </c>
      <c r="J32" s="83">
        <f t="shared" si="8"/>
        <v>0</v>
      </c>
      <c r="K32" s="83">
        <f t="shared" si="8"/>
        <v>-37851.380225200002</v>
      </c>
      <c r="L32" s="83">
        <f t="shared" si="8"/>
        <v>-1116488.6216607001</v>
      </c>
      <c r="M32" s="83">
        <f t="shared" si="8"/>
        <v>-1171981.8300401</v>
      </c>
      <c r="N32" s="83">
        <f>SUM(N27:N31)</f>
        <v>-5067315.5201915996</v>
      </c>
      <c r="O32" s="83">
        <f t="shared" si="8"/>
        <v>-3449448.6117663002</v>
      </c>
      <c r="P32" s="83">
        <f t="shared" si="8"/>
        <v>-2114519.6690310999</v>
      </c>
      <c r="Q32" s="83">
        <f t="shared" si="8"/>
        <v>910471.125</v>
      </c>
      <c r="R32" s="83">
        <f t="shared" si="8"/>
        <v>1040341.75</v>
      </c>
      <c r="S32" s="83">
        <f t="shared" si="8"/>
        <v>1195366.625</v>
      </c>
      <c r="T32" s="83">
        <f t="shared" si="8"/>
        <v>1379763.125</v>
      </c>
      <c r="U32" s="83">
        <f>SUM(U27:U31)</f>
        <v>1589798.75</v>
      </c>
      <c r="V32" s="83">
        <f t="shared" ref="V32:X32" si="9">SUM(V27:V31)</f>
        <v>1828640.5</v>
      </c>
      <c r="W32" s="83">
        <f t="shared" si="9"/>
        <v>2100368.5</v>
      </c>
      <c r="X32" s="83">
        <f t="shared" si="9"/>
        <v>13062438.171759125</v>
      </c>
    </row>
    <row r="33" spans="1:25" s="2" customFormat="1" x14ac:dyDescent="0.3">
      <c r="A33" s="3"/>
      <c r="B33" s="3"/>
      <c r="C33" s="17"/>
      <c r="D33" s="8"/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1</v>
      </c>
      <c r="Q33" s="8">
        <v>1</v>
      </c>
      <c r="R33" s="8">
        <v>1</v>
      </c>
      <c r="S33" s="8">
        <v>1</v>
      </c>
      <c r="T33" s="8">
        <v>1</v>
      </c>
      <c r="U33" s="8">
        <v>1</v>
      </c>
      <c r="V33" s="8">
        <v>1</v>
      </c>
      <c r="W33" s="8">
        <v>1</v>
      </c>
      <c r="X33" s="8">
        <v>1</v>
      </c>
    </row>
    <row r="34" spans="1:25" s="2" customFormat="1" x14ac:dyDescent="0.3">
      <c r="A34" s="25"/>
      <c r="B34" s="25"/>
      <c r="C34" s="25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:25" s="2" customFormat="1" x14ac:dyDescent="0.3">
      <c r="A35" s="22" t="s">
        <v>95</v>
      </c>
      <c r="B35" s="22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6"/>
      <c r="U35" s="26"/>
    </row>
    <row r="36" spans="1:25" x14ac:dyDescent="0.3">
      <c r="A36" s="3" t="s">
        <v>96</v>
      </c>
      <c r="C36" s="3"/>
      <c r="E36" s="85"/>
      <c r="F36" s="85"/>
      <c r="G36" s="85"/>
      <c r="H36" s="85"/>
      <c r="I36" s="85">
        <v>1</v>
      </c>
      <c r="J36" s="85">
        <v>2</v>
      </c>
      <c r="K36" s="85">
        <v>3</v>
      </c>
      <c r="L36" s="85">
        <v>3</v>
      </c>
      <c r="M36" s="85">
        <v>3</v>
      </c>
      <c r="N36" s="85">
        <v>4</v>
      </c>
      <c r="O36" s="85">
        <v>4</v>
      </c>
      <c r="P36" s="85">
        <v>5</v>
      </c>
      <c r="Q36" s="85">
        <v>6</v>
      </c>
      <c r="R36" s="85">
        <v>7</v>
      </c>
      <c r="S36" s="85"/>
      <c r="T36" s="85"/>
      <c r="U36" s="85"/>
      <c r="V36" s="85"/>
      <c r="W36" s="85"/>
      <c r="X36" s="85"/>
      <c r="Y36" s="15"/>
    </row>
    <row r="37" spans="1:25" x14ac:dyDescent="0.3">
      <c r="A37" s="10" t="s">
        <v>34</v>
      </c>
      <c r="B37" s="27" t="s">
        <v>40</v>
      </c>
      <c r="C37" s="11" t="s">
        <v>35</v>
      </c>
      <c r="D37" s="80" t="s">
        <v>1</v>
      </c>
      <c r="E37" s="80" t="s">
        <v>2</v>
      </c>
      <c r="F37" s="80" t="s">
        <v>3</v>
      </c>
      <c r="G37" s="80" t="s">
        <v>4</v>
      </c>
      <c r="H37" s="80" t="s">
        <v>5</v>
      </c>
      <c r="I37" s="80" t="s">
        <v>6</v>
      </c>
      <c r="J37" s="80" t="s">
        <v>7</v>
      </c>
      <c r="K37" s="80" t="s">
        <v>8</v>
      </c>
      <c r="L37" s="80" t="s">
        <v>9</v>
      </c>
      <c r="M37" s="80" t="s">
        <v>10</v>
      </c>
      <c r="N37" s="80" t="s">
        <v>11</v>
      </c>
      <c r="O37" s="80" t="s">
        <v>12</v>
      </c>
      <c r="P37" s="80" t="s">
        <v>13</v>
      </c>
      <c r="Q37" s="80" t="s">
        <v>14</v>
      </c>
      <c r="R37" s="80" t="s">
        <v>15</v>
      </c>
      <c r="S37" s="80" t="s">
        <v>16</v>
      </c>
      <c r="T37" s="80" t="s">
        <v>17</v>
      </c>
      <c r="U37" s="80" t="s">
        <v>18</v>
      </c>
      <c r="V37" s="80" t="s">
        <v>19</v>
      </c>
      <c r="W37" s="80" t="s">
        <v>20</v>
      </c>
      <c r="X37" s="80" t="s">
        <v>21</v>
      </c>
    </row>
    <row r="38" spans="1:25" x14ac:dyDescent="0.3">
      <c r="A38" s="3" t="s">
        <v>36</v>
      </c>
      <c r="B38" s="83">
        <f>C38-C27</f>
        <v>-1183535.9364840123</v>
      </c>
      <c r="C38" s="83">
        <f t="shared" ref="C38:C46" si="10">NPV($B$2,E38:X38)</f>
        <v>3801272.31184213</v>
      </c>
      <c r="D38" s="24"/>
      <c r="E38" s="24">
        <f t="shared" ref="E38:X38" si="11">IF(E$47=0,0,E8)</f>
        <v>0</v>
      </c>
      <c r="F38" s="24">
        <f t="shared" si="11"/>
        <v>0</v>
      </c>
      <c r="G38" s="24">
        <f t="shared" si="11"/>
        <v>0</v>
      </c>
      <c r="H38" s="24">
        <f t="shared" si="11"/>
        <v>0</v>
      </c>
      <c r="I38" s="24">
        <f t="shared" si="11"/>
        <v>0</v>
      </c>
      <c r="J38" s="24">
        <f t="shared" si="11"/>
        <v>0</v>
      </c>
      <c r="K38" s="24">
        <f t="shared" si="11"/>
        <v>0</v>
      </c>
      <c r="L38" s="24">
        <f t="shared" si="11"/>
        <v>0</v>
      </c>
      <c r="M38" s="24">
        <f t="shared" si="11"/>
        <v>0</v>
      </c>
      <c r="N38" s="24">
        <f t="shared" si="11"/>
        <v>0</v>
      </c>
      <c r="O38" s="24">
        <f t="shared" si="11"/>
        <v>0</v>
      </c>
      <c r="P38" s="24">
        <f t="shared" si="11"/>
        <v>0</v>
      </c>
      <c r="Q38" s="24">
        <f t="shared" si="11"/>
        <v>0</v>
      </c>
      <c r="R38" s="24">
        <f t="shared" si="11"/>
        <v>0</v>
      </c>
      <c r="S38" s="24">
        <f t="shared" si="11"/>
        <v>1001191.83203125</v>
      </c>
      <c r="T38" s="24">
        <f t="shared" si="11"/>
        <v>1170290.71875</v>
      </c>
      <c r="U38" s="24">
        <f t="shared" si="11"/>
        <v>1364062.77734375</v>
      </c>
      <c r="V38" s="24">
        <f t="shared" si="11"/>
        <v>1585630.78125</v>
      </c>
      <c r="W38" s="24">
        <f t="shared" si="11"/>
        <v>1839028.3828125</v>
      </c>
      <c r="X38" s="24">
        <f t="shared" si="11"/>
        <v>2127397.83203125</v>
      </c>
    </row>
    <row r="39" spans="1:25" x14ac:dyDescent="0.3">
      <c r="A39" s="3" t="s">
        <v>37</v>
      </c>
      <c r="B39" s="83">
        <f>C39-C28</f>
        <v>-216615.43768554163</v>
      </c>
      <c r="C39" s="83">
        <f t="shared" si="10"/>
        <v>489686.88029542688</v>
      </c>
      <c r="D39" s="24"/>
      <c r="E39" s="24">
        <f t="shared" ref="E39:X39" si="12">IF(E$47=0,0,E9)</f>
        <v>0</v>
      </c>
      <c r="F39" s="24">
        <f t="shared" si="12"/>
        <v>0</v>
      </c>
      <c r="G39" s="24">
        <f t="shared" si="12"/>
        <v>0</v>
      </c>
      <c r="H39" s="24">
        <f t="shared" si="12"/>
        <v>0</v>
      </c>
      <c r="I39" s="24">
        <f t="shared" si="12"/>
        <v>0</v>
      </c>
      <c r="J39" s="24">
        <f t="shared" si="12"/>
        <v>0</v>
      </c>
      <c r="K39" s="24">
        <f t="shared" si="12"/>
        <v>0</v>
      </c>
      <c r="L39" s="24">
        <f t="shared" si="12"/>
        <v>0</v>
      </c>
      <c r="M39" s="24">
        <f t="shared" si="12"/>
        <v>0</v>
      </c>
      <c r="N39" s="24">
        <f t="shared" si="12"/>
        <v>0</v>
      </c>
      <c r="O39" s="24">
        <f t="shared" si="12"/>
        <v>0</v>
      </c>
      <c r="P39" s="24">
        <f t="shared" si="12"/>
        <v>0</v>
      </c>
      <c r="Q39" s="24">
        <f t="shared" si="12"/>
        <v>0</v>
      </c>
      <c r="R39" s="24">
        <f t="shared" si="12"/>
        <v>0</v>
      </c>
      <c r="S39" s="24">
        <f t="shared" si="12"/>
        <v>158987</v>
      </c>
      <c r="T39" s="24">
        <f t="shared" si="12"/>
        <v>171512</v>
      </c>
      <c r="U39" s="24">
        <f t="shared" si="12"/>
        <v>184828</v>
      </c>
      <c r="V39" s="24">
        <f t="shared" si="12"/>
        <v>198971</v>
      </c>
      <c r="W39" s="24">
        <f t="shared" si="12"/>
        <v>213979</v>
      </c>
      <c r="X39" s="24">
        <f t="shared" si="12"/>
        <v>229894</v>
      </c>
    </row>
    <row r="40" spans="1:25" x14ac:dyDescent="0.3">
      <c r="A40" s="3" t="s">
        <v>38</v>
      </c>
      <c r="B40" s="83">
        <f>C40-C29</f>
        <v>-47940.93944208922</v>
      </c>
      <c r="C40" s="83">
        <f t="shared" si="10"/>
        <v>108383.05560910863</v>
      </c>
      <c r="D40" s="24"/>
      <c r="E40" s="24">
        <f t="shared" ref="E40:X40" si="13">IF(E$47=0,0,E10)</f>
        <v>0</v>
      </c>
      <c r="F40" s="24">
        <f t="shared" si="13"/>
        <v>0</v>
      </c>
      <c r="G40" s="24">
        <f t="shared" si="13"/>
        <v>0</v>
      </c>
      <c r="H40" s="24">
        <f t="shared" si="13"/>
        <v>0</v>
      </c>
      <c r="I40" s="24">
        <f t="shared" si="13"/>
        <v>0</v>
      </c>
      <c r="J40" s="24">
        <f t="shared" si="13"/>
        <v>0</v>
      </c>
      <c r="K40" s="24">
        <f t="shared" si="13"/>
        <v>0</v>
      </c>
      <c r="L40" s="24">
        <f t="shared" si="13"/>
        <v>0</v>
      </c>
      <c r="M40" s="24">
        <f t="shared" si="13"/>
        <v>0</v>
      </c>
      <c r="N40" s="24">
        <f t="shared" si="13"/>
        <v>0</v>
      </c>
      <c r="O40" s="24">
        <f t="shared" si="13"/>
        <v>0</v>
      </c>
      <c r="P40" s="24">
        <f t="shared" si="13"/>
        <v>0</v>
      </c>
      <c r="Q40" s="24">
        <f t="shared" si="13"/>
        <v>0</v>
      </c>
      <c r="R40" s="24">
        <f t="shared" si="13"/>
        <v>0</v>
      </c>
      <c r="S40" s="24">
        <f t="shared" si="13"/>
        <v>35187.79296875</v>
      </c>
      <c r="T40" s="24">
        <f t="shared" si="13"/>
        <v>37960.40625</v>
      </c>
      <c r="U40" s="24">
        <f t="shared" si="13"/>
        <v>40907.97265625</v>
      </c>
      <c r="V40" s="24">
        <f t="shared" si="13"/>
        <v>44038.71875</v>
      </c>
      <c r="W40" s="24">
        <f t="shared" si="13"/>
        <v>47361.1171875</v>
      </c>
      <c r="X40" s="24">
        <f t="shared" si="13"/>
        <v>50883.91796875</v>
      </c>
    </row>
    <row r="41" spans="1:25" s="2" customFormat="1" x14ac:dyDescent="0.3">
      <c r="A41" s="3" t="s">
        <v>22</v>
      </c>
      <c r="B41" s="83">
        <f>C41-C30</f>
        <v>1127835.5412291009</v>
      </c>
      <c r="C41" s="83">
        <f t="shared" si="10"/>
        <v>-7155181.8634677213</v>
      </c>
      <c r="D41" s="36"/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-37851.380225200002</v>
      </c>
      <c r="O41" s="36">
        <v>-1116488.6216607001</v>
      </c>
      <c r="P41" s="36">
        <v>-1171981.8300401</v>
      </c>
      <c r="Q41" s="36">
        <v>-5067315.5201915996</v>
      </c>
      <c r="R41" s="36">
        <v>-3449448.6117663002</v>
      </c>
      <c r="S41" s="36">
        <v>-2904349.4190310999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</row>
    <row r="42" spans="1:25" s="2" customFormat="1" x14ac:dyDescent="0.3">
      <c r="A42" s="3" t="s">
        <v>39</v>
      </c>
      <c r="B42" s="83">
        <f>C42-C31</f>
        <v>388594.78592226142</v>
      </c>
      <c r="C42" s="83">
        <f t="shared" si="10"/>
        <v>4404074.2404522989</v>
      </c>
      <c r="D42" s="36"/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36">
        <v>0</v>
      </c>
      <c r="W42" s="36">
        <v>0</v>
      </c>
      <c r="X42" s="24">
        <f>SUM(D41:X41)*($B$5-SUM(D47:X47))/-$B$5</f>
        <v>11685320.075477749</v>
      </c>
    </row>
    <row r="43" spans="1:25" s="2" customFormat="1" x14ac:dyDescent="0.3">
      <c r="A43" s="3" t="s">
        <v>43</v>
      </c>
      <c r="B43" s="83">
        <f>C43</f>
        <v>1148331.6576680716</v>
      </c>
      <c r="C43" s="83">
        <f t="shared" si="10"/>
        <v>1148331.6576680716</v>
      </c>
      <c r="D43" s="24"/>
      <c r="E43" s="24">
        <f>-E41*Assumptions!B6</f>
        <v>0</v>
      </c>
      <c r="F43" s="24">
        <f>-F41*Assumptions!C6</f>
        <v>0</v>
      </c>
      <c r="G43" s="24">
        <f>-G41*Assumptions!D6</f>
        <v>0</v>
      </c>
      <c r="H43" s="24">
        <f>-H41*Assumptions!E6</f>
        <v>0</v>
      </c>
      <c r="I43" s="24">
        <f>-I41*Assumptions!F6</f>
        <v>0</v>
      </c>
      <c r="J43" s="24">
        <f>-J41*Assumptions!G6</f>
        <v>0</v>
      </c>
      <c r="K43" s="24">
        <f>-K41*Assumptions!H6</f>
        <v>0</v>
      </c>
      <c r="L43" s="24">
        <f>-L41*Assumptions!I6</f>
        <v>0</v>
      </c>
      <c r="M43" s="24">
        <f>-M41*Assumptions!J6</f>
        <v>0</v>
      </c>
      <c r="N43" s="24">
        <f>-N41*Assumptions!K6</f>
        <v>6260.0359603215411</v>
      </c>
      <c r="O43" s="24">
        <f>-O41*Assumptions!L6</f>
        <v>197532.60229381625</v>
      </c>
      <c r="P43" s="24">
        <f>-P41*Assumptions!M6</f>
        <v>220873.49873832663</v>
      </c>
      <c r="Q43" s="24">
        <f>-Q41*Assumptions!N6</f>
        <v>1013463.10403832</v>
      </c>
      <c r="R43" s="24">
        <f>-R41*Assumptions!O6</f>
        <v>729691.05248902517</v>
      </c>
      <c r="S43" s="24">
        <f>-S41*Assumptions!Q5</f>
        <v>0</v>
      </c>
      <c r="T43" s="24">
        <f>-T41*Assumptions!R5</f>
        <v>0</v>
      </c>
      <c r="U43" s="24">
        <f>-U41*Assumptions!S5</f>
        <v>0</v>
      </c>
      <c r="V43" s="24">
        <f>-V41*Assumptions!T5</f>
        <v>0</v>
      </c>
      <c r="W43" s="24">
        <f>-W41*Assumptions!U5</f>
        <v>0</v>
      </c>
      <c r="X43" s="24">
        <f>-X41*Assumptions!V5</f>
        <v>0</v>
      </c>
    </row>
    <row r="44" spans="1:25" s="2" customFormat="1" x14ac:dyDescent="0.3">
      <c r="A44" s="3" t="s">
        <v>41</v>
      </c>
      <c r="B44" s="83">
        <f>C44</f>
        <v>-2607452.1605773582</v>
      </c>
      <c r="C44" s="83">
        <f t="shared" si="10"/>
        <v>-2607452.1605773582</v>
      </c>
      <c r="D44" s="36"/>
      <c r="E44" s="36">
        <v>0</v>
      </c>
      <c r="F44" s="36">
        <v>0</v>
      </c>
      <c r="G44" s="36">
        <v>0</v>
      </c>
      <c r="H44" s="36">
        <v>0</v>
      </c>
      <c r="I44" s="28">
        <f>-Assumptions!F14*(I36-H36)*1000*Assumptions!$C9-Assumptions!F15*I36*1000*Assumptions!$C10</f>
        <v>-583015</v>
      </c>
      <c r="J44" s="28">
        <f>-Assumptions!G14*(J36-I36)*1000*Assumptions!$C9-Assumptions!G15*J36*1000*Assumptions!$C10</f>
        <v>-586444.49999999988</v>
      </c>
      <c r="K44" s="28">
        <f>-Assumptions!H14*(K36-J36)*1000*Assumptions!$C9-Assumptions!H15*K36*1000*Assumptions!$C10</f>
        <v>-588073.51249999995</v>
      </c>
      <c r="L44" s="28">
        <f>-Assumptions!I14*(L36-K36)*1000*Assumptions!$C9-Assumptions!I15*L36*1000*Assumptions!$C10</f>
        <v>-88211.026874999981</v>
      </c>
      <c r="M44" s="28">
        <f>-Assumptions!J14*(M36-L36)*1000*Assumptions!$C9-Assumptions!J15*M36*1000*Assumptions!$C10</f>
        <v>-83800.475531249991</v>
      </c>
      <c r="N44" s="28">
        <f>-Assumptions!K14*(N36-M36)*1000*Assumptions!$C9-Assumptions!K15*N36*1000*Assumptions!$C10</f>
        <v>-530736.3450312498</v>
      </c>
      <c r="O44" s="28">
        <f>-Assumptions!L14*(O36-N36)*1000*Assumptions!$C9-Assumptions!L15*O36*1000*Assumptions!$C10</f>
        <v>-100839.90555593747</v>
      </c>
      <c r="P44" s="28">
        <f>-Assumptions!M14*(P36-O36)*1000*Assumptions!$C9-Assumptions!M15*P36*1000*Assumptions!$C10</f>
        <v>-502939.02896023809</v>
      </c>
      <c r="Q44" s="28">
        <f>-Assumptions!N14*(Q36-P36)*1000*Assumptions!$C9-Assumptions!N15*Q36*1000*Assumptions!$C10</f>
        <v>-500544.08120328456</v>
      </c>
      <c r="R44" s="28">
        <f>-Assumptions!O14*(R36-Q36)*1000*Assumptions!$C9-Assumptions!O15*R36*1000*Assumptions!$C10</f>
        <v>-497131.2806496257</v>
      </c>
      <c r="S44" s="36">
        <v>0</v>
      </c>
      <c r="T44" s="36">
        <v>0</v>
      </c>
      <c r="U44" s="36">
        <v>0</v>
      </c>
      <c r="V44" s="36">
        <v>0</v>
      </c>
      <c r="W44" s="36">
        <v>0</v>
      </c>
      <c r="X44" s="36">
        <v>0</v>
      </c>
    </row>
    <row r="45" spans="1:25" s="2" customFormat="1" x14ac:dyDescent="0.3">
      <c r="A45" s="10" t="s">
        <v>42</v>
      </c>
      <c r="B45" s="86">
        <f>C45</f>
        <v>1687878.9073830009</v>
      </c>
      <c r="C45" s="86">
        <f t="shared" si="10"/>
        <v>1687878.9073830009</v>
      </c>
      <c r="D45" s="43"/>
      <c r="E45" s="43">
        <f t="shared" ref="E45:X45" si="14">IF(E36&gt;0,E$8-VLOOKUP(E36,$C$16:$X$23,E$15,FALSE),0)</f>
        <v>0</v>
      </c>
      <c r="F45" s="43">
        <f t="shared" si="14"/>
        <v>0</v>
      </c>
      <c r="G45" s="43">
        <f t="shared" si="14"/>
        <v>0</v>
      </c>
      <c r="H45" s="43">
        <f t="shared" si="14"/>
        <v>0</v>
      </c>
      <c r="I45" s="43">
        <f t="shared" si="14"/>
        <v>36277.1875</v>
      </c>
      <c r="J45" s="43">
        <f t="shared" si="14"/>
        <v>76739.59375</v>
      </c>
      <c r="K45" s="43">
        <f t="shared" si="14"/>
        <v>121638.015625</v>
      </c>
      <c r="L45" s="43">
        <f t="shared" si="14"/>
        <v>152624.71875</v>
      </c>
      <c r="M45" s="43">
        <f t="shared" si="14"/>
        <v>194888.3125</v>
      </c>
      <c r="N45" s="43">
        <f t="shared" si="14"/>
        <v>281613.5625</v>
      </c>
      <c r="O45" s="43">
        <f t="shared" si="14"/>
        <v>349659.15625</v>
      </c>
      <c r="P45" s="43">
        <f t="shared" si="14"/>
        <v>459138.0625</v>
      </c>
      <c r="Q45" s="43">
        <f t="shared" si="14"/>
        <v>573113.5</v>
      </c>
      <c r="R45" s="43">
        <f t="shared" si="14"/>
        <v>692760.53125</v>
      </c>
      <c r="S45" s="43">
        <f t="shared" si="14"/>
        <v>0</v>
      </c>
      <c r="T45" s="43">
        <f t="shared" si="14"/>
        <v>0</v>
      </c>
      <c r="U45" s="43">
        <f t="shared" si="14"/>
        <v>0</v>
      </c>
      <c r="V45" s="43">
        <f t="shared" si="14"/>
        <v>0</v>
      </c>
      <c r="W45" s="43">
        <f t="shared" si="14"/>
        <v>0</v>
      </c>
      <c r="X45" s="43">
        <f t="shared" si="14"/>
        <v>0</v>
      </c>
    </row>
    <row r="46" spans="1:25" s="2" customFormat="1" x14ac:dyDescent="0.3">
      <c r="A46" s="3" t="s">
        <v>31</v>
      </c>
      <c r="B46" s="7"/>
      <c r="C46" s="24">
        <f t="shared" si="10"/>
        <v>1876993.0292049572</v>
      </c>
      <c r="D46" s="83"/>
      <c r="E46" s="83">
        <f t="shared" ref="E46:X46" si="15">SUM(E38:E45)</f>
        <v>0</v>
      </c>
      <c r="F46" s="83">
        <f t="shared" si="15"/>
        <v>0</v>
      </c>
      <c r="G46" s="83">
        <f t="shared" si="15"/>
        <v>0</v>
      </c>
      <c r="H46" s="83">
        <f t="shared" si="15"/>
        <v>0</v>
      </c>
      <c r="I46" s="83">
        <f t="shared" si="15"/>
        <v>-546737.8125</v>
      </c>
      <c r="J46" s="83">
        <f t="shared" si="15"/>
        <v>-509704.90624999988</v>
      </c>
      <c r="K46" s="83">
        <f t="shared" si="15"/>
        <v>-466435.49687499995</v>
      </c>
      <c r="L46" s="83">
        <f t="shared" si="15"/>
        <v>64413.691875000019</v>
      </c>
      <c r="M46" s="83">
        <f t="shared" si="15"/>
        <v>111087.83696875001</v>
      </c>
      <c r="N46" s="83">
        <f t="shared" si="15"/>
        <v>-280714.12679612823</v>
      </c>
      <c r="O46" s="83">
        <f t="shared" si="15"/>
        <v>-670136.76867282123</v>
      </c>
      <c r="P46" s="83">
        <f t="shared" si="15"/>
        <v>-994909.29776201164</v>
      </c>
      <c r="Q46" s="83">
        <f t="shared" si="15"/>
        <v>-3981282.9973565638</v>
      </c>
      <c r="R46" s="83">
        <f t="shared" si="15"/>
        <v>-2524128.3086769008</v>
      </c>
      <c r="S46" s="83">
        <f t="shared" si="15"/>
        <v>-1708982.7940310999</v>
      </c>
      <c r="T46" s="83">
        <f t="shared" si="15"/>
        <v>1379763.125</v>
      </c>
      <c r="U46" s="83">
        <f t="shared" si="15"/>
        <v>1589798.75</v>
      </c>
      <c r="V46" s="83">
        <f t="shared" si="15"/>
        <v>1828640.5</v>
      </c>
      <c r="W46" s="83">
        <f t="shared" si="15"/>
        <v>2100368.5</v>
      </c>
      <c r="X46" s="83">
        <f t="shared" si="15"/>
        <v>14093495.825477749</v>
      </c>
    </row>
    <row r="47" spans="1:25" s="2" customFormat="1" x14ac:dyDescent="0.3">
      <c r="A47" s="3"/>
      <c r="B47" s="3"/>
      <c r="C47" s="3"/>
      <c r="D47" s="8"/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1</v>
      </c>
      <c r="T47" s="8">
        <v>1</v>
      </c>
      <c r="U47" s="8">
        <v>1</v>
      </c>
      <c r="V47" s="8">
        <v>1</v>
      </c>
      <c r="W47" s="8">
        <v>1</v>
      </c>
      <c r="X47" s="8">
        <v>1</v>
      </c>
    </row>
    <row r="48" spans="1:25" s="2" customFormat="1" x14ac:dyDescent="0.3">
      <c r="A48" s="87" t="s">
        <v>98</v>
      </c>
      <c r="B48" s="3"/>
      <c r="C48" s="3"/>
      <c r="D48" s="21"/>
      <c r="E48" s="7"/>
      <c r="F48" s="30" t="str">
        <f t="shared" ref="F48:X48" si="16">IF(F45&gt;0,F45/F$8,"")</f>
        <v/>
      </c>
      <c r="G48" s="30" t="str">
        <f t="shared" si="16"/>
        <v/>
      </c>
      <c r="H48" s="30" t="str">
        <f t="shared" si="16"/>
        <v/>
      </c>
      <c r="I48" s="30">
        <f t="shared" si="16"/>
        <v>0.21310207058339495</v>
      </c>
      <c r="J48" s="30">
        <f t="shared" si="16"/>
        <v>0.3755478505682332</v>
      </c>
      <c r="K48" s="30">
        <f t="shared" si="16"/>
        <v>0.49649069294758508</v>
      </c>
      <c r="L48" s="30">
        <f t="shared" si="16"/>
        <v>0.52237270591164631</v>
      </c>
      <c r="M48" s="30">
        <f t="shared" si="16"/>
        <v>0.5445541666899516</v>
      </c>
      <c r="N48" s="30">
        <f t="shared" si="16"/>
        <v>0.64031096275212984</v>
      </c>
      <c r="O48" s="30">
        <f t="shared" si="16"/>
        <v>0.65317398419837336</v>
      </c>
      <c r="P48" s="30">
        <f t="shared" si="16"/>
        <v>0.72170131430500362</v>
      </c>
      <c r="Q48" s="30">
        <f t="shared" si="16"/>
        <v>0.77013755640339343</v>
      </c>
      <c r="R48" s="30">
        <f t="shared" ref="R48" si="17">IF(R45&gt;0,R45/R$8,"")</f>
        <v>0.80502666836130166</v>
      </c>
      <c r="S48" s="30" t="str">
        <f t="shared" si="16"/>
        <v/>
      </c>
      <c r="T48" s="30" t="str">
        <f t="shared" si="16"/>
        <v/>
      </c>
      <c r="U48" s="30" t="str">
        <f t="shared" si="16"/>
        <v/>
      </c>
      <c r="V48" s="30" t="str">
        <f t="shared" si="16"/>
        <v/>
      </c>
      <c r="W48" s="30" t="str">
        <f t="shared" si="16"/>
        <v/>
      </c>
      <c r="X48" s="30" t="str">
        <f t="shared" si="16"/>
        <v/>
      </c>
    </row>
    <row r="49" spans="1:21" s="2" customFormat="1" x14ac:dyDescent="0.3">
      <c r="A49" s="87" t="s">
        <v>97</v>
      </c>
      <c r="B49" s="7"/>
      <c r="C49" s="7"/>
      <c r="D49" s="34"/>
      <c r="E49" s="7"/>
      <c r="F49" s="7"/>
      <c r="G49" s="7"/>
      <c r="H49" s="7"/>
      <c r="I49" s="30">
        <f t="shared" ref="I49:J49" si="18">IF(I45&gt;0,I45/I$11,"")</f>
        <v>0.14197641313231985</v>
      </c>
      <c r="J49" s="30">
        <f t="shared" si="18"/>
        <v>0.25797894413052985</v>
      </c>
      <c r="K49" s="30">
        <f>IF(K45&gt;0,K45/K$11,"")</f>
        <v>0.35099885098951789</v>
      </c>
      <c r="L49" s="30">
        <f t="shared" ref="L49:Q49" si="19">IF(L45&gt;0,L45/L$11,"")</f>
        <v>0.37893494875989353</v>
      </c>
      <c r="M49" s="30">
        <f t="shared" si="19"/>
        <v>0.40756327206512566</v>
      </c>
      <c r="N49" s="30">
        <f t="shared" si="19"/>
        <v>0.49364112694980278</v>
      </c>
      <c r="O49" s="30">
        <f t="shared" si="19"/>
        <v>0.51640586902460972</v>
      </c>
      <c r="P49" s="30">
        <f t="shared" si="19"/>
        <v>0.5813126974515711</v>
      </c>
      <c r="Q49" s="30">
        <f t="shared" si="19"/>
        <v>0.62946916630661953</v>
      </c>
      <c r="R49" s="30">
        <f t="shared" ref="R49" si="20">IF(R45&gt;0,R45/R$11,"")</f>
        <v>0.66589707781120966</v>
      </c>
      <c r="S49" s="7"/>
      <c r="T49" s="7"/>
      <c r="U49" s="7"/>
    </row>
  </sheetData>
  <pageMargins left="0.25" right="0.25" top="0.75" bottom="0.75" header="0.3" footer="0.3"/>
  <pageSetup paperSize="8" scale="67" orientation="portrait" verticalDpi="300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B49"/>
  <sheetViews>
    <sheetView zoomScale="85" zoomScaleNormal="85" workbookViewId="0">
      <selection activeCell="B1" sqref="B1"/>
    </sheetView>
  </sheetViews>
  <sheetFormatPr defaultColWidth="8.90625" defaultRowHeight="13.8" x14ac:dyDescent="0.3"/>
  <cols>
    <col min="1" max="1" width="22.90625" style="3" customWidth="1"/>
    <col min="2" max="2" width="10.1796875" style="3" customWidth="1"/>
    <col min="3" max="3" width="9.36328125" style="2" customWidth="1"/>
    <col min="4" max="5" width="7.08984375" style="3" bestFit="1" customWidth="1"/>
    <col min="6" max="6" width="7.6328125" style="3" bestFit="1" customWidth="1"/>
    <col min="7" max="8" width="9.54296875" style="3" customWidth="1"/>
    <col min="9" max="9" width="9" style="3" customWidth="1"/>
    <col min="10" max="10" width="9.1796875" style="3" customWidth="1"/>
    <col min="11" max="11" width="8.81640625" style="3" customWidth="1"/>
    <col min="12" max="12" width="9" style="3" customWidth="1"/>
    <col min="13" max="15" width="7.54296875" style="3" bestFit="1" customWidth="1"/>
    <col min="16" max="21" width="10.1796875" style="3" customWidth="1"/>
    <col min="22" max="16384" width="8.90625" style="3"/>
  </cols>
  <sheetData>
    <row r="1" spans="1:28" x14ac:dyDescent="0.3">
      <c r="A1" s="1" t="s">
        <v>100</v>
      </c>
      <c r="B1" s="3" t="s">
        <v>119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8" x14ac:dyDescent="0.3">
      <c r="A2" s="3" t="s">
        <v>0</v>
      </c>
      <c r="B2" s="4">
        <v>0.05</v>
      </c>
      <c r="D2" s="80" t="s">
        <v>1</v>
      </c>
      <c r="E2" s="80" t="s">
        <v>2</v>
      </c>
      <c r="F2" s="80" t="s">
        <v>3</v>
      </c>
      <c r="G2" s="80" t="s">
        <v>4</v>
      </c>
      <c r="H2" s="80" t="s">
        <v>5</v>
      </c>
      <c r="I2" s="80" t="s">
        <v>6</v>
      </c>
      <c r="J2" s="80" t="s">
        <v>7</v>
      </c>
      <c r="K2" s="80" t="s">
        <v>8</v>
      </c>
      <c r="L2" s="80" t="s">
        <v>9</v>
      </c>
      <c r="M2" s="80" t="s">
        <v>10</v>
      </c>
      <c r="N2" s="80" t="s">
        <v>11</v>
      </c>
      <c r="O2" s="80" t="s">
        <v>12</v>
      </c>
      <c r="P2" s="80" t="s">
        <v>13</v>
      </c>
      <c r="Q2" s="80" t="s">
        <v>14</v>
      </c>
      <c r="R2" s="80" t="s">
        <v>15</v>
      </c>
      <c r="S2" s="80" t="s">
        <v>16</v>
      </c>
      <c r="T2" s="80" t="s">
        <v>17</v>
      </c>
      <c r="U2" s="80" t="s">
        <v>18</v>
      </c>
      <c r="V2" s="80" t="s">
        <v>19</v>
      </c>
      <c r="W2" s="80" t="s">
        <v>20</v>
      </c>
      <c r="X2" s="80" t="s">
        <v>21</v>
      </c>
      <c r="Y2" s="6"/>
      <c r="Z2" s="6"/>
      <c r="AA2" s="6"/>
      <c r="AB2" s="6"/>
    </row>
    <row r="3" spans="1:28" x14ac:dyDescent="0.3">
      <c r="A3" s="3" t="s">
        <v>22</v>
      </c>
      <c r="B3" s="83">
        <f>SUM(D3:W3)</f>
        <v>-49097900.063696407</v>
      </c>
      <c r="D3" s="82">
        <v>0</v>
      </c>
      <c r="E3" s="36">
        <v>-88802.190127199996</v>
      </c>
      <c r="F3" s="36">
        <v>-1336591.1348081999</v>
      </c>
      <c r="G3" s="36">
        <v>-2307569.4916873998</v>
      </c>
      <c r="H3" s="36">
        <v>-17424944.494965501</v>
      </c>
      <c r="I3" s="36">
        <v>-21294136.6944548</v>
      </c>
      <c r="J3" s="36">
        <v>-6425150.5467355</v>
      </c>
      <c r="K3" s="36">
        <v>-220705.51091780001</v>
      </c>
      <c r="L3" s="82">
        <v>0</v>
      </c>
      <c r="M3" s="82">
        <v>0</v>
      </c>
      <c r="N3" s="82">
        <v>0</v>
      </c>
      <c r="O3" s="82">
        <v>0</v>
      </c>
      <c r="P3" s="82">
        <v>0</v>
      </c>
      <c r="Q3" s="82">
        <v>0</v>
      </c>
      <c r="R3" s="82">
        <v>0</v>
      </c>
      <c r="S3" s="82">
        <v>0</v>
      </c>
      <c r="T3" s="82">
        <v>0</v>
      </c>
      <c r="U3" s="82">
        <v>0</v>
      </c>
      <c r="V3" s="82">
        <v>0</v>
      </c>
      <c r="W3" s="82">
        <v>0</v>
      </c>
      <c r="X3" s="82">
        <v>0</v>
      </c>
    </row>
    <row r="4" spans="1:28" x14ac:dyDescent="0.3">
      <c r="A4" s="3" t="s">
        <v>23</v>
      </c>
      <c r="B4" s="82">
        <v>2518855.0224036351</v>
      </c>
    </row>
    <row r="5" spans="1:28" x14ac:dyDescent="0.3">
      <c r="A5" s="3" t="s">
        <v>24</v>
      </c>
      <c r="B5" s="8">
        <v>40</v>
      </c>
    </row>
    <row r="6" spans="1:28" x14ac:dyDescent="0.3">
      <c r="A6" s="9"/>
      <c r="B6" s="9"/>
    </row>
    <row r="7" spans="1:28" x14ac:dyDescent="0.3">
      <c r="A7" s="10" t="s">
        <v>25</v>
      </c>
      <c r="B7" s="10"/>
      <c r="C7" s="11"/>
      <c r="D7" s="80" t="s">
        <v>1</v>
      </c>
      <c r="E7" s="80" t="s">
        <v>2</v>
      </c>
      <c r="F7" s="80" t="s">
        <v>3</v>
      </c>
      <c r="G7" s="80" t="s">
        <v>4</v>
      </c>
      <c r="H7" s="80" t="s">
        <v>5</v>
      </c>
      <c r="I7" s="80" t="s">
        <v>6</v>
      </c>
      <c r="J7" s="80" t="s">
        <v>7</v>
      </c>
      <c r="K7" s="80" t="s">
        <v>8</v>
      </c>
      <c r="L7" s="80" t="s">
        <v>9</v>
      </c>
      <c r="M7" s="80" t="s">
        <v>10</v>
      </c>
      <c r="N7" s="80" t="s">
        <v>11</v>
      </c>
      <c r="O7" s="80" t="s">
        <v>12</v>
      </c>
      <c r="P7" s="80" t="s">
        <v>13</v>
      </c>
      <c r="Q7" s="80" t="s">
        <v>14</v>
      </c>
      <c r="R7" s="80" t="s">
        <v>15</v>
      </c>
      <c r="S7" s="80" t="s">
        <v>16</v>
      </c>
      <c r="T7" s="80" t="s">
        <v>17</v>
      </c>
      <c r="U7" s="80" t="s">
        <v>18</v>
      </c>
      <c r="V7" s="80" t="s">
        <v>19</v>
      </c>
      <c r="W7" s="80" t="s">
        <v>20</v>
      </c>
      <c r="X7" s="80" t="s">
        <v>21</v>
      </c>
    </row>
    <row r="8" spans="1:28" x14ac:dyDescent="0.3">
      <c r="A8" s="3" t="s">
        <v>26</v>
      </c>
      <c r="D8" s="36">
        <v>245018.828125</v>
      </c>
      <c r="E8" s="36">
        <v>411072.796875</v>
      </c>
      <c r="F8" s="36">
        <v>1118177.4609375</v>
      </c>
      <c r="G8" s="36">
        <v>1548177.0390625</v>
      </c>
      <c r="H8" s="36">
        <v>2200122.375</v>
      </c>
      <c r="I8" s="36">
        <v>2671278.65625</v>
      </c>
      <c r="J8" s="36">
        <v>3281503.7421875</v>
      </c>
      <c r="K8" s="36">
        <v>3942717.3359375</v>
      </c>
      <c r="L8" s="36">
        <v>4649019.171875</v>
      </c>
      <c r="M8" s="36">
        <v>5608839.3125</v>
      </c>
      <c r="N8" s="36">
        <v>6725226.8125</v>
      </c>
      <c r="O8" s="36">
        <v>7947597.328125</v>
      </c>
      <c r="P8" s="36">
        <v>9152211.015625</v>
      </c>
      <c r="Q8" s="36">
        <v>10402565.53125</v>
      </c>
      <c r="R8" s="36">
        <v>11665562.609375</v>
      </c>
      <c r="S8" s="36">
        <v>13108532.453125</v>
      </c>
      <c r="T8" s="36">
        <v>14757933.78125</v>
      </c>
      <c r="U8" s="36">
        <v>16591236.8125</v>
      </c>
      <c r="V8" s="36">
        <v>18629255.25</v>
      </c>
      <c r="W8" s="36">
        <v>20899241.3125</v>
      </c>
      <c r="X8" s="36">
        <v>23417410.6875</v>
      </c>
    </row>
    <row r="9" spans="1:28" x14ac:dyDescent="0.3">
      <c r="A9" s="3" t="s">
        <v>27</v>
      </c>
      <c r="D9" s="36">
        <v>290470</v>
      </c>
      <c r="E9" s="36">
        <v>357153</v>
      </c>
      <c r="F9" s="36">
        <v>382835</v>
      </c>
      <c r="G9" s="36">
        <v>410004</v>
      </c>
      <c r="H9" s="36">
        <v>438723</v>
      </c>
      <c r="I9" s="36">
        <v>469059</v>
      </c>
      <c r="J9" s="36">
        <v>501079</v>
      </c>
      <c r="K9" s="36">
        <v>534853</v>
      </c>
      <c r="L9" s="36">
        <v>570453</v>
      </c>
      <c r="M9" s="36">
        <v>607953</v>
      </c>
      <c r="N9" s="36">
        <v>647429</v>
      </c>
      <c r="O9" s="36">
        <v>688957</v>
      </c>
      <c r="P9" s="36">
        <v>732618</v>
      </c>
      <c r="Q9" s="36">
        <v>778493</v>
      </c>
      <c r="R9" s="36">
        <v>826667</v>
      </c>
      <c r="S9" s="36">
        <v>877225</v>
      </c>
      <c r="T9" s="36">
        <v>930256</v>
      </c>
      <c r="U9" s="36">
        <v>985850</v>
      </c>
      <c r="V9" s="36">
        <v>1044099</v>
      </c>
      <c r="W9" s="36">
        <v>1105098</v>
      </c>
      <c r="X9" s="36">
        <v>1168945</v>
      </c>
    </row>
    <row r="10" spans="1:28" x14ac:dyDescent="0.3">
      <c r="A10" s="10" t="s">
        <v>28</v>
      </c>
      <c r="B10" s="10"/>
      <c r="C10" s="13"/>
      <c r="D10" s="54">
        <v>77200.984375</v>
      </c>
      <c r="E10" s="54">
        <v>82829.203125</v>
      </c>
      <c r="F10" s="54">
        <v>88786.6640625</v>
      </c>
      <c r="G10" s="54">
        <v>95087.7109375</v>
      </c>
      <c r="H10" s="54">
        <v>101747.125</v>
      </c>
      <c r="I10" s="54">
        <v>108780.09375</v>
      </c>
      <c r="J10" s="54">
        <v>116202.2578125</v>
      </c>
      <c r="K10" s="54">
        <v>124029.6640625</v>
      </c>
      <c r="L10" s="54">
        <v>132278.828125</v>
      </c>
      <c r="M10" s="54">
        <v>140966.6875</v>
      </c>
      <c r="N10" s="54">
        <v>150110.6875</v>
      </c>
      <c r="O10" s="54">
        <v>159728.671875</v>
      </c>
      <c r="P10" s="54">
        <v>169838.984375</v>
      </c>
      <c r="Q10" s="54">
        <v>180460.46875</v>
      </c>
      <c r="R10" s="54">
        <v>191612.390625</v>
      </c>
      <c r="S10" s="54">
        <v>203314.546875</v>
      </c>
      <c r="T10" s="54">
        <v>215587.21875</v>
      </c>
      <c r="U10" s="54">
        <v>228451.1875</v>
      </c>
      <c r="V10" s="54">
        <v>241927.75</v>
      </c>
      <c r="W10" s="54">
        <v>256038.6875</v>
      </c>
      <c r="X10" s="54">
        <v>270806.3125</v>
      </c>
    </row>
    <row r="11" spans="1:28" x14ac:dyDescent="0.3">
      <c r="A11" s="14" t="s">
        <v>29</v>
      </c>
      <c r="B11" s="14"/>
      <c r="C11" s="15"/>
      <c r="D11" s="83">
        <f>SUM(D8:D10)</f>
        <v>612689.8125</v>
      </c>
      <c r="E11" s="83">
        <f>SUM(E8:E10)</f>
        <v>851055</v>
      </c>
      <c r="F11" s="83">
        <f t="shared" ref="F11:X11" si="0">SUM(F8:F10)</f>
        <v>1589799.125</v>
      </c>
      <c r="G11" s="83">
        <f t="shared" si="0"/>
        <v>2053268.75</v>
      </c>
      <c r="H11" s="83">
        <f t="shared" si="0"/>
        <v>2740592.5</v>
      </c>
      <c r="I11" s="83">
        <f t="shared" si="0"/>
        <v>3249117.75</v>
      </c>
      <c r="J11" s="83">
        <f t="shared" si="0"/>
        <v>3898785</v>
      </c>
      <c r="K11" s="83">
        <f t="shared" si="0"/>
        <v>4601600</v>
      </c>
      <c r="L11" s="83">
        <f t="shared" si="0"/>
        <v>5351751</v>
      </c>
      <c r="M11" s="83">
        <f t="shared" si="0"/>
        <v>6357759</v>
      </c>
      <c r="N11" s="83">
        <f t="shared" si="0"/>
        <v>7522766.5</v>
      </c>
      <c r="O11" s="83">
        <f t="shared" si="0"/>
        <v>8796283</v>
      </c>
      <c r="P11" s="83">
        <f t="shared" si="0"/>
        <v>10054668</v>
      </c>
      <c r="Q11" s="83">
        <f t="shared" si="0"/>
        <v>11361519</v>
      </c>
      <c r="R11" s="83">
        <f t="shared" si="0"/>
        <v>12683842</v>
      </c>
      <c r="S11" s="83">
        <f t="shared" si="0"/>
        <v>14189072</v>
      </c>
      <c r="T11" s="83">
        <f t="shared" si="0"/>
        <v>15903777</v>
      </c>
      <c r="U11" s="83">
        <f t="shared" si="0"/>
        <v>17805538</v>
      </c>
      <c r="V11" s="83">
        <f t="shared" si="0"/>
        <v>19915282</v>
      </c>
      <c r="W11" s="83">
        <f t="shared" si="0"/>
        <v>22260378</v>
      </c>
      <c r="X11" s="83">
        <f t="shared" si="0"/>
        <v>24857162</v>
      </c>
    </row>
    <row r="12" spans="1:28" x14ac:dyDescent="0.3">
      <c r="A12" s="14" t="s">
        <v>30</v>
      </c>
      <c r="B12" s="14"/>
      <c r="C12" s="15"/>
      <c r="D12" s="83">
        <f t="shared" ref="D12:X12" si="1">$B$4</f>
        <v>2518855.0224036351</v>
      </c>
      <c r="E12" s="83">
        <f t="shared" si="1"/>
        <v>2518855.0224036351</v>
      </c>
      <c r="F12" s="83">
        <f t="shared" si="1"/>
        <v>2518855.0224036351</v>
      </c>
      <c r="G12" s="83">
        <f t="shared" si="1"/>
        <v>2518855.0224036351</v>
      </c>
      <c r="H12" s="83">
        <f t="shared" si="1"/>
        <v>2518855.0224036351</v>
      </c>
      <c r="I12" s="83">
        <f t="shared" si="1"/>
        <v>2518855.0224036351</v>
      </c>
      <c r="J12" s="83">
        <f t="shared" si="1"/>
        <v>2518855.0224036351</v>
      </c>
      <c r="K12" s="83">
        <f t="shared" si="1"/>
        <v>2518855.0224036351</v>
      </c>
      <c r="L12" s="83">
        <f t="shared" si="1"/>
        <v>2518855.0224036351</v>
      </c>
      <c r="M12" s="83">
        <f t="shared" si="1"/>
        <v>2518855.0224036351</v>
      </c>
      <c r="N12" s="83">
        <f t="shared" si="1"/>
        <v>2518855.0224036351</v>
      </c>
      <c r="O12" s="83">
        <f t="shared" si="1"/>
        <v>2518855.0224036351</v>
      </c>
      <c r="P12" s="83">
        <f t="shared" si="1"/>
        <v>2518855.0224036351</v>
      </c>
      <c r="Q12" s="83">
        <f t="shared" si="1"/>
        <v>2518855.0224036351</v>
      </c>
      <c r="R12" s="83">
        <f t="shared" si="1"/>
        <v>2518855.0224036351</v>
      </c>
      <c r="S12" s="83">
        <f t="shared" si="1"/>
        <v>2518855.0224036351</v>
      </c>
      <c r="T12" s="83">
        <f t="shared" si="1"/>
        <v>2518855.0224036351</v>
      </c>
      <c r="U12" s="83">
        <f t="shared" si="1"/>
        <v>2518855.0224036351</v>
      </c>
      <c r="V12" s="83">
        <f t="shared" si="1"/>
        <v>2518855.0224036351</v>
      </c>
      <c r="W12" s="83">
        <f t="shared" si="1"/>
        <v>2518855.0224036351</v>
      </c>
      <c r="X12" s="83">
        <f t="shared" si="1"/>
        <v>2518855.0224036351</v>
      </c>
    </row>
    <row r="13" spans="1:28" x14ac:dyDescent="0.3">
      <c r="A13" s="14" t="s">
        <v>31</v>
      </c>
      <c r="B13" s="14"/>
      <c r="C13" s="15"/>
      <c r="D13" s="83">
        <f t="shared" ref="D13:X13" si="2">D11-D12</f>
        <v>-1906165.2099036351</v>
      </c>
      <c r="E13" s="83">
        <f>E11-E12</f>
        <v>-1667800.0224036351</v>
      </c>
      <c r="F13" s="83">
        <f t="shared" si="2"/>
        <v>-929055.89740363508</v>
      </c>
      <c r="G13" s="83">
        <f t="shared" si="2"/>
        <v>-465586.27240363508</v>
      </c>
      <c r="H13" s="83">
        <f t="shared" si="2"/>
        <v>221737.47759636492</v>
      </c>
      <c r="I13" s="83">
        <f t="shared" si="2"/>
        <v>730262.72759636492</v>
      </c>
      <c r="J13" s="83">
        <f t="shared" si="2"/>
        <v>1379929.9775963649</v>
      </c>
      <c r="K13" s="83">
        <f t="shared" si="2"/>
        <v>2082744.9775963649</v>
      </c>
      <c r="L13" s="83">
        <f t="shared" si="2"/>
        <v>2832895.9775963649</v>
      </c>
      <c r="M13" s="83">
        <f t="shared" si="2"/>
        <v>3838903.9775963649</v>
      </c>
      <c r="N13" s="83">
        <f t="shared" si="2"/>
        <v>5003911.4775963649</v>
      </c>
      <c r="O13" s="83">
        <f t="shared" si="2"/>
        <v>6277427.9775963649</v>
      </c>
      <c r="P13" s="83">
        <f t="shared" si="2"/>
        <v>7535812.9775963649</v>
      </c>
      <c r="Q13" s="83">
        <f t="shared" si="2"/>
        <v>8842663.9775963649</v>
      </c>
      <c r="R13" s="83">
        <f t="shared" si="2"/>
        <v>10164986.977596365</v>
      </c>
      <c r="S13" s="83">
        <f t="shared" si="2"/>
        <v>11670216.977596365</v>
      </c>
      <c r="T13" s="83">
        <f t="shared" si="2"/>
        <v>13384921.977596365</v>
      </c>
      <c r="U13" s="83">
        <f t="shared" si="2"/>
        <v>15286682.977596365</v>
      </c>
      <c r="V13" s="83">
        <f t="shared" si="2"/>
        <v>17396426.977596365</v>
      </c>
      <c r="W13" s="83">
        <f t="shared" si="2"/>
        <v>19741522.977596365</v>
      </c>
      <c r="X13" s="83">
        <f t="shared" si="2"/>
        <v>22338306.977596365</v>
      </c>
    </row>
    <row r="14" spans="1:28" x14ac:dyDescent="0.3">
      <c r="A14" s="14"/>
      <c r="B14" s="14"/>
      <c r="C14" s="15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</row>
    <row r="15" spans="1:28" x14ac:dyDescent="0.3">
      <c r="A15" s="18" t="s">
        <v>93</v>
      </c>
      <c r="B15" s="10"/>
      <c r="C15" s="81" t="s">
        <v>94</v>
      </c>
      <c r="D15" s="19">
        <v>2</v>
      </c>
      <c r="E15" s="19">
        <v>3</v>
      </c>
      <c r="F15" s="19">
        <v>4</v>
      </c>
      <c r="G15" s="19">
        <v>5</v>
      </c>
      <c r="H15" s="19">
        <v>6</v>
      </c>
      <c r="I15" s="19">
        <v>7</v>
      </c>
      <c r="J15" s="19">
        <v>8</v>
      </c>
      <c r="K15" s="19">
        <v>9</v>
      </c>
      <c r="L15" s="19">
        <v>10</v>
      </c>
      <c r="M15" s="19">
        <v>11</v>
      </c>
      <c r="N15" s="19">
        <v>12</v>
      </c>
      <c r="O15" s="19">
        <v>13</v>
      </c>
      <c r="P15" s="19">
        <v>14</v>
      </c>
      <c r="Q15" s="19">
        <v>15</v>
      </c>
      <c r="R15" s="19">
        <v>16</v>
      </c>
      <c r="S15" s="19">
        <v>17</v>
      </c>
      <c r="T15" s="19">
        <v>18</v>
      </c>
      <c r="U15" s="19">
        <v>19</v>
      </c>
      <c r="V15" s="19">
        <v>20</v>
      </c>
      <c r="W15" s="19">
        <v>21</v>
      </c>
      <c r="X15" s="19">
        <v>22</v>
      </c>
    </row>
    <row r="16" spans="1:28" x14ac:dyDescent="0.3">
      <c r="A16" s="14" t="s">
        <v>32</v>
      </c>
      <c r="B16" s="14"/>
      <c r="C16" s="20">
        <v>1</v>
      </c>
      <c r="D16" s="21"/>
      <c r="E16" s="36">
        <v>317786.546875</v>
      </c>
      <c r="F16" s="36">
        <v>897954.0859375</v>
      </c>
      <c r="G16" s="36">
        <v>1262109.6640625</v>
      </c>
      <c r="H16" s="36">
        <v>1830195.125</v>
      </c>
      <c r="I16" s="36">
        <v>2246646.65625</v>
      </c>
      <c r="J16" s="36">
        <v>2794861.7421875</v>
      </c>
      <c r="K16" s="36">
        <v>3394395.5859375</v>
      </c>
      <c r="L16" s="36">
        <v>4037851.171875</v>
      </c>
      <c r="M16" s="36">
        <v>4920995.8125</v>
      </c>
      <c r="N16" s="36">
        <v>5953250.8125</v>
      </c>
      <c r="O16" s="36">
        <v>7087218.328125</v>
      </c>
      <c r="P16" s="36">
        <v>8204476.015625</v>
      </c>
      <c r="Q16" s="36">
        <v>9366083.53125</v>
      </c>
      <c r="R16" s="36">
        <v>10541028.609375</v>
      </c>
      <c r="S16" s="36">
        <v>11889327.453125</v>
      </c>
      <c r="T16" s="36">
        <v>13437264.78125</v>
      </c>
      <c r="U16" s="36">
        <v>15163328.8125</v>
      </c>
      <c r="V16" s="36">
        <v>17088379.25</v>
      </c>
      <c r="W16" s="36">
        <v>19239277.3125</v>
      </c>
      <c r="X16" s="36">
        <v>21632096.6875</v>
      </c>
    </row>
    <row r="17" spans="1:24" x14ac:dyDescent="0.3">
      <c r="A17" s="14" t="s">
        <v>32</v>
      </c>
      <c r="B17" s="14"/>
      <c r="C17" s="20">
        <v>2</v>
      </c>
      <c r="D17" s="21"/>
      <c r="E17" s="36">
        <v>250454.109375</v>
      </c>
      <c r="F17" s="36">
        <v>712132.5859375</v>
      </c>
      <c r="G17" s="36">
        <v>1016506.2890625</v>
      </c>
      <c r="H17" s="36">
        <v>1502136</v>
      </c>
      <c r="I17" s="36">
        <v>1862695.40625</v>
      </c>
      <c r="J17" s="36">
        <v>2347158.2421875</v>
      </c>
      <c r="K17" s="36">
        <v>2883951.8359375</v>
      </c>
      <c r="L17" s="36">
        <v>3465108.921875</v>
      </c>
      <c r="M17" s="36">
        <v>4272906.8125</v>
      </c>
      <c r="N17" s="36">
        <v>5223193.3125</v>
      </c>
      <c r="O17" s="36">
        <v>6270830.828125</v>
      </c>
      <c r="P17" s="36">
        <v>7303516.515625</v>
      </c>
      <c r="Q17" s="36">
        <v>8378112.53125</v>
      </c>
      <c r="R17" s="36">
        <v>9465027.609375</v>
      </c>
      <c r="S17" s="36">
        <v>10718217.453125</v>
      </c>
      <c r="T17" s="36">
        <v>12164019.78125</v>
      </c>
      <c r="U17" s="36">
        <v>13782535.8125</v>
      </c>
      <c r="V17" s="36">
        <v>15594027.25</v>
      </c>
      <c r="W17" s="36">
        <v>17625061.3125</v>
      </c>
      <c r="X17" s="36">
        <v>19891868.6875</v>
      </c>
    </row>
    <row r="18" spans="1:24" x14ac:dyDescent="0.3">
      <c r="A18" s="14" t="s">
        <v>32</v>
      </c>
      <c r="B18" s="14"/>
      <c r="C18" s="20">
        <v>3</v>
      </c>
      <c r="D18" s="21"/>
      <c r="E18" s="36">
        <v>204732.359375</v>
      </c>
      <c r="F18" s="36">
        <v>557443.2734375</v>
      </c>
      <c r="G18" s="36">
        <v>808852.5390625</v>
      </c>
      <c r="H18" s="36">
        <v>1217319.625</v>
      </c>
      <c r="I18" s="36">
        <v>1524098.15625</v>
      </c>
      <c r="J18" s="36">
        <v>1943226.9921875</v>
      </c>
      <c r="K18" s="36">
        <v>2415725.5859375</v>
      </c>
      <c r="L18" s="36">
        <v>2933524.421875</v>
      </c>
      <c r="M18" s="36">
        <v>3665645.8125</v>
      </c>
      <c r="N18" s="36">
        <v>4535304.8125</v>
      </c>
      <c r="O18" s="36">
        <v>5498896.828125</v>
      </c>
      <c r="P18" s="36">
        <v>6449159.515625</v>
      </c>
      <c r="Q18" s="36">
        <v>7439568.53125</v>
      </c>
      <c r="R18" s="36">
        <v>8441325.609375</v>
      </c>
      <c r="S18" s="36">
        <v>9600434.453125</v>
      </c>
      <c r="T18" s="36">
        <v>10943320.78125</v>
      </c>
      <c r="U18" s="36">
        <v>12453397.8125</v>
      </c>
      <c r="V18" s="36">
        <v>14150624.25</v>
      </c>
      <c r="W18" s="36">
        <v>16061147.3125</v>
      </c>
      <c r="X18" s="36">
        <v>18200890.6875</v>
      </c>
    </row>
    <row r="19" spans="1:24" x14ac:dyDescent="0.3">
      <c r="A19" s="14" t="s">
        <v>32</v>
      </c>
      <c r="B19" s="14"/>
      <c r="C19" s="20">
        <v>4</v>
      </c>
      <c r="D19" s="21"/>
      <c r="E19" s="36">
        <v>174677.671875</v>
      </c>
      <c r="F19" s="36">
        <v>431164.2734375</v>
      </c>
      <c r="G19" s="36">
        <v>635241.7890625</v>
      </c>
      <c r="H19" s="36">
        <v>974999.5</v>
      </c>
      <c r="I19" s="36">
        <v>1231480.78125</v>
      </c>
      <c r="J19" s="36">
        <v>1587780.7421875</v>
      </c>
      <c r="K19" s="36">
        <v>1995024.0859375</v>
      </c>
      <c r="L19" s="36">
        <v>2448132.671875</v>
      </c>
      <c r="M19" s="36">
        <v>3102170.0625</v>
      </c>
      <c r="N19" s="36">
        <v>3890730.3125</v>
      </c>
      <c r="O19" s="36">
        <v>4771697.828125</v>
      </c>
      <c r="P19" s="36">
        <v>5642061.515625</v>
      </c>
      <c r="Q19" s="36">
        <v>6550481.53125</v>
      </c>
      <c r="R19" s="36">
        <v>7469792.609375</v>
      </c>
      <c r="S19" s="36">
        <v>8537962.453125</v>
      </c>
      <c r="T19" s="36">
        <v>9780281.78125</v>
      </c>
      <c r="U19" s="36">
        <v>11181491.8125</v>
      </c>
      <c r="V19" s="36">
        <v>12763341.25</v>
      </c>
      <c r="W19" s="36">
        <v>14552230.3125</v>
      </c>
      <c r="X19" s="36">
        <v>16564186.6875</v>
      </c>
    </row>
    <row r="20" spans="1:24" x14ac:dyDescent="0.3">
      <c r="A20" s="14" t="s">
        <v>32</v>
      </c>
      <c r="B20" s="14"/>
      <c r="C20" s="20">
        <v>5</v>
      </c>
      <c r="D20" s="21"/>
      <c r="E20" s="36">
        <v>154881.546875</v>
      </c>
      <c r="F20" s="36">
        <v>333267.2734375</v>
      </c>
      <c r="G20" s="36">
        <v>492501.8515625</v>
      </c>
      <c r="H20" s="36">
        <v>770929.375</v>
      </c>
      <c r="I20" s="36">
        <v>983373.28125</v>
      </c>
      <c r="J20" s="36">
        <v>1281224.4921875</v>
      </c>
      <c r="K20" s="36">
        <v>1626217.0859375</v>
      </c>
      <c r="L20" s="36">
        <v>2014818.421875</v>
      </c>
      <c r="M20" s="36">
        <v>2587859.8125</v>
      </c>
      <c r="N20" s="36">
        <v>3292600.5625</v>
      </c>
      <c r="O20" s="36">
        <v>4090535.828125</v>
      </c>
      <c r="P20" s="36">
        <v>4882501.515625</v>
      </c>
      <c r="Q20" s="36">
        <v>5711596.53125</v>
      </c>
      <c r="R20" s="36">
        <v>6550976.609375</v>
      </c>
      <c r="S20" s="36">
        <v>7530717.453125</v>
      </c>
      <c r="T20" s="36">
        <v>8675632.78125</v>
      </c>
      <c r="U20" s="36">
        <v>9971259.8125</v>
      </c>
      <c r="V20" s="36">
        <v>11438319.25</v>
      </c>
      <c r="W20" s="36">
        <v>13104049.3125</v>
      </c>
      <c r="X20" s="36">
        <v>14986723.6875</v>
      </c>
    </row>
    <row r="21" spans="1:24" x14ac:dyDescent="0.3">
      <c r="A21" s="14" t="s">
        <v>32</v>
      </c>
      <c r="B21" s="14"/>
      <c r="C21" s="20">
        <v>6</v>
      </c>
      <c r="D21" s="21"/>
      <c r="E21" s="36">
        <v>141640.921875</v>
      </c>
      <c r="F21" s="36">
        <v>262850.9609375</v>
      </c>
      <c r="G21" s="36">
        <v>379746.5390625</v>
      </c>
      <c r="H21" s="36">
        <v>601570</v>
      </c>
      <c r="I21" s="36">
        <v>774977.28125</v>
      </c>
      <c r="J21" s="36">
        <v>1021599.9921875</v>
      </c>
      <c r="K21" s="36">
        <v>1309309.2109375</v>
      </c>
      <c r="L21" s="36">
        <v>1636829.921875</v>
      </c>
      <c r="M21" s="36">
        <v>2128970.0625</v>
      </c>
      <c r="N21" s="36">
        <v>2746615.0625</v>
      </c>
      <c r="O21" s="36">
        <v>3458877.328125</v>
      </c>
      <c r="P21" s="36">
        <v>4172299.515625</v>
      </c>
      <c r="Q21" s="36">
        <v>4923418.03125</v>
      </c>
      <c r="R21" s="36">
        <v>5685276.609375</v>
      </c>
      <c r="S21" s="36">
        <v>6579571.953125</v>
      </c>
      <c r="T21" s="36">
        <v>7629579.78125</v>
      </c>
      <c r="U21" s="36">
        <v>8822569.8125</v>
      </c>
      <c r="V21" s="36">
        <v>10178445.25</v>
      </c>
      <c r="W21" s="36">
        <v>11723014.3125</v>
      </c>
      <c r="X21" s="36">
        <v>13474894.6875</v>
      </c>
    </row>
    <row r="22" spans="1:24" x14ac:dyDescent="0.3">
      <c r="A22" s="14" t="s">
        <v>32</v>
      </c>
      <c r="B22" s="14"/>
      <c r="C22" s="20">
        <v>7</v>
      </c>
      <c r="D22" s="21"/>
      <c r="E22" s="36">
        <v>132053.359375</v>
      </c>
      <c r="F22" s="36">
        <v>215194.5234375</v>
      </c>
      <c r="G22" s="36">
        <v>297126.4140625</v>
      </c>
      <c r="H22" s="36">
        <v>464201.625</v>
      </c>
      <c r="I22" s="36">
        <v>602701.90625</v>
      </c>
      <c r="J22" s="36">
        <v>803858.3671875</v>
      </c>
      <c r="K22" s="36">
        <v>1041376.5859375</v>
      </c>
      <c r="L22" s="36">
        <v>1313752.546875</v>
      </c>
      <c r="M22" s="36">
        <v>1728838.8125</v>
      </c>
      <c r="N22" s="36">
        <v>2259416.3125</v>
      </c>
      <c r="O22" s="36">
        <v>2882900.828125</v>
      </c>
      <c r="P22" s="36">
        <v>3516001.015625</v>
      </c>
      <c r="Q22" s="36">
        <v>4188679.03125</v>
      </c>
      <c r="R22" s="36">
        <v>4874257.109375</v>
      </c>
      <c r="S22" s="36">
        <v>5684920.953125</v>
      </c>
      <c r="T22" s="36">
        <v>6642900.28125</v>
      </c>
      <c r="U22" s="36">
        <v>7736124.8125</v>
      </c>
      <c r="V22" s="36">
        <v>8983592.25</v>
      </c>
      <c r="W22" s="36">
        <v>10410657.3125</v>
      </c>
      <c r="X22" s="36">
        <v>12034784.6875</v>
      </c>
    </row>
    <row r="23" spans="1:24" x14ac:dyDescent="0.3">
      <c r="A23" s="14"/>
      <c r="B23" s="14"/>
      <c r="C23" s="20"/>
      <c r="D23" s="2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24" x14ac:dyDescent="0.3">
      <c r="A24" s="14"/>
      <c r="B24" s="14"/>
      <c r="C24" s="20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</row>
    <row r="25" spans="1:24" x14ac:dyDescent="0.3">
      <c r="A25" s="22" t="s">
        <v>33</v>
      </c>
      <c r="B25" s="22"/>
      <c r="C25" s="23"/>
    </row>
    <row r="26" spans="1:24" x14ac:dyDescent="0.3">
      <c r="A26" s="10" t="s">
        <v>34</v>
      </c>
      <c r="B26" s="10"/>
      <c r="C26" s="11" t="s">
        <v>35</v>
      </c>
      <c r="D26" s="80" t="s">
        <v>1</v>
      </c>
      <c r="E26" s="80" t="s">
        <v>2</v>
      </c>
      <c r="F26" s="80" t="s">
        <v>3</v>
      </c>
      <c r="G26" s="80" t="s">
        <v>4</v>
      </c>
      <c r="H26" s="80" t="s">
        <v>5</v>
      </c>
      <c r="I26" s="80" t="s">
        <v>6</v>
      </c>
      <c r="J26" s="80" t="s">
        <v>7</v>
      </c>
      <c r="K26" s="80" t="s">
        <v>8</v>
      </c>
      <c r="L26" s="80" t="s">
        <v>9</v>
      </c>
      <c r="M26" s="80" t="s">
        <v>10</v>
      </c>
      <c r="N26" s="80" t="s">
        <v>11</v>
      </c>
      <c r="O26" s="80" t="s">
        <v>12</v>
      </c>
      <c r="P26" s="80" t="s">
        <v>13</v>
      </c>
      <c r="Q26" s="80" t="s">
        <v>14</v>
      </c>
      <c r="R26" s="80" t="s">
        <v>15</v>
      </c>
      <c r="S26" s="80" t="s">
        <v>16</v>
      </c>
      <c r="T26" s="80" t="s">
        <v>17</v>
      </c>
      <c r="U26" s="80" t="s">
        <v>18</v>
      </c>
      <c r="V26" s="80" t="s">
        <v>19</v>
      </c>
      <c r="W26" s="80" t="s">
        <v>20</v>
      </c>
      <c r="X26" s="80" t="s">
        <v>21</v>
      </c>
    </row>
    <row r="27" spans="1:24" x14ac:dyDescent="0.3">
      <c r="A27" s="3" t="s">
        <v>36</v>
      </c>
      <c r="C27" s="83">
        <f t="shared" ref="C27:C32" si="3">NPV($B$2,E27:X27)</f>
        <v>79986627.033513799</v>
      </c>
      <c r="D27" s="83"/>
      <c r="E27" s="83">
        <f t="shared" ref="E27:X27" si="4">IF(E33=1,E8,0)</f>
        <v>0</v>
      </c>
      <c r="F27" s="83">
        <f t="shared" si="4"/>
        <v>0</v>
      </c>
      <c r="G27" s="83">
        <f t="shared" si="4"/>
        <v>0</v>
      </c>
      <c r="H27" s="83">
        <f t="shared" si="4"/>
        <v>0</v>
      </c>
      <c r="I27" s="83">
        <f t="shared" si="4"/>
        <v>0</v>
      </c>
      <c r="J27" s="83">
        <f t="shared" si="4"/>
        <v>0</v>
      </c>
      <c r="K27" s="83">
        <f t="shared" si="4"/>
        <v>3942717.3359375</v>
      </c>
      <c r="L27" s="83">
        <f t="shared" si="4"/>
        <v>4649019.171875</v>
      </c>
      <c r="M27" s="83">
        <f t="shared" si="4"/>
        <v>5608839.3125</v>
      </c>
      <c r="N27" s="83">
        <f t="shared" si="4"/>
        <v>6725226.8125</v>
      </c>
      <c r="O27" s="83">
        <f t="shared" si="4"/>
        <v>7947597.328125</v>
      </c>
      <c r="P27" s="83">
        <f t="shared" si="4"/>
        <v>9152211.015625</v>
      </c>
      <c r="Q27" s="83">
        <f t="shared" si="4"/>
        <v>10402565.53125</v>
      </c>
      <c r="R27" s="83">
        <f t="shared" si="4"/>
        <v>11665562.609375</v>
      </c>
      <c r="S27" s="83">
        <f t="shared" si="4"/>
        <v>13108532.453125</v>
      </c>
      <c r="T27" s="83">
        <f t="shared" si="4"/>
        <v>14757933.78125</v>
      </c>
      <c r="U27" s="83">
        <f t="shared" si="4"/>
        <v>16591236.8125</v>
      </c>
      <c r="V27" s="83">
        <f t="shared" si="4"/>
        <v>18629255.25</v>
      </c>
      <c r="W27" s="83">
        <f t="shared" si="4"/>
        <v>20899241.3125</v>
      </c>
      <c r="X27" s="83">
        <f t="shared" si="4"/>
        <v>23417410.6875</v>
      </c>
    </row>
    <row r="28" spans="1:24" x14ac:dyDescent="0.3">
      <c r="A28" s="3" t="s">
        <v>37</v>
      </c>
      <c r="C28" s="83">
        <f t="shared" si="3"/>
        <v>5786691.6142181167</v>
      </c>
      <c r="D28" s="83"/>
      <c r="E28" s="83">
        <f t="shared" ref="E28:X28" si="5">IF(E27=0,0,E9)</f>
        <v>0</v>
      </c>
      <c r="F28" s="83">
        <f t="shared" si="5"/>
        <v>0</v>
      </c>
      <c r="G28" s="83">
        <f t="shared" si="5"/>
        <v>0</v>
      </c>
      <c r="H28" s="83">
        <f t="shared" si="5"/>
        <v>0</v>
      </c>
      <c r="I28" s="83">
        <f t="shared" si="5"/>
        <v>0</v>
      </c>
      <c r="J28" s="83">
        <f t="shared" si="5"/>
        <v>0</v>
      </c>
      <c r="K28" s="83">
        <f t="shared" si="5"/>
        <v>534853</v>
      </c>
      <c r="L28" s="83">
        <f t="shared" si="5"/>
        <v>570453</v>
      </c>
      <c r="M28" s="83">
        <f t="shared" si="5"/>
        <v>607953</v>
      </c>
      <c r="N28" s="83">
        <f t="shared" si="5"/>
        <v>647429</v>
      </c>
      <c r="O28" s="83">
        <f t="shared" si="5"/>
        <v>688957</v>
      </c>
      <c r="P28" s="83">
        <f t="shared" si="5"/>
        <v>732618</v>
      </c>
      <c r="Q28" s="83">
        <f t="shared" si="5"/>
        <v>778493</v>
      </c>
      <c r="R28" s="83">
        <f t="shared" si="5"/>
        <v>826667</v>
      </c>
      <c r="S28" s="83">
        <f t="shared" si="5"/>
        <v>877225</v>
      </c>
      <c r="T28" s="83">
        <f t="shared" si="5"/>
        <v>930256</v>
      </c>
      <c r="U28" s="83">
        <f t="shared" si="5"/>
        <v>985850</v>
      </c>
      <c r="V28" s="83">
        <f t="shared" si="5"/>
        <v>1044099</v>
      </c>
      <c r="W28" s="83">
        <f t="shared" si="5"/>
        <v>1105098</v>
      </c>
      <c r="X28" s="83">
        <f t="shared" si="5"/>
        <v>1168945</v>
      </c>
    </row>
    <row r="29" spans="1:24" x14ac:dyDescent="0.3">
      <c r="A29" s="3" t="s">
        <v>38</v>
      </c>
      <c r="C29" s="83">
        <f t="shared" si="3"/>
        <v>1341288.9635562848</v>
      </c>
      <c r="D29" s="83"/>
      <c r="E29" s="83">
        <f t="shared" ref="E29:X29" si="6">IF(E27=0,0,E10)</f>
        <v>0</v>
      </c>
      <c r="F29" s="83">
        <f t="shared" si="6"/>
        <v>0</v>
      </c>
      <c r="G29" s="83">
        <f t="shared" si="6"/>
        <v>0</v>
      </c>
      <c r="H29" s="83">
        <f t="shared" si="6"/>
        <v>0</v>
      </c>
      <c r="I29" s="83">
        <f t="shared" si="6"/>
        <v>0</v>
      </c>
      <c r="J29" s="83">
        <f t="shared" si="6"/>
        <v>0</v>
      </c>
      <c r="K29" s="83">
        <f t="shared" si="6"/>
        <v>124029.6640625</v>
      </c>
      <c r="L29" s="83">
        <f t="shared" si="6"/>
        <v>132278.828125</v>
      </c>
      <c r="M29" s="83">
        <f t="shared" si="6"/>
        <v>140966.6875</v>
      </c>
      <c r="N29" s="83">
        <f t="shared" si="6"/>
        <v>150110.6875</v>
      </c>
      <c r="O29" s="83">
        <f t="shared" si="6"/>
        <v>159728.671875</v>
      </c>
      <c r="P29" s="83">
        <f t="shared" si="6"/>
        <v>169838.984375</v>
      </c>
      <c r="Q29" s="83">
        <f t="shared" si="6"/>
        <v>180460.46875</v>
      </c>
      <c r="R29" s="83">
        <f t="shared" si="6"/>
        <v>191612.390625</v>
      </c>
      <c r="S29" s="83">
        <f t="shared" si="6"/>
        <v>203314.546875</v>
      </c>
      <c r="T29" s="83">
        <f t="shared" si="6"/>
        <v>215587.21875</v>
      </c>
      <c r="U29" s="83">
        <f t="shared" si="6"/>
        <v>228451.1875</v>
      </c>
      <c r="V29" s="83">
        <f t="shared" si="6"/>
        <v>241927.75</v>
      </c>
      <c r="W29" s="83">
        <f t="shared" si="6"/>
        <v>256038.6875</v>
      </c>
      <c r="X29" s="83">
        <f t="shared" si="6"/>
        <v>270806.3125</v>
      </c>
    </row>
    <row r="30" spans="1:24" s="2" customFormat="1" x14ac:dyDescent="0.3">
      <c r="A30" s="3" t="s">
        <v>22</v>
      </c>
      <c r="B30" s="3"/>
      <c r="C30" s="83">
        <f t="shared" si="3"/>
        <v>-39261722.163796522</v>
      </c>
      <c r="D30" s="36"/>
      <c r="E30" s="36">
        <v>-88802.190127199996</v>
      </c>
      <c r="F30" s="36">
        <v>-1336591.1348081999</v>
      </c>
      <c r="G30" s="36">
        <v>-2307569.4916873998</v>
      </c>
      <c r="H30" s="36">
        <v>-17424944.494965501</v>
      </c>
      <c r="I30" s="36">
        <v>-21294136.6944548</v>
      </c>
      <c r="J30" s="36">
        <v>-6425150.5467355</v>
      </c>
      <c r="K30" s="36">
        <v>-220705.51091780001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6">
        <v>0</v>
      </c>
      <c r="W30" s="36">
        <v>0</v>
      </c>
      <c r="X30" s="36">
        <v>0</v>
      </c>
    </row>
    <row r="31" spans="1:24" s="2" customFormat="1" x14ac:dyDescent="0.3">
      <c r="A31" s="10" t="s">
        <v>39</v>
      </c>
      <c r="B31" s="10"/>
      <c r="C31" s="86">
        <f t="shared" si="3"/>
        <v>12027913.407351911</v>
      </c>
      <c r="D31" s="54"/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43">
        <f>SUM(D30:X30)*($B$5-SUM(D33:X33))/-$B$5</f>
        <v>31913635.04140266</v>
      </c>
    </row>
    <row r="32" spans="1:24" s="2" customFormat="1" x14ac:dyDescent="0.3">
      <c r="A32" s="3" t="s">
        <v>31</v>
      </c>
      <c r="B32" s="3"/>
      <c r="C32" s="83">
        <f t="shared" si="3"/>
        <v>59880798.854843587</v>
      </c>
      <c r="D32" s="83"/>
      <c r="E32" s="83">
        <f t="shared" ref="E32:T32" si="7">SUM(E27:E31)</f>
        <v>-88802.190127199996</v>
      </c>
      <c r="F32" s="83">
        <f t="shared" si="7"/>
        <v>-1336591.1348081999</v>
      </c>
      <c r="G32" s="83">
        <f t="shared" si="7"/>
        <v>-2307569.4916873998</v>
      </c>
      <c r="H32" s="83">
        <f t="shared" si="7"/>
        <v>-17424944.494965501</v>
      </c>
      <c r="I32" s="83">
        <f t="shared" si="7"/>
        <v>-21294136.6944548</v>
      </c>
      <c r="J32" s="83">
        <f t="shared" si="7"/>
        <v>-6425150.5467355</v>
      </c>
      <c r="K32" s="83">
        <f t="shared" si="7"/>
        <v>4380894.4890822005</v>
      </c>
      <c r="L32" s="83">
        <f t="shared" si="7"/>
        <v>5351751</v>
      </c>
      <c r="M32" s="83">
        <f t="shared" si="7"/>
        <v>6357759</v>
      </c>
      <c r="N32" s="83">
        <f>SUM(N27:N31)</f>
        <v>7522766.5</v>
      </c>
      <c r="O32" s="83">
        <f t="shared" si="7"/>
        <v>8796283</v>
      </c>
      <c r="P32" s="83">
        <f t="shared" si="7"/>
        <v>10054668</v>
      </c>
      <c r="Q32" s="83">
        <f t="shared" si="7"/>
        <v>11361519</v>
      </c>
      <c r="R32" s="83">
        <f t="shared" si="7"/>
        <v>12683842</v>
      </c>
      <c r="S32" s="83">
        <f t="shared" si="7"/>
        <v>14189072</v>
      </c>
      <c r="T32" s="83">
        <f t="shared" si="7"/>
        <v>15903777</v>
      </c>
      <c r="U32" s="83">
        <f>SUM(U27:U31)</f>
        <v>17805538</v>
      </c>
      <c r="V32" s="83">
        <f t="shared" ref="V32:X32" si="8">SUM(V27:V31)</f>
        <v>19915282</v>
      </c>
      <c r="W32" s="83">
        <f t="shared" si="8"/>
        <v>22260378</v>
      </c>
      <c r="X32" s="83">
        <f t="shared" si="8"/>
        <v>56770797.04140266</v>
      </c>
    </row>
    <row r="33" spans="1:24" s="2" customFormat="1" x14ac:dyDescent="0.3">
      <c r="A33" s="3"/>
      <c r="B33" s="3"/>
      <c r="C33" s="17"/>
      <c r="D33" s="88"/>
      <c r="E33" s="88">
        <v>0</v>
      </c>
      <c r="F33" s="88">
        <v>0</v>
      </c>
      <c r="G33" s="88">
        <v>0</v>
      </c>
      <c r="H33" s="88">
        <v>0</v>
      </c>
      <c r="I33" s="88">
        <v>0</v>
      </c>
      <c r="J33" s="88">
        <v>0</v>
      </c>
      <c r="K33" s="88">
        <v>1</v>
      </c>
      <c r="L33" s="88">
        <v>1</v>
      </c>
      <c r="M33" s="88">
        <v>1</v>
      </c>
      <c r="N33" s="88">
        <v>1</v>
      </c>
      <c r="O33" s="88">
        <v>1</v>
      </c>
      <c r="P33" s="88">
        <v>1</v>
      </c>
      <c r="Q33" s="88">
        <v>1</v>
      </c>
      <c r="R33" s="88">
        <v>1</v>
      </c>
      <c r="S33" s="88">
        <v>1</v>
      </c>
      <c r="T33" s="88">
        <v>1</v>
      </c>
      <c r="U33" s="88">
        <v>1</v>
      </c>
      <c r="V33" s="88">
        <v>1</v>
      </c>
      <c r="W33" s="88">
        <v>1</v>
      </c>
      <c r="X33" s="88">
        <v>1</v>
      </c>
    </row>
    <row r="34" spans="1:24" x14ac:dyDescent="0.3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</row>
    <row r="35" spans="1:24" x14ac:dyDescent="0.3">
      <c r="A35" s="22" t="s">
        <v>95</v>
      </c>
      <c r="B35" s="2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</row>
    <row r="36" spans="1:24" x14ac:dyDescent="0.3">
      <c r="A36" s="3" t="s">
        <v>96</v>
      </c>
      <c r="C36" s="3"/>
      <c r="D36" s="85"/>
      <c r="E36" s="85"/>
      <c r="F36" s="85"/>
      <c r="G36" s="85">
        <v>2</v>
      </c>
      <c r="H36" s="85">
        <v>3</v>
      </c>
      <c r="I36" s="85">
        <v>4</v>
      </c>
      <c r="J36" s="85">
        <v>6</v>
      </c>
      <c r="K36" s="85">
        <v>6</v>
      </c>
      <c r="L36" s="85">
        <v>7</v>
      </c>
      <c r="M36" s="85">
        <v>7</v>
      </c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</row>
    <row r="37" spans="1:24" x14ac:dyDescent="0.3">
      <c r="A37" s="10" t="s">
        <v>34</v>
      </c>
      <c r="B37" s="27" t="s">
        <v>40</v>
      </c>
      <c r="C37" s="11" t="s">
        <v>35</v>
      </c>
      <c r="D37" s="80" t="s">
        <v>1</v>
      </c>
      <c r="E37" s="80" t="s">
        <v>2</v>
      </c>
      <c r="F37" s="80" t="s">
        <v>3</v>
      </c>
      <c r="G37" s="80" t="s">
        <v>4</v>
      </c>
      <c r="H37" s="80" t="s">
        <v>5</v>
      </c>
      <c r="I37" s="80" t="s">
        <v>6</v>
      </c>
      <c r="J37" s="80" t="s">
        <v>7</v>
      </c>
      <c r="K37" s="80" t="s">
        <v>8</v>
      </c>
      <c r="L37" s="80" t="s">
        <v>9</v>
      </c>
      <c r="M37" s="80" t="s">
        <v>10</v>
      </c>
      <c r="N37" s="80" t="s">
        <v>11</v>
      </c>
      <c r="O37" s="80" t="s">
        <v>12</v>
      </c>
      <c r="P37" s="80" t="s">
        <v>13</v>
      </c>
      <c r="Q37" s="80" t="s">
        <v>14</v>
      </c>
      <c r="R37" s="80" t="s">
        <v>15</v>
      </c>
      <c r="S37" s="80" t="s">
        <v>16</v>
      </c>
      <c r="T37" s="80" t="s">
        <v>17</v>
      </c>
      <c r="U37" s="80" t="s">
        <v>18</v>
      </c>
      <c r="V37" s="80" t="s">
        <v>19</v>
      </c>
      <c r="W37" s="80" t="s">
        <v>20</v>
      </c>
      <c r="X37" s="80" t="s">
        <v>21</v>
      </c>
    </row>
    <row r="38" spans="1:24" x14ac:dyDescent="0.3">
      <c r="A38" s="3" t="s">
        <v>36</v>
      </c>
      <c r="B38" s="83">
        <f>C38-C27</f>
        <v>-9564162.6014525592</v>
      </c>
      <c r="C38" s="83">
        <f t="shared" ref="C38:C46" si="9">NPV($B$2,E38:X38)</f>
        <v>70422464.43206124</v>
      </c>
      <c r="D38" s="24"/>
      <c r="E38" s="24">
        <f t="shared" ref="E38:X38" si="10">IF(E$47=0,0,E8)</f>
        <v>0</v>
      </c>
      <c r="F38" s="24">
        <f t="shared" si="10"/>
        <v>0</v>
      </c>
      <c r="G38" s="24">
        <f t="shared" si="10"/>
        <v>0</v>
      </c>
      <c r="H38" s="24">
        <f t="shared" si="10"/>
        <v>0</v>
      </c>
      <c r="I38" s="24">
        <f t="shared" si="10"/>
        <v>0</v>
      </c>
      <c r="J38" s="24">
        <f t="shared" si="10"/>
        <v>0</v>
      </c>
      <c r="K38" s="24">
        <f t="shared" si="10"/>
        <v>0</v>
      </c>
      <c r="L38" s="24">
        <f t="shared" si="10"/>
        <v>0</v>
      </c>
      <c r="M38" s="24">
        <f t="shared" si="10"/>
        <v>0</v>
      </c>
      <c r="N38" s="24">
        <f t="shared" si="10"/>
        <v>6725226.8125</v>
      </c>
      <c r="O38" s="24">
        <f t="shared" si="10"/>
        <v>7947597.328125</v>
      </c>
      <c r="P38" s="24">
        <f t="shared" si="10"/>
        <v>9152211.015625</v>
      </c>
      <c r="Q38" s="24">
        <f t="shared" si="10"/>
        <v>10402565.53125</v>
      </c>
      <c r="R38" s="24">
        <f t="shared" si="10"/>
        <v>11665562.609375</v>
      </c>
      <c r="S38" s="24">
        <f t="shared" si="10"/>
        <v>13108532.453125</v>
      </c>
      <c r="T38" s="24">
        <f t="shared" si="10"/>
        <v>14757933.78125</v>
      </c>
      <c r="U38" s="24">
        <f t="shared" si="10"/>
        <v>16591236.8125</v>
      </c>
      <c r="V38" s="24">
        <f t="shared" si="10"/>
        <v>18629255.25</v>
      </c>
      <c r="W38" s="24">
        <f t="shared" si="10"/>
        <v>20899241.3125</v>
      </c>
      <c r="X38" s="24">
        <f t="shared" si="10"/>
        <v>23417410.6875</v>
      </c>
    </row>
    <row r="39" spans="1:24" x14ac:dyDescent="0.3">
      <c r="A39" s="3" t="s">
        <v>37</v>
      </c>
      <c r="B39" s="83">
        <f>C39-C28</f>
        <v>-1158107.0104927951</v>
      </c>
      <c r="C39" s="83">
        <f t="shared" si="9"/>
        <v>4628584.6037253216</v>
      </c>
      <c r="D39" s="24"/>
      <c r="E39" s="24">
        <f t="shared" ref="E39:X39" si="11">IF(E$47=0,0,E9)</f>
        <v>0</v>
      </c>
      <c r="F39" s="24">
        <f t="shared" si="11"/>
        <v>0</v>
      </c>
      <c r="G39" s="24">
        <f t="shared" si="11"/>
        <v>0</v>
      </c>
      <c r="H39" s="24">
        <f t="shared" si="11"/>
        <v>0</v>
      </c>
      <c r="I39" s="24">
        <f t="shared" si="11"/>
        <v>0</v>
      </c>
      <c r="J39" s="24">
        <f t="shared" si="11"/>
        <v>0</v>
      </c>
      <c r="K39" s="24">
        <f t="shared" si="11"/>
        <v>0</v>
      </c>
      <c r="L39" s="24">
        <f t="shared" si="11"/>
        <v>0</v>
      </c>
      <c r="M39" s="24">
        <f t="shared" si="11"/>
        <v>0</v>
      </c>
      <c r="N39" s="24">
        <f t="shared" si="11"/>
        <v>647429</v>
      </c>
      <c r="O39" s="24">
        <f t="shared" si="11"/>
        <v>688957</v>
      </c>
      <c r="P39" s="24">
        <f t="shared" si="11"/>
        <v>732618</v>
      </c>
      <c r="Q39" s="24">
        <f t="shared" si="11"/>
        <v>778493</v>
      </c>
      <c r="R39" s="24">
        <f t="shared" si="11"/>
        <v>826667</v>
      </c>
      <c r="S39" s="24">
        <f t="shared" si="11"/>
        <v>877225</v>
      </c>
      <c r="T39" s="24">
        <f t="shared" si="11"/>
        <v>930256</v>
      </c>
      <c r="U39" s="24">
        <f t="shared" si="11"/>
        <v>985850</v>
      </c>
      <c r="V39" s="24">
        <f t="shared" si="11"/>
        <v>1044099</v>
      </c>
      <c r="W39" s="24">
        <f t="shared" si="11"/>
        <v>1105098</v>
      </c>
      <c r="X39" s="24">
        <f t="shared" si="11"/>
        <v>1168945</v>
      </c>
    </row>
    <row r="40" spans="1:24" x14ac:dyDescent="0.3">
      <c r="A40" s="3" t="s">
        <v>38</v>
      </c>
      <c r="B40" s="83">
        <f>C40-C29</f>
        <v>-268545.46792174503</v>
      </c>
      <c r="C40" s="83">
        <f t="shared" si="9"/>
        <v>1072743.4956345398</v>
      </c>
      <c r="D40" s="24"/>
      <c r="E40" s="24">
        <f t="shared" ref="E40:X40" si="12">IF(E$47=0,0,E10)</f>
        <v>0</v>
      </c>
      <c r="F40" s="24">
        <f t="shared" si="12"/>
        <v>0</v>
      </c>
      <c r="G40" s="24">
        <f t="shared" si="12"/>
        <v>0</v>
      </c>
      <c r="H40" s="24">
        <f t="shared" si="12"/>
        <v>0</v>
      </c>
      <c r="I40" s="24">
        <f t="shared" si="12"/>
        <v>0</v>
      </c>
      <c r="J40" s="24">
        <f t="shared" si="12"/>
        <v>0</v>
      </c>
      <c r="K40" s="24">
        <f t="shared" si="12"/>
        <v>0</v>
      </c>
      <c r="L40" s="24">
        <f t="shared" si="12"/>
        <v>0</v>
      </c>
      <c r="M40" s="24">
        <f t="shared" si="12"/>
        <v>0</v>
      </c>
      <c r="N40" s="24">
        <f t="shared" si="12"/>
        <v>150110.6875</v>
      </c>
      <c r="O40" s="24">
        <f t="shared" si="12"/>
        <v>159728.671875</v>
      </c>
      <c r="P40" s="24">
        <f t="shared" si="12"/>
        <v>169838.984375</v>
      </c>
      <c r="Q40" s="24">
        <f t="shared" si="12"/>
        <v>180460.46875</v>
      </c>
      <c r="R40" s="24">
        <f t="shared" si="12"/>
        <v>191612.390625</v>
      </c>
      <c r="S40" s="24">
        <f t="shared" si="12"/>
        <v>203314.546875</v>
      </c>
      <c r="T40" s="24">
        <f t="shared" si="12"/>
        <v>215587.21875</v>
      </c>
      <c r="U40" s="24">
        <f t="shared" si="12"/>
        <v>228451.1875</v>
      </c>
      <c r="V40" s="24">
        <f t="shared" si="12"/>
        <v>241927.75</v>
      </c>
      <c r="W40" s="24">
        <f t="shared" si="12"/>
        <v>256038.6875</v>
      </c>
      <c r="X40" s="24">
        <f t="shared" si="12"/>
        <v>270806.3125</v>
      </c>
    </row>
    <row r="41" spans="1:24" s="2" customFormat="1" x14ac:dyDescent="0.3">
      <c r="A41" s="3" t="s">
        <v>22</v>
      </c>
      <c r="B41" s="83">
        <f>C41-C30</f>
        <v>5345970.3756125122</v>
      </c>
      <c r="C41" s="83">
        <f t="shared" si="9"/>
        <v>-33915751.788184009</v>
      </c>
      <c r="D41" s="36"/>
      <c r="E41" s="36">
        <v>0</v>
      </c>
      <c r="F41" s="36">
        <v>0</v>
      </c>
      <c r="G41" s="36">
        <v>0</v>
      </c>
      <c r="H41" s="36">
        <v>-88802.190127199996</v>
      </c>
      <c r="I41" s="36">
        <v>-1336591.1348081999</v>
      </c>
      <c r="J41" s="36">
        <v>-2307569.4916873998</v>
      </c>
      <c r="K41" s="36">
        <v>-17424944.494965501</v>
      </c>
      <c r="L41" s="36">
        <v>-21294136.6944548</v>
      </c>
      <c r="M41" s="36">
        <v>-6425150.5467355</v>
      </c>
      <c r="N41" s="36">
        <v>-220705.51091780001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</row>
    <row r="42" spans="1:24" s="2" customFormat="1" x14ac:dyDescent="0.3">
      <c r="A42" s="3" t="s">
        <v>39</v>
      </c>
      <c r="B42" s="83">
        <f>C42-C31</f>
        <v>1387836.1623867638</v>
      </c>
      <c r="C42" s="83">
        <f t="shared" si="9"/>
        <v>13415749.569738675</v>
      </c>
      <c r="D42" s="36"/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36">
        <v>0</v>
      </c>
      <c r="W42" s="36">
        <v>0</v>
      </c>
      <c r="X42" s="24">
        <f>SUM(D41:X41)*($B$5-SUM(D47:X47))/-$B$5</f>
        <v>35595977.546179898</v>
      </c>
    </row>
    <row r="43" spans="1:24" s="2" customFormat="1" x14ac:dyDescent="0.3">
      <c r="A43" s="3" t="s">
        <v>43</v>
      </c>
      <c r="B43" s="83">
        <f>C43</f>
        <v>4655140.4475328689</v>
      </c>
      <c r="C43" s="83">
        <f t="shared" si="9"/>
        <v>4655140.4475328689</v>
      </c>
      <c r="D43" s="36"/>
      <c r="E43" s="36">
        <v>0</v>
      </c>
      <c r="F43" s="36">
        <v>0</v>
      </c>
      <c r="G43" s="36">
        <v>0</v>
      </c>
      <c r="H43" s="24">
        <f>-H41*Assumptions!E6</f>
        <v>8538.6721276153839</v>
      </c>
      <c r="I43" s="24">
        <f>-I41*Assumptions!F6</f>
        <v>143940.58374857539</v>
      </c>
      <c r="J43" s="24">
        <f>-J41*Assumptions!G6</f>
        <v>275133.28554734384</v>
      </c>
      <c r="K43" s="24">
        <f>-K41*Assumptions!H6</f>
        <v>2278646.5878031813</v>
      </c>
      <c r="L43" s="24">
        <f>-L41*Assumptions!I6</f>
        <v>3030319.4526724145</v>
      </c>
      <c r="M43" s="24">
        <f>-M41*Assumptions!J6</f>
        <v>988484.69949776947</v>
      </c>
      <c r="N43" s="24">
        <f>-N41*Assumptions!K6</f>
        <v>36501.296036405402</v>
      </c>
      <c r="O43" s="24">
        <f t="shared" ref="O43:Q43" si="13">-O41*O$35</f>
        <v>0</v>
      </c>
      <c r="P43" s="24">
        <f t="shared" si="13"/>
        <v>0</v>
      </c>
      <c r="Q43" s="24">
        <f t="shared" si="13"/>
        <v>0</v>
      </c>
      <c r="R43" s="24">
        <f t="shared" ref="R43:X43" si="14">-R41*R$34</f>
        <v>0</v>
      </c>
      <c r="S43" s="24">
        <f t="shared" si="14"/>
        <v>0</v>
      </c>
      <c r="T43" s="24">
        <f t="shared" si="14"/>
        <v>0</v>
      </c>
      <c r="U43" s="24">
        <f t="shared" si="14"/>
        <v>0</v>
      </c>
      <c r="V43" s="24">
        <f t="shared" si="14"/>
        <v>0</v>
      </c>
      <c r="W43" s="24">
        <f t="shared" si="14"/>
        <v>0</v>
      </c>
      <c r="X43" s="24">
        <f t="shared" si="14"/>
        <v>0</v>
      </c>
    </row>
    <row r="44" spans="1:24" s="2" customFormat="1" x14ac:dyDescent="0.3">
      <c r="A44" s="3" t="s">
        <v>41</v>
      </c>
      <c r="B44" s="83">
        <f>C44</f>
        <v>-3857400.0423609405</v>
      </c>
      <c r="C44" s="83">
        <f t="shared" si="9"/>
        <v>-3857400.0423609405</v>
      </c>
      <c r="D44" s="36"/>
      <c r="E44" s="36">
        <v>0</v>
      </c>
      <c r="F44" s="36">
        <v>0</v>
      </c>
      <c r="G44" s="83">
        <f>-Assumptions!D14*(G36-F36)*1000*Assumptions!$C9-Assumptions!D15*G36*1000*Assumptions!$C10</f>
        <v>-1292000</v>
      </c>
      <c r="H44" s="83">
        <f>-Assumptions!E14*(H36-G36)*1000*Assumptions!$C9-Assumptions!E15*H36*1000*Assumptions!$C10</f>
        <v>-685900</v>
      </c>
      <c r="I44" s="83">
        <f>-Assumptions!F14*(I36-H36)*1000*Assumptions!$C9-Assumptions!F15*I36*1000*Assumptions!$C10</f>
        <v>-685900</v>
      </c>
      <c r="J44" s="83">
        <f>-Assumptions!G14*(J36-I36)*1000*Assumptions!$C9-Assumptions!G15*J36*1000*Assumptions!$C10</f>
        <v>-1238049.4999999998</v>
      </c>
      <c r="K44" s="83">
        <f>-Assumptions!H14*(K36-J36)*1000*Assumptions!$C9-Assumptions!H15*K36*1000*Assumptions!$C10</f>
        <v>-185707.42499999999</v>
      </c>
      <c r="L44" s="83">
        <f>-Assumptions!I14*(L36-K36)*1000*Assumptions!$C9-Assumptions!I15*L36*1000*Assumptions!$C10</f>
        <v>-676284.53937499982</v>
      </c>
      <c r="M44" s="83">
        <f>-Assumptions!J14*(M36-L36)*1000*Assumptions!$C9-Assumptions!J15*M36*1000*Assumptions!$C10</f>
        <v>-195534.44290624998</v>
      </c>
      <c r="N44" s="36">
        <v>0</v>
      </c>
      <c r="O44" s="36">
        <v>0</v>
      </c>
      <c r="P44" s="36">
        <v>0</v>
      </c>
      <c r="Q44" s="36">
        <v>0</v>
      </c>
      <c r="R44" s="36">
        <v>0</v>
      </c>
      <c r="S44" s="36">
        <v>0</v>
      </c>
      <c r="T44" s="36">
        <v>0</v>
      </c>
      <c r="U44" s="36">
        <v>0</v>
      </c>
      <c r="V44" s="36">
        <v>0</v>
      </c>
      <c r="W44" s="36">
        <v>0</v>
      </c>
      <c r="X44" s="36">
        <v>0</v>
      </c>
    </row>
    <row r="45" spans="1:24" s="2" customFormat="1" x14ac:dyDescent="0.3">
      <c r="A45" s="10" t="s">
        <v>42</v>
      </c>
      <c r="B45" s="86">
        <f>C45</f>
        <v>10712362.362142283</v>
      </c>
      <c r="C45" s="86">
        <f t="shared" si="9"/>
        <v>10712362.362142283</v>
      </c>
      <c r="D45" s="43"/>
      <c r="E45" s="43">
        <f t="shared" ref="E45:X45" si="15">IF(E36&gt;0,E$8-VLOOKUP(E36,$C$16:$X$22,E$15,FALSE),0)</f>
        <v>0</v>
      </c>
      <c r="F45" s="43">
        <f t="shared" si="15"/>
        <v>0</v>
      </c>
      <c r="G45" s="43">
        <f t="shared" si="15"/>
        <v>531670.75</v>
      </c>
      <c r="H45" s="43">
        <f t="shared" si="15"/>
        <v>982802.75</v>
      </c>
      <c r="I45" s="43">
        <f t="shared" si="15"/>
        <v>1439797.875</v>
      </c>
      <c r="J45" s="43">
        <f t="shared" si="15"/>
        <v>2259903.75</v>
      </c>
      <c r="K45" s="43">
        <f t="shared" si="15"/>
        <v>2633408.125</v>
      </c>
      <c r="L45" s="43">
        <f t="shared" si="15"/>
        <v>3335266.625</v>
      </c>
      <c r="M45" s="43">
        <f t="shared" si="15"/>
        <v>3880000.5</v>
      </c>
      <c r="N45" s="43">
        <f t="shared" si="15"/>
        <v>0</v>
      </c>
      <c r="O45" s="43">
        <f t="shared" si="15"/>
        <v>0</v>
      </c>
      <c r="P45" s="43">
        <f t="shared" si="15"/>
        <v>0</v>
      </c>
      <c r="Q45" s="43">
        <f t="shared" si="15"/>
        <v>0</v>
      </c>
      <c r="R45" s="43">
        <f t="shared" si="15"/>
        <v>0</v>
      </c>
      <c r="S45" s="43">
        <f t="shared" si="15"/>
        <v>0</v>
      </c>
      <c r="T45" s="43">
        <f t="shared" si="15"/>
        <v>0</v>
      </c>
      <c r="U45" s="43">
        <f t="shared" si="15"/>
        <v>0</v>
      </c>
      <c r="V45" s="43">
        <f t="shared" si="15"/>
        <v>0</v>
      </c>
      <c r="W45" s="43">
        <f t="shared" si="15"/>
        <v>0</v>
      </c>
      <c r="X45" s="43">
        <f t="shared" si="15"/>
        <v>0</v>
      </c>
    </row>
    <row r="46" spans="1:24" s="2" customFormat="1" x14ac:dyDescent="0.3">
      <c r="A46" s="3"/>
      <c r="B46" s="83"/>
      <c r="C46" s="83">
        <f t="shared" si="9"/>
        <v>67133893.08028999</v>
      </c>
      <c r="D46" s="24"/>
      <c r="E46" s="83">
        <f t="shared" ref="E46:U46" si="16">SUM(E38:E45)</f>
        <v>0</v>
      </c>
      <c r="F46" s="83">
        <f t="shared" si="16"/>
        <v>0</v>
      </c>
      <c r="G46" s="83">
        <f t="shared" si="16"/>
        <v>-760329.25</v>
      </c>
      <c r="H46" s="83">
        <f t="shared" si="16"/>
        <v>216639.23200041545</v>
      </c>
      <c r="I46" s="83">
        <f t="shared" si="16"/>
        <v>-438752.67605962465</v>
      </c>
      <c r="J46" s="83">
        <f t="shared" si="16"/>
        <v>-1010581.9561400558</v>
      </c>
      <c r="K46" s="83">
        <f t="shared" si="16"/>
        <v>-12698597.207162321</v>
      </c>
      <c r="L46" s="83">
        <f t="shared" si="16"/>
        <v>-15604835.156157386</v>
      </c>
      <c r="M46" s="83">
        <f t="shared" si="16"/>
        <v>-1752199.7901439806</v>
      </c>
      <c r="N46" s="83">
        <f t="shared" si="16"/>
        <v>7338562.2851186059</v>
      </c>
      <c r="O46" s="83">
        <f t="shared" si="16"/>
        <v>8796283</v>
      </c>
      <c r="P46" s="83">
        <f t="shared" si="16"/>
        <v>10054668</v>
      </c>
      <c r="Q46" s="83">
        <f t="shared" si="16"/>
        <v>11361519</v>
      </c>
      <c r="R46" s="83">
        <f t="shared" si="16"/>
        <v>12683842</v>
      </c>
      <c r="S46" s="83">
        <f t="shared" si="16"/>
        <v>14189072</v>
      </c>
      <c r="T46" s="83">
        <f t="shared" si="16"/>
        <v>15903777</v>
      </c>
      <c r="U46" s="83">
        <f t="shared" si="16"/>
        <v>17805538</v>
      </c>
      <c r="V46" s="83">
        <f t="shared" ref="V46:X46" si="17">SUM(V38:V45)</f>
        <v>19915282</v>
      </c>
      <c r="W46" s="83">
        <f t="shared" si="17"/>
        <v>22260378</v>
      </c>
      <c r="X46" s="83">
        <f t="shared" si="17"/>
        <v>60453139.546179898</v>
      </c>
    </row>
    <row r="47" spans="1:24" x14ac:dyDescent="0.3">
      <c r="C47" s="3"/>
      <c r="D47" s="8"/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1</v>
      </c>
      <c r="O47" s="8">
        <v>1</v>
      </c>
      <c r="P47" s="8">
        <v>1</v>
      </c>
      <c r="Q47" s="8">
        <v>1</v>
      </c>
      <c r="R47" s="8">
        <v>1</v>
      </c>
      <c r="S47" s="8">
        <v>1</v>
      </c>
      <c r="T47" s="8">
        <v>1</v>
      </c>
      <c r="U47" s="8">
        <v>1</v>
      </c>
      <c r="V47" s="8">
        <v>1</v>
      </c>
      <c r="W47" s="8">
        <v>1</v>
      </c>
      <c r="X47" s="8">
        <v>1</v>
      </c>
    </row>
    <row r="48" spans="1:24" x14ac:dyDescent="0.3">
      <c r="A48" s="87" t="s">
        <v>98</v>
      </c>
      <c r="C48" s="3"/>
      <c r="D48" s="21"/>
      <c r="E48" s="30" t="str">
        <f>IF(E45&gt;0,E45/E$8,"")</f>
        <v/>
      </c>
      <c r="F48" s="30" t="str">
        <f t="shared" ref="F48:X48" si="18">IF(F45&gt;0,F45/F$8,"")</f>
        <v/>
      </c>
      <c r="G48" s="30">
        <f t="shared" si="18"/>
        <v>0.3434172814770291</v>
      </c>
      <c r="H48" s="30">
        <f t="shared" si="18"/>
        <v>0.44670367483536</v>
      </c>
      <c r="I48" s="30">
        <f t="shared" si="18"/>
        <v>0.53899201853438239</v>
      </c>
      <c r="J48" s="30">
        <f t="shared" si="18"/>
        <v>0.68867931520124182</v>
      </c>
      <c r="K48" s="30">
        <f t="shared" si="18"/>
        <v>0.66791704822375453</v>
      </c>
      <c r="L48" s="30">
        <f t="shared" si="18"/>
        <v>0.71741296426077128</v>
      </c>
      <c r="M48" s="30">
        <f t="shared" si="18"/>
        <v>0.6917653161061208</v>
      </c>
      <c r="N48" s="30" t="str">
        <f t="shared" si="18"/>
        <v/>
      </c>
      <c r="O48" s="30" t="str">
        <f t="shared" si="18"/>
        <v/>
      </c>
      <c r="P48" s="30" t="str">
        <f t="shared" si="18"/>
        <v/>
      </c>
      <c r="Q48" s="30" t="str">
        <f t="shared" si="18"/>
        <v/>
      </c>
      <c r="R48" s="30" t="str">
        <f t="shared" si="18"/>
        <v/>
      </c>
      <c r="S48" s="30" t="str">
        <f t="shared" si="18"/>
        <v/>
      </c>
      <c r="T48" s="30" t="str">
        <f t="shared" si="18"/>
        <v/>
      </c>
      <c r="U48" s="30" t="str">
        <f t="shared" si="18"/>
        <v/>
      </c>
      <c r="V48" s="30" t="str">
        <f t="shared" si="18"/>
        <v/>
      </c>
      <c r="W48" s="30" t="str">
        <f t="shared" si="18"/>
        <v/>
      </c>
      <c r="X48" s="30" t="str">
        <f t="shared" si="18"/>
        <v/>
      </c>
    </row>
    <row r="49" spans="1:13" x14ac:dyDescent="0.3">
      <c r="A49" s="87" t="s">
        <v>97</v>
      </c>
      <c r="C49" s="3"/>
      <c r="D49" s="34"/>
      <c r="G49" s="30">
        <f>IF(G45&gt;0,G45/G$11,"")</f>
        <v>0.25893870444382888</v>
      </c>
      <c r="H49" s="30">
        <f t="shared" ref="H49:M49" si="19">IF(H45&gt;0,H45/H$11,"")</f>
        <v>0.35860958898486367</v>
      </c>
      <c r="I49" s="30">
        <f t="shared" si="19"/>
        <v>0.4431350248848322</v>
      </c>
      <c r="J49" s="30">
        <f t="shared" si="19"/>
        <v>0.57964308111373164</v>
      </c>
      <c r="K49" s="30">
        <f t="shared" si="19"/>
        <v>0.57228097292246172</v>
      </c>
      <c r="L49" s="30">
        <f t="shared" si="19"/>
        <v>0.62321035208850339</v>
      </c>
      <c r="M49" s="30">
        <f t="shared" si="19"/>
        <v>0.61027800833595613</v>
      </c>
    </row>
  </sheetData>
  <pageMargins left="0.25" right="0.25" top="0.75" bottom="0.75" header="0.3" footer="0.3"/>
  <pageSetup paperSize="8" scale="67" orientation="portrait" verticalDpi="300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</vt:lpstr>
      <vt:lpstr>Tables for Chapter</vt:lpstr>
      <vt:lpstr>Summary</vt:lpstr>
      <vt:lpstr>HV</vt:lpstr>
      <vt:lpstr>Assumptions</vt:lpstr>
      <vt:lpstr>Concord SWG</vt:lpstr>
      <vt:lpstr>Leightonfield SWG</vt:lpstr>
      <vt:lpstr>Lidcombe SWG</vt:lpstr>
      <vt:lpstr>Mascot SWG</vt:lpstr>
      <vt:lpstr>St.Ives SWG</vt:lpstr>
      <vt:lpstr>9S6 9S9 Hay-Pyr</vt:lpstr>
    </vt:vector>
  </TitlesOfParts>
  <Company>Ausgrid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t51527</dc:creator>
  <cp:lastModifiedBy>Stefanie Strauss</cp:lastModifiedBy>
  <dcterms:created xsi:type="dcterms:W3CDTF">2018-03-05T01:00:00Z</dcterms:created>
  <dcterms:modified xsi:type="dcterms:W3CDTF">2018-04-23T01:00:20Z</dcterms:modified>
</cp:coreProperties>
</file>