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2" documentId="13_ncr:1_{7438C6DA-1D2A-4D74-A896-922AAF08F724}" xr6:coauthVersionLast="47" xr6:coauthVersionMax="47" xr10:uidLastSave="{144D3380-F016-4CA1-99D1-EB186D2D94E8}"/>
  <bookViews>
    <workbookView xWindow="25890" yWindow="-16380" windowWidth="29040" windowHeight="15840" tabRatio="691" xr2:uid="{00000000-000D-0000-FFFF-FFFF00000000}"/>
  </bookViews>
  <sheets>
    <sheet name="Cover page" sheetId="15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  <sheet name="Excluded Capex Workings" sheetId="14" r:id="rId8"/>
  </sheets>
  <externalReferences>
    <externalReference r:id="rId9"/>
    <externalReference r:id="rId10"/>
    <externalReference r:id="rId11"/>
  </externalReferences>
  <definedNames>
    <definedName name="CIQWBGuid" hidden="1">"Base Case - PTRM capex inputs FY20-24 v1.xlsx"</definedName>
    <definedName name="CRCP_final_year" localSheetId="0">'[2]AER ETL'!$C$49</definedName>
    <definedName name="CRCP_final_year">'[3]AER ETL'!$C$49</definedName>
    <definedName name="CRCP_y1" localSheetId="0">'[2]AER lookups'!$G$41</definedName>
    <definedName name="CRCP_y1">'[3]AER lookups'!$G$41</definedName>
    <definedName name="CRCP_y10" localSheetId="0">'[2]AER lookups'!$G$50</definedName>
    <definedName name="CRCP_y10">'[3]AER lookups'!$G$50</definedName>
    <definedName name="CRCP_y11" localSheetId="0">'[2]AER lookups'!$G$51</definedName>
    <definedName name="CRCP_y11">'[3]AER lookups'!$G$51</definedName>
    <definedName name="CRCP_y12" localSheetId="0">'[2]AER lookups'!$G$52</definedName>
    <definedName name="CRCP_y12">'[3]AER lookups'!$G$52</definedName>
    <definedName name="CRCP_y13" localSheetId="0">'[2]AER lookups'!$G$53</definedName>
    <definedName name="CRCP_y13">'[3]AER lookups'!$G$53</definedName>
    <definedName name="CRCP_y14" localSheetId="0">'[2]AER lookups'!$G$54</definedName>
    <definedName name="CRCP_y14">'[3]AER lookups'!$G$54</definedName>
    <definedName name="CRCP_y15" localSheetId="0">'[2]AER lookups'!$G$55</definedName>
    <definedName name="CRCP_y15">'[3]AER lookups'!$G$55</definedName>
    <definedName name="CRCP_y2" localSheetId="0">'[2]AER lookups'!$G$42</definedName>
    <definedName name="CRCP_y2">'[3]AER lookups'!$G$42</definedName>
    <definedName name="CRCP_y3" localSheetId="0">'[2]AER lookups'!$G$43</definedName>
    <definedName name="CRCP_y3">'[3]AER lookups'!$G$43</definedName>
    <definedName name="CRCP_y4" localSheetId="0">'[2]AER lookups'!$G$44</definedName>
    <definedName name="CRCP_y4">'[3]AER lookups'!$G$44</definedName>
    <definedName name="CRCP_y5" localSheetId="0">'[2]AER lookups'!$G$45</definedName>
    <definedName name="CRCP_y5">'[3]AER lookups'!$G$45</definedName>
    <definedName name="CRCP_y6" localSheetId="0">'[2]AER lookups'!$G$46</definedName>
    <definedName name="CRCP_y6">'[3]AER lookups'!$G$46</definedName>
    <definedName name="CRCP_y7" localSheetId="0">'[2]AER lookups'!$G$47</definedName>
    <definedName name="CRCP_y7">'[3]AER lookups'!$G$47</definedName>
    <definedName name="CRCP_y8" localSheetId="0">'[2]AER lookups'!$G$48</definedName>
    <definedName name="CRCP_y8">'[3]AER lookups'!$G$48</definedName>
    <definedName name="CRCP_y9" localSheetId="0">'[2]AER lookups'!$G$49</definedName>
    <definedName name="CRCP_y9">'[3]AER lookups'!$G$49</definedName>
    <definedName name="CRY" localSheetId="0">'[2]Business &amp; other details'!$AL$54</definedName>
    <definedName name="CRY">'[3]Business &amp; other details'!$AL$54</definedName>
    <definedName name="dms_060301_checkvalue" localSheetId="0">'[2]AER ETL'!$C$92</definedName>
    <definedName name="dms_060301_checkvalue">'[3]AER ETL'!$C$92</definedName>
    <definedName name="dms_060301_LastRow" localSheetId="0">'[2]AER ETL'!$C$94</definedName>
    <definedName name="dms_060301_LastRow">'[3]AER ETL'!$C$94</definedName>
    <definedName name="dms_060701_ARR_MaxRows" localSheetId="0">'[2]AER ETL'!$C$102</definedName>
    <definedName name="dms_060701_ARR_MaxRows">'[3]AER ETL'!$C$102</definedName>
    <definedName name="dms_060701_Reset_MaxRows" localSheetId="0">'[2]AER ETL'!$C$101</definedName>
    <definedName name="dms_060701_Reset_MaxRows">'[3]AER ETL'!$C$101</definedName>
    <definedName name="dms_060701_StartDateTxt" localSheetId="0">'[2]AER ETL'!$C$108</definedName>
    <definedName name="dms_060701_StartDateTxt">'[3]AER ETL'!$C$108</definedName>
    <definedName name="dms_0608_LastRow" localSheetId="0">'[2]AER ETL'!$C$115</definedName>
    <definedName name="dms_0608_LastRow">'[3]AER ETL'!$C$115</definedName>
    <definedName name="dms_0608_OffsetRows" localSheetId="0">'[2]AER ETL'!$C$114</definedName>
    <definedName name="dms_0608_OffsetRows">'[3]AER ETL'!$C$114</definedName>
    <definedName name="dms_663_List" localSheetId="0">'[2]AER lookups'!$N$10:$N$18</definedName>
    <definedName name="dms_663_List">'[3]AER lookups'!$N$10:$N$18</definedName>
    <definedName name="dms_ABN_List" localSheetId="0">'[2]AER lookups'!$D$10:$D$18</definedName>
    <definedName name="dms_ABN_List">'[3]AER lookups'!$D$10:$D$18</definedName>
    <definedName name="dms_Addr1_List" localSheetId="0">'[2]AER lookups'!$O$10:$O$18</definedName>
    <definedName name="dms_Addr1_List">'[3]AER lookups'!$O$10:$O$18</definedName>
    <definedName name="dms_Addr2_List" localSheetId="0">'[2]AER lookups'!$P$10:$P$18</definedName>
    <definedName name="dms_Addr2_List">'[3]AER lookups'!$P$10:$P$18</definedName>
    <definedName name="dms_Amendment_Text" localSheetId="0">'[2]Business &amp; other details'!$AL$70</definedName>
    <definedName name="dms_Amendment_Text">'[3]Business &amp; other details'!$AL$70</definedName>
    <definedName name="dms_Cal_Year_B4_CRY" localSheetId="0">'[2]AER ETL'!$C$31</definedName>
    <definedName name="dms_Cal_Year_B4_CRY">'[3]AER ETL'!$C$31</definedName>
    <definedName name="dms_CBD_flag" localSheetId="0">'[2]AER lookups'!$Y$10:$Y$18</definedName>
    <definedName name="dms_CBD_flag">'[3]AER lookups'!$Y$10:$Y$18</definedName>
    <definedName name="dms_CF_8.1_Neg" localSheetId="0">'[2]AER CF'!$U$7:$U$35</definedName>
    <definedName name="dms_CF_8.1_Neg">'[3]AER CF'!$U$7:$U$35</definedName>
    <definedName name="dms_CF_TradingName" localSheetId="0">'[2]AER CF'!$B$7:$B$35</definedName>
    <definedName name="dms_CF_TradingName">'[3]AER CF'!$B$7:$B$35</definedName>
    <definedName name="dms_Confid_status_List" localSheetId="0">'[2]AER NRs'!$D$6:$D$8</definedName>
    <definedName name="dms_Confid_status_List">'[3]AER NRs'!$D$6:$D$8</definedName>
    <definedName name="dms_CRCP_start_row" localSheetId="0">'[2]AER ETL'!$C$42</definedName>
    <definedName name="dms_CRCP_start_row">'[3]AER ETL'!$C$42</definedName>
    <definedName name="dms_CRCPlength_List" localSheetId="0">'[2]AER lookups'!$K$10:$K$18</definedName>
    <definedName name="dms_CRCPlength_List">'[3]AER lookups'!$K$10:$K$18</definedName>
    <definedName name="dms_CRCPlength_Num" localSheetId="0">'[2]AER ETL'!$C$71</definedName>
    <definedName name="dms_CRCPlength_Num">'[3]AER ETL'!$C$71</definedName>
    <definedName name="dms_CRY_RYE" localSheetId="0">'[2]AER ETL'!$C$55</definedName>
    <definedName name="dms_CRY_RYE">'[3]AER ETL'!$C$55</definedName>
    <definedName name="dms_CRY_start_row" localSheetId="0">'[2]AER ETL'!$C$40</definedName>
    <definedName name="dms_CRY_start_row">'[3]AER ETL'!$C$40</definedName>
    <definedName name="dms_CRY_start_year" localSheetId="0">'[2]AER ETL'!$C$39</definedName>
    <definedName name="dms_CRY_start_year">'[3]AER ETL'!$C$39</definedName>
    <definedName name="dms_DataQuality_List" localSheetId="0">'[2]AER NRs'!$C$6:$C$9</definedName>
    <definedName name="dms_DataQuality_List">'[3]AER NRs'!$C$6:$C$9</definedName>
    <definedName name="dms_dollar_nom_UOM" localSheetId="0">'[2]AER ETL'!$C$26</definedName>
    <definedName name="dms_dollar_nom_UOM">'[3]AER ETL'!$C$26</definedName>
    <definedName name="dms_DollarReal" localSheetId="0">'[2]AER ETL'!$C$33</definedName>
    <definedName name="dms_DollarReal">'[3]AER ETL'!$C$33</definedName>
    <definedName name="dms_DollarReal_Prev" localSheetId="0">'[2]AER ETL'!$C$34</definedName>
    <definedName name="dms_DollarReal_Prev">'[3]AER ETL'!$C$34</definedName>
    <definedName name="dms_DollarReal_year" localSheetId="0">'[2]AER ETL'!$C$53</definedName>
    <definedName name="dms_DollarReal_year">'[3]AER ETL'!$C$53</definedName>
    <definedName name="dms_FeederName_1" localSheetId="0">'[2]AER lookups'!$AD$10:$AD$18</definedName>
    <definedName name="dms_FeederName_1">'[3]AER lookups'!$AD$10:$AD$18</definedName>
    <definedName name="dms_FeederName_2" localSheetId="0">'[2]AER lookups'!$AE$10:$AE$18</definedName>
    <definedName name="dms_FeederName_2">'[3]AER lookups'!$AE$10:$AE$18</definedName>
    <definedName name="dms_FeederName_3" localSheetId="0">'[2]AER lookups'!$AF$10:$AF$18</definedName>
    <definedName name="dms_FeederName_3">'[3]AER lookups'!$AF$10:$AF$18</definedName>
    <definedName name="dms_FeederName_4" localSheetId="0">'[2]AER lookups'!$AG$10:$AG$18</definedName>
    <definedName name="dms_FeederName_4">'[3]AER lookups'!$AG$10:$AG$18</definedName>
    <definedName name="dms_FeederName_5" localSheetId="0">'[2]AER lookups'!$AH$10:$AH$18</definedName>
    <definedName name="dms_FeederName_5">'[3]AER lookups'!$AH$10:$AH$18</definedName>
    <definedName name="dms_FeederType_5_flag" localSheetId="0">'[2]AER lookups'!$AC$10:$AC$18</definedName>
    <definedName name="dms_FeederType_5_flag">'[3]AER lookups'!$AC$10:$AC$18</definedName>
    <definedName name="dms_FifthFeeder_flag_NSP" localSheetId="0">'[2]AER ETL'!$C$127</definedName>
    <definedName name="dms_FifthFeeder_flag_NSP">'[3]AER ETL'!$C$127</definedName>
    <definedName name="dms_FormControl_List" localSheetId="0">'[2]AER lookups'!$H$10:$H$18</definedName>
    <definedName name="dms_FormControl_List">'[3]AER lookups'!$H$10:$H$18</definedName>
    <definedName name="dms_FRCP_start_row" localSheetId="0">'[2]AER ETL'!$C$41</definedName>
    <definedName name="dms_FRCP_start_row">'[3]AER ETL'!$C$41</definedName>
    <definedName name="dms_FRCPlength_List" localSheetId="0">'[2]AER lookups'!$L$10:$L$18</definedName>
    <definedName name="dms_FRCPlength_List">'[3]AER lookups'!$L$10:$L$18</definedName>
    <definedName name="dms_FRCPlength_Num" localSheetId="0">'[2]AER ETL'!$C$72</definedName>
    <definedName name="dms_FRCPlength_Num">'[3]AER ETL'!$C$72</definedName>
    <definedName name="dms_Header_Span" localSheetId="0">'[2]AER ETL'!$C$62</definedName>
    <definedName name="dms_Header_Span">'[3]AER ETL'!$C$62</definedName>
    <definedName name="dms_JurisdictionList" localSheetId="0">'[2]AER lookups'!$E$10:$E$18</definedName>
    <definedName name="dms_JurisdictionList">'[3]AER lookups'!$E$10:$E$18</definedName>
    <definedName name="dms_LeapYear_Result" localSheetId="0">'[2]AER ETL'!$C$100</definedName>
    <definedName name="dms_LeapYear_Result">'[3]AER ETL'!$C$100</definedName>
    <definedName name="dms_LongRural_flag" localSheetId="0">'[2]AER lookups'!$AB$10:$AB$18</definedName>
    <definedName name="dms_LongRural_flag">'[3]AER lookups'!$AB$10:$AB$18</definedName>
    <definedName name="dms_MAIFI_Flag" localSheetId="0">'[2]AER ETL'!$C$110</definedName>
    <definedName name="dms_MAIFI_Flag">'[3]AER ETL'!$C$110</definedName>
    <definedName name="dms_Model" localSheetId="0">'[2]AER ETL'!$C$13</definedName>
    <definedName name="dms_Model">'[3]AER ETL'!$C$13</definedName>
    <definedName name="dms_Model_List" localSheetId="0">'[2]AER lookups'!$B$25:$B$36</definedName>
    <definedName name="dms_Model_List">'[3]AER lookups'!$B$25:$B$36</definedName>
    <definedName name="dms_Model_Span" localSheetId="0">'[2]AER ETL'!$C$58</definedName>
    <definedName name="dms_Model_Span">'[3]AER ETL'!$C$58</definedName>
    <definedName name="dms_Model_Span_List" localSheetId="0">'[2]AER lookups'!$E$25:$E$36</definedName>
    <definedName name="dms_Model_Span_List">'[3]AER lookups'!$E$25:$E$36</definedName>
    <definedName name="dms_MultiYear_Flag" localSheetId="0">'[2]AER ETL'!$C$65</definedName>
    <definedName name="dms_MultiYear_Flag">'[3]AER ETL'!$C$65</definedName>
    <definedName name="dms_MultiYear_ResponseFlag" localSheetId="0">'[2]AER ETL'!$C$64</definedName>
    <definedName name="dms_MultiYear_ResponseFlag">'[3]AER ETL'!$C$64</definedName>
    <definedName name="dms_PAddr1_List" localSheetId="0">'[2]AER lookups'!$T$10:$T$18</definedName>
    <definedName name="dms_PAddr1_List">'[3]AER lookups'!$T$10:$T$18</definedName>
    <definedName name="dms_PAddr2_List" localSheetId="0">'[2]AER lookups'!$U$10:$U$18</definedName>
    <definedName name="dms_PAddr2_List">'[3]AER lookups'!$U$10:$U$18</definedName>
    <definedName name="dms_PRCP_start_row" localSheetId="0">'[2]AER ETL'!$C$43</definedName>
    <definedName name="dms_PRCP_start_row">'[3]AER ETL'!$C$43</definedName>
    <definedName name="dms_PRCPlength_List" localSheetId="0">'[2]AER lookups'!$M$10:$M$18</definedName>
    <definedName name="dms_PRCPlength_List">'[3]AER lookups'!$M$10:$M$18</definedName>
    <definedName name="dms_PRCPlength_Num" localSheetId="0">'[2]AER ETL'!$C$70</definedName>
    <definedName name="dms_PRCPlength_Num">'[3]AER ETL'!$C$70</definedName>
    <definedName name="dms_Previous_DollarReal_year" localSheetId="0">'[2]AER ETL'!$C$54</definedName>
    <definedName name="dms_Previous_DollarReal_year">'[3]AER ETL'!$C$54</definedName>
    <definedName name="dms_PState_List" localSheetId="0">'[2]AER lookups'!$W$10:$W$18</definedName>
    <definedName name="dms_PState_List">'[3]AER lookups'!$W$10:$W$18</definedName>
    <definedName name="dms_PSuburb_List" localSheetId="0">'[2]AER lookups'!$V$10:$V$18</definedName>
    <definedName name="dms_PSuburb_List">'[3]AER lookups'!$V$10:$V$18</definedName>
    <definedName name="dms_Public_Lighting_List" localSheetId="0">'[2]AER lookups'!$AJ$10:$AJ$18</definedName>
    <definedName name="dms_Public_Lighting_List">'[3]AER lookups'!$AJ$10:$AJ$18</definedName>
    <definedName name="dms_Reset_final_year" localSheetId="0">'[2]AER ETL'!$C$51</definedName>
    <definedName name="dms_Reset_final_year">'[3]AER ETL'!$C$51</definedName>
    <definedName name="dms_Reset_RYE" localSheetId="0">'[2]AER ETL'!$C$56</definedName>
    <definedName name="dms_Reset_RYE">'[3]AER ETL'!$C$56</definedName>
    <definedName name="dms_RPT" localSheetId="0">'[2]AER ETL'!$C$25</definedName>
    <definedName name="dms_RPT">'[3]AER ETL'!$C$25</definedName>
    <definedName name="dms_RPT_List" localSheetId="0">'[2]AER lookups'!$I$10:$I$18</definedName>
    <definedName name="dms_RPT_List">'[3]AER lookups'!$I$10:$I$18</definedName>
    <definedName name="dms_RPTMonth" localSheetId="0">'[2]AER ETL'!$C$32</definedName>
    <definedName name="dms_RPTMonth">'[3]AER ETL'!$C$32</definedName>
    <definedName name="dms_RPTMonth_List" localSheetId="0">'[2]AER lookups'!$J$10:$J$18</definedName>
    <definedName name="dms_RPTMonth_List">'[3]AER lookups'!$J$10:$J$18</definedName>
    <definedName name="dms_RYE_result" localSheetId="0">'[2]AER ETL'!$C$59</definedName>
    <definedName name="dms_RYE_result">'[3]AER ETL'!$C$59</definedName>
    <definedName name="dms_RYE_start_row" localSheetId="0">'[2]AER ETL'!$C$44</definedName>
    <definedName name="dms_RYE_start_row">'[3]AER ETL'!$C$44</definedName>
    <definedName name="dms_Sector" localSheetId="0">'[2]AER ETL'!$C$22</definedName>
    <definedName name="dms_Sector">'[3]AER ETL'!$C$22</definedName>
    <definedName name="dms_Sector_List" localSheetId="0">'[2]AER lookups'!$F$10:$F$18</definedName>
    <definedName name="dms_Sector_List">'[3]AER lookups'!$F$10:$F$18</definedName>
    <definedName name="dms_Segment" localSheetId="0">'[2]AER ETL'!$C$23</definedName>
    <definedName name="dms_Segment">'[3]AER ETL'!$C$23</definedName>
    <definedName name="dms_Segment_List" localSheetId="0">'[2]AER lookups'!$G$10:$G$18</definedName>
    <definedName name="dms_Segment_List">'[3]AER lookups'!$G$10:$G$18</definedName>
    <definedName name="dms_ShortRural_flag" localSheetId="0">'[2]AER lookups'!$AA$10:$AA$18</definedName>
    <definedName name="dms_ShortRural_flag">'[3]AER lookups'!$AA$10:$AA$18</definedName>
    <definedName name="dms_SingleYear_Model" localSheetId="0">'[2]AER ETL'!$C$74:$C$76</definedName>
    <definedName name="dms_SingleYear_Model">'[3]AER ETL'!$C$74:$C$76</definedName>
    <definedName name="dms_SingleYearModel" localSheetId="0">'[2]AER ETL'!$C$77</definedName>
    <definedName name="dms_SingleYearModel">'[3]AER ETL'!$C$77</definedName>
    <definedName name="dms_SourceList" localSheetId="0">'[2]AER NRs'!$C$14:$C$29</definedName>
    <definedName name="dms_SourceList">'[3]AER NRs'!$C$14:$C$29</definedName>
    <definedName name="dms_Specified_FinalYear" localSheetId="0">'[2]AER ETL'!$C$66</definedName>
    <definedName name="dms_Specified_FinalYear">'[3]AER ETL'!$C$66</definedName>
    <definedName name="dms_Specified_RYE" localSheetId="0">'[2]AER ETL'!$C$57</definedName>
    <definedName name="dms_Specified_RYE">'[3]AER ETL'!$C$57</definedName>
    <definedName name="dms_SpecifiedYear_Span" localSheetId="0">'[2]AER ETL'!$C$61</definedName>
    <definedName name="dms_SpecifiedYear_Span">'[3]AER ETL'!$C$61</definedName>
    <definedName name="dms_start_year" localSheetId="0">'[2]AER ETL'!$C$38</definedName>
    <definedName name="dms_start_year">'[3]AER ETL'!$C$38</definedName>
    <definedName name="dms_State_List" localSheetId="0">'[2]AER lookups'!$R$10:$R$18</definedName>
    <definedName name="dms_State_List">'[3]AER lookups'!$R$10:$R$18</definedName>
    <definedName name="dms_Suburb_List" localSheetId="0">'[2]AER lookups'!$Q$10:$Q$18</definedName>
    <definedName name="dms_Suburb_List">'[3]AER lookups'!$Q$10:$Q$18</definedName>
    <definedName name="dms_TradingName" localSheetId="0">'[2]Business &amp; other details'!$AL$16</definedName>
    <definedName name="dms_TradingName">'[3]Business &amp; other details'!$AL$16</definedName>
    <definedName name="dms_TradingName_List" localSheetId="0">'[2]AER lookups'!$B$10:$B$18</definedName>
    <definedName name="dms_TradingName_List">'[3]AER lookups'!$B$10:$B$18</definedName>
    <definedName name="dms_TradingNameFull" localSheetId="0">'[2]AER ETL'!$C$11</definedName>
    <definedName name="dms_TradingNameFull">'[3]AER ETL'!$C$11</definedName>
    <definedName name="dms_TradingNameFull_List" localSheetId="0">'[2]AER lookups'!$C$10:$C$18</definedName>
    <definedName name="dms_TradingNameFull_List">'[3]AER lookups'!$C$10:$C$18</definedName>
    <definedName name="dms_Typed_Submission_Date" localSheetId="0">'[2]Business &amp; other details'!$AL$74</definedName>
    <definedName name="dms_Typed_Submission_Date">'[3]Business &amp; other details'!$AL$74</definedName>
    <definedName name="dms_Urban_flag" localSheetId="0">'[2]AER lookups'!$Z$10:$Z$18</definedName>
    <definedName name="dms_Urban_flag">'[3]AER lookups'!$Z$10:$Z$18</definedName>
    <definedName name="dms_Worksheet_List" localSheetId="0">'[2]AER lookups'!$D$25:$D$36</definedName>
    <definedName name="dms_Worksheet_List">'[3]AER lookups'!$D$25:$D$36</definedName>
    <definedName name="dms_y1" localSheetId="0">'[2]AER lookups'!$E$76</definedName>
    <definedName name="dms_y1">'[3]AER lookups'!$E$76</definedName>
    <definedName name="dms_y2" localSheetId="0">'[2]AER lookups'!$E$77</definedName>
    <definedName name="dms_y2">'[3]AER lookups'!$E$77</definedName>
    <definedName name="dms_y3" localSheetId="0">'[2]AER lookups'!$E$78</definedName>
    <definedName name="dms_y3">'[3]AER lookups'!$E$78</definedName>
    <definedName name="dms_y4" localSheetId="0">'[2]AER lookups'!$E$79</definedName>
    <definedName name="dms_y4">'[3]AER lookups'!$E$79</definedName>
    <definedName name="dms_y5" localSheetId="0">'[2]AER lookups'!$E$80</definedName>
    <definedName name="dms_y5">'[3]AER lookups'!$E$80</definedName>
    <definedName name="dms_y6" localSheetId="0">'[2]AER lookups'!$E$81</definedName>
    <definedName name="dms_y6">'[3]AER lookups'!$E$81</definedName>
    <definedName name="dms_y7" localSheetId="0">'[2]AER lookups'!$E$82</definedName>
    <definedName name="dms_y7">'[3]AER lookups'!$E$82</definedName>
    <definedName name="dms_y8" localSheetId="0">'[2]AER lookups'!$E$83</definedName>
    <definedName name="dms_y8">'[3]AER lookups'!$E$83</definedName>
    <definedName name="dollars" localSheetId="7">#REF!</definedName>
    <definedName name="dollars">#REF!</definedName>
    <definedName name="factor" localSheetId="7">#REF!</definedName>
    <definedName name="factor">#REF!</definedName>
    <definedName name="FRCP_final_year" localSheetId="0">'[2]AER ETL'!$C$48</definedName>
    <definedName name="FRCP_final_year">'[3]AER ETL'!$C$48</definedName>
    <definedName name="FRCP_y1" localSheetId="0">'[2]Business &amp; other details'!$AL$42</definedName>
    <definedName name="FRCP_y1">'[3]Business &amp; other details'!$AL$42</definedName>
    <definedName name="FRCP_y10" localSheetId="0">'[2]AER lookups'!$I$50</definedName>
    <definedName name="FRCP_y10">'[3]AER lookups'!$I$50</definedName>
    <definedName name="FRCP_y11" localSheetId="0">'[2]AER lookups'!$I$51</definedName>
    <definedName name="FRCP_y11">'[3]AER lookups'!$I$51</definedName>
    <definedName name="FRCP_y12" localSheetId="0">'[2]AER lookups'!$I$52</definedName>
    <definedName name="FRCP_y12">'[3]AER lookups'!$I$52</definedName>
    <definedName name="FRCP_y13" localSheetId="0">'[2]AER lookups'!$I$53</definedName>
    <definedName name="FRCP_y13">'[3]AER lookups'!$I$53</definedName>
    <definedName name="FRCP_y14" localSheetId="0">'[2]AER lookups'!$I$54</definedName>
    <definedName name="FRCP_y14">'[3]AER lookups'!$I$54</definedName>
    <definedName name="FRCP_y15" localSheetId="0">'[2]AER lookups'!$I$55</definedName>
    <definedName name="FRCP_y15">'[3]AER lookups'!$I$55</definedName>
    <definedName name="FRCP_y2" localSheetId="0">'[2]AER lookups'!$I$42</definedName>
    <definedName name="FRCP_y2">'[3]AER lookups'!$I$42</definedName>
    <definedName name="FRCP_y3" localSheetId="0">'[2]AER lookups'!$I$43</definedName>
    <definedName name="FRCP_y3">'[3]AER lookups'!$I$43</definedName>
    <definedName name="FRCP_y4" localSheetId="0">'[2]AER lookups'!$I$44</definedName>
    <definedName name="FRCP_y4">'[3]AER lookups'!$I$44</definedName>
    <definedName name="FRCP_y5" localSheetId="0">'[2]AER lookups'!$I$45</definedName>
    <definedName name="FRCP_y5">'[3]AER lookups'!$I$45</definedName>
    <definedName name="FRCP_y6" localSheetId="0">'[2]AER lookups'!$I$46</definedName>
    <definedName name="FRCP_y6">'[3]AER lookups'!$I$46</definedName>
    <definedName name="FRCP_y7" localSheetId="0">'[2]AER lookups'!$I$47</definedName>
    <definedName name="FRCP_y7">'[3]AER lookups'!$I$47</definedName>
    <definedName name="FRCP_y8" localSheetId="0">'[2]AER lookups'!$I$48</definedName>
    <definedName name="FRCP_y8">'[3]AER lookups'!$I$48</definedName>
    <definedName name="FRCP_y9" localSheetId="0">'[2]AER lookups'!$I$49</definedName>
    <definedName name="FRCP_y9">'[3]AER lookups'!$I$49</definedName>
    <definedName name="FRY" localSheetId="0">'[2]Business &amp; other details'!$AL$56</definedName>
    <definedName name="FRY">'[3]Business &amp; other details'!$AL$56</definedName>
    <definedName name="millions" localSheetId="7">#REF!</definedName>
    <definedName name="millions">#REF!</definedName>
    <definedName name="Nominal_to_Real">'[1]Input|Rate of change'!$C$23:$C$26</definedName>
    <definedName name="number" localSheetId="7">#REF!</definedName>
    <definedName name="number">#REF!</definedName>
    <definedName name="percent" localSheetId="7">#REF!</definedName>
    <definedName name="percent" localSheetId="6">'[1]Lookup|Tables'!$G$14</definedName>
    <definedName name="percent">#REF!</definedName>
    <definedName name="PRCP_final_year" localSheetId="0">'[2]AER ETL'!$C$50</definedName>
    <definedName name="PRCP_final_year">'[3]AER ETL'!$C$50</definedName>
    <definedName name="PRCP_y1" localSheetId="0">'[2]AER lookups'!$E$41</definedName>
    <definedName name="PRCP_y1">'[3]AER lookups'!$E$41</definedName>
    <definedName name="PRCP_y10" localSheetId="0">'[2]AER lookups'!$E$50</definedName>
    <definedName name="PRCP_y10">'[3]AER lookups'!$E$50</definedName>
    <definedName name="PRCP_y11" localSheetId="0">'[2]AER lookups'!$E$51</definedName>
    <definedName name="PRCP_y11">'[3]AER lookups'!$E$51</definedName>
    <definedName name="PRCP_y12" localSheetId="0">'[2]AER lookups'!$E$52</definedName>
    <definedName name="PRCP_y12">'[3]AER lookups'!$E$52</definedName>
    <definedName name="PRCP_y13" localSheetId="0">'[2]AER lookups'!$E$53</definedName>
    <definedName name="PRCP_y13">'[3]AER lookups'!$E$53</definedName>
    <definedName name="PRCP_y14" localSheetId="0">'[2]AER lookups'!$E$54</definedName>
    <definedName name="PRCP_y14">'[3]AER lookups'!$E$54</definedName>
    <definedName name="PRCP_y15" localSheetId="0">'[2]AER lookups'!$E$55</definedName>
    <definedName name="PRCP_y15">'[3]AER lookups'!$E$55</definedName>
    <definedName name="PRCP_y2" localSheetId="0">'[2]AER lookups'!$E$42</definedName>
    <definedName name="PRCP_y2">'[3]AER lookups'!$E$42</definedName>
    <definedName name="PRCP_y3" localSheetId="0">'[2]AER lookups'!$E$43</definedName>
    <definedName name="PRCP_y3">'[3]AER lookups'!$E$43</definedName>
    <definedName name="PRCP_y4" localSheetId="0">'[2]AER lookups'!$E$44</definedName>
    <definedName name="PRCP_y4">'[3]AER lookups'!$E$44</definedName>
    <definedName name="PRCP_y5" localSheetId="0">'[2]AER lookups'!$E$45</definedName>
    <definedName name="PRCP_y5">'[3]AER lookups'!$E$45</definedName>
    <definedName name="PRCP_y6" localSheetId="0">'[2]AER lookups'!$E$46</definedName>
    <definedName name="PRCP_y6">'[3]AER lookups'!$E$46</definedName>
    <definedName name="PRCP_y7" localSheetId="0">'[2]AER lookups'!$E$47</definedName>
    <definedName name="PRCP_y7">'[3]AER lookups'!$E$47</definedName>
    <definedName name="PRCP_y8" localSheetId="0">'[2]AER lookups'!$E$48</definedName>
    <definedName name="PRCP_y8">'[3]AER lookups'!$E$48</definedName>
    <definedName name="PRCP_y9" localSheetId="0">'[2]AER lookups'!$E$49</definedName>
    <definedName name="PRCP_y9">'[3]AER lookups'!$E$49</definedName>
    <definedName name="thousands" localSheetId="7">#REF!</definedName>
    <definedName name="thousands">#REF!</definedName>
    <definedName name="unit" localSheetId="7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4" l="1"/>
  <c r="L7" i="14"/>
  <c r="L22" i="14" s="1"/>
  <c r="O7" i="14"/>
  <c r="H6" i="14"/>
  <c r="H41" i="14" s="1"/>
  <c r="F7" i="14"/>
  <c r="G41" i="14"/>
  <c r="L21" i="14"/>
  <c r="L30" i="14" s="1"/>
  <c r="M7" i="14"/>
  <c r="D7" i="14"/>
  <c r="E7" i="14"/>
  <c r="K7" i="14"/>
  <c r="C37" i="14"/>
  <c r="D12" i="14"/>
  <c r="E12" i="14"/>
  <c r="F12" i="14"/>
  <c r="G12" i="14"/>
  <c r="K12" i="14"/>
  <c r="H11" i="14"/>
  <c r="H42" i="14" s="1"/>
  <c r="D42" i="14"/>
  <c r="D44" i="14" s="1"/>
  <c r="E42" i="14"/>
  <c r="E44" i="14" s="1"/>
  <c r="C12" i="14"/>
  <c r="L12" i="14"/>
  <c r="M12" i="14"/>
  <c r="C38" i="14"/>
  <c r="L17" i="14"/>
  <c r="M17" i="14"/>
  <c r="H16" i="14"/>
  <c r="H43" i="14" s="1"/>
  <c r="G43" i="14"/>
  <c r="P16" i="14"/>
  <c r="D17" i="14"/>
  <c r="E17" i="14"/>
  <c r="K17" i="14"/>
  <c r="D20" i="14"/>
  <c r="D29" i="14" s="1"/>
  <c r="D31" i="14" s="1"/>
  <c r="E20" i="14"/>
  <c r="F20" i="14"/>
  <c r="G20" i="14"/>
  <c r="G29" i="14" s="1"/>
  <c r="K20" i="14"/>
  <c r="C21" i="14"/>
  <c r="C30" i="14" s="1"/>
  <c r="D21" i="14"/>
  <c r="D30" i="14" s="1"/>
  <c r="K21" i="14"/>
  <c r="K26" i="14"/>
  <c r="K41" i="14" s="1"/>
  <c r="L26" i="14"/>
  <c r="M26" i="14" s="1"/>
  <c r="E29" i="14"/>
  <c r="F29" i="14"/>
  <c r="D36" i="14"/>
  <c r="E36" i="14"/>
  <c r="F36" i="14"/>
  <c r="G36" i="14"/>
  <c r="E37" i="14"/>
  <c r="F37" i="14"/>
  <c r="G37" i="14"/>
  <c r="D38" i="14"/>
  <c r="E38" i="14"/>
  <c r="F38" i="14"/>
  <c r="G38" i="14"/>
  <c r="E39" i="14"/>
  <c r="F39" i="14"/>
  <c r="G39" i="14"/>
  <c r="C41" i="14"/>
  <c r="D41" i="14"/>
  <c r="E41" i="14"/>
  <c r="F41" i="14"/>
  <c r="C42" i="14"/>
  <c r="F42" i="14"/>
  <c r="G42" i="14"/>
  <c r="C43" i="14"/>
  <c r="C44" i="14" s="1"/>
  <c r="D43" i="14"/>
  <c r="E43" i="14"/>
  <c r="F43" i="14"/>
  <c r="F44" i="14" s="1"/>
  <c r="P7" i="14" l="1"/>
  <c r="M22" i="14"/>
  <c r="N26" i="14"/>
  <c r="N42" i="14" s="1"/>
  <c r="M38" i="14"/>
  <c r="M36" i="14"/>
  <c r="M39" i="14" s="1"/>
  <c r="M43" i="14"/>
  <c r="M37" i="14"/>
  <c r="M41" i="14"/>
  <c r="M42" i="14"/>
  <c r="D22" i="14"/>
  <c r="H44" i="14"/>
  <c r="P12" i="14"/>
  <c r="K22" i="14"/>
  <c r="G44" i="14"/>
  <c r="P20" i="14"/>
  <c r="E22" i="14"/>
  <c r="L37" i="14"/>
  <c r="P15" i="14"/>
  <c r="K43" i="14"/>
  <c r="K38" i="14"/>
  <c r="K36" i="14"/>
  <c r="K30" i="14"/>
  <c r="G21" i="14"/>
  <c r="G30" i="14" s="1"/>
  <c r="G31" i="14" s="1"/>
  <c r="G17" i="14"/>
  <c r="O12" i="14"/>
  <c r="G7" i="14"/>
  <c r="G22" i="14" s="1"/>
  <c r="L42" i="14"/>
  <c r="L41" i="14"/>
  <c r="L38" i="14"/>
  <c r="H10" i="14"/>
  <c r="H37" i="14" s="1"/>
  <c r="K42" i="14"/>
  <c r="K44" i="14" s="1"/>
  <c r="K37" i="14"/>
  <c r="K29" i="14"/>
  <c r="F21" i="14"/>
  <c r="F30" i="14" s="1"/>
  <c r="F31" i="14" s="1"/>
  <c r="F17" i="14"/>
  <c r="F22" i="14" s="1"/>
  <c r="N12" i="14"/>
  <c r="L43" i="14"/>
  <c r="L36" i="14"/>
  <c r="P5" i="14"/>
  <c r="E21" i="14"/>
  <c r="E30" i="14" s="1"/>
  <c r="E31" i="14" s="1"/>
  <c r="P11" i="14"/>
  <c r="D37" i="14"/>
  <c r="D39" i="14" s="1"/>
  <c r="H15" i="14"/>
  <c r="H38" i="14" s="1"/>
  <c r="H12" i="14"/>
  <c r="P10" i="14"/>
  <c r="H5" i="14"/>
  <c r="H36" i="14" s="1"/>
  <c r="H39" i="14" s="1"/>
  <c r="C17" i="14"/>
  <c r="C36" i="14"/>
  <c r="C39" i="14" s="1"/>
  <c r="O21" i="14"/>
  <c r="O20" i="14"/>
  <c r="O17" i="14"/>
  <c r="O22" i="14" s="1"/>
  <c r="N21" i="14"/>
  <c r="N20" i="14"/>
  <c r="N17" i="14"/>
  <c r="P17" i="14" s="1"/>
  <c r="N7" i="14"/>
  <c r="C20" i="14"/>
  <c r="M21" i="14"/>
  <c r="M30" i="14" s="1"/>
  <c r="M20" i="14"/>
  <c r="M29" i="14" s="1"/>
  <c r="P6" i="14"/>
  <c r="L20" i="14"/>
  <c r="L29" i="14" s="1"/>
  <c r="L31" i="14" s="1"/>
  <c r="N29" i="14" l="1"/>
  <c r="N31" i="14" s="1"/>
  <c r="N38" i="14"/>
  <c r="N30" i="14"/>
  <c r="N41" i="14"/>
  <c r="N36" i="14"/>
  <c r="K31" i="14"/>
  <c r="K39" i="14"/>
  <c r="H30" i="14"/>
  <c r="M44" i="14"/>
  <c r="M31" i="14"/>
  <c r="N43" i="14"/>
  <c r="H17" i="14"/>
  <c r="H21" i="14"/>
  <c r="P21" i="14"/>
  <c r="H7" i="14"/>
  <c r="C29" i="14"/>
  <c r="H20" i="14"/>
  <c r="L39" i="14"/>
  <c r="L44" i="14"/>
  <c r="N22" i="14"/>
  <c r="P22" i="14" s="1"/>
  <c r="N37" i="14"/>
  <c r="O26" i="14"/>
  <c r="O29" i="14" s="1"/>
  <c r="C22" i="14"/>
  <c r="H22" i="14" s="1"/>
  <c r="P30" i="14" l="1"/>
  <c r="P29" i="14"/>
  <c r="O36" i="14"/>
  <c r="O37" i="14"/>
  <c r="P37" i="14" s="1"/>
  <c r="O41" i="14"/>
  <c r="O44" i="14" s="1"/>
  <c r="O43" i="14"/>
  <c r="P43" i="14" s="1"/>
  <c r="O42" i="14"/>
  <c r="P42" i="14" s="1"/>
  <c r="O38" i="14"/>
  <c r="P38" i="14" s="1"/>
  <c r="O30" i="14"/>
  <c r="O31" i="14" s="1"/>
  <c r="P31" i="14" s="1"/>
  <c r="N39" i="14"/>
  <c r="C31" i="14"/>
  <c r="H31" i="14" s="1"/>
  <c r="H29" i="14"/>
  <c r="N44" i="14"/>
  <c r="P41" i="14"/>
  <c r="P44" i="14" l="1"/>
  <c r="O39" i="14"/>
  <c r="P36" i="14"/>
  <c r="P39" i="14" s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I16" i="3"/>
  <c r="L16" i="3"/>
  <c r="K16" i="3"/>
  <c r="J16" i="3"/>
  <c r="C15" i="13" l="1"/>
  <c r="C10" i="13"/>
  <c r="F8" i="4"/>
  <c r="E8" i="4"/>
  <c r="B1" i="2"/>
  <c r="B1" i="10" s="1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C42" i="4" l="1"/>
  <c r="C44" i="4"/>
  <c r="B1" i="5"/>
  <c r="B1" i="3"/>
  <c r="B1" i="13"/>
  <c r="B1" i="4"/>
  <c r="J12" i="3" l="1"/>
  <c r="L12" i="3"/>
  <c r="K12" i="3"/>
  <c r="H12" i="3"/>
  <c r="I12" i="3"/>
  <c r="I22" i="13" l="1"/>
  <c r="F9" i="4" s="1"/>
  <c r="H22" i="13"/>
  <c r="E9" i="4" s="1"/>
  <c r="G10" i="13"/>
  <c r="G15" i="13" l="1"/>
  <c r="G22" i="13"/>
  <c r="D9" i="4" s="1"/>
  <c r="H10" i="13"/>
  <c r="I10" i="13" s="1"/>
  <c r="J10" i="13" s="1"/>
  <c r="K10" i="13" s="1"/>
  <c r="H15" i="13" l="1"/>
  <c r="D10" i="4"/>
  <c r="I15" i="13" l="1"/>
  <c r="E10" i="4"/>
  <c r="J15" i="13" l="1"/>
  <c r="F10" i="4"/>
  <c r="K15" i="13" l="1"/>
  <c r="M14" i="13" l="1"/>
  <c r="L15" i="13"/>
  <c r="M9" i="13"/>
  <c r="N9" i="13" s="1"/>
  <c r="O9" i="13" s="1"/>
  <c r="P9" i="13" s="1"/>
  <c r="H30" i="3"/>
  <c r="H31" i="3" s="1"/>
  <c r="D26" i="4" s="1"/>
  <c r="L10" i="13"/>
  <c r="M10" i="13" l="1"/>
  <c r="I30" i="3"/>
  <c r="I31" i="3" s="1"/>
  <c r="E26" i="4" s="1"/>
  <c r="N14" i="13"/>
  <c r="M15" i="13"/>
  <c r="N15" i="13" l="1"/>
  <c r="J30" i="3"/>
  <c r="J31" i="3" s="1"/>
  <c r="F26" i="4" s="1"/>
  <c r="N10" i="13"/>
  <c r="O14" i="13"/>
  <c r="O10" i="13" l="1"/>
  <c r="K30" i="3"/>
  <c r="K31" i="3" s="1"/>
  <c r="G26" i="4" s="1"/>
  <c r="P14" i="13"/>
  <c r="O15" i="13"/>
  <c r="L30" i="3" l="1"/>
  <c r="L31" i="3" s="1"/>
  <c r="H26" i="4" s="1"/>
  <c r="P10" i="13"/>
  <c r="P15" i="13"/>
  <c r="H8" i="4" l="1"/>
  <c r="K22" i="13"/>
  <c r="H9" i="4" s="1"/>
  <c r="H10" i="4"/>
  <c r="J22" i="13"/>
  <c r="G9" i="4" s="1"/>
  <c r="G8" i="4"/>
  <c r="G10" i="4"/>
  <c r="G19" i="4" l="1"/>
  <c r="F19" i="4" s="1"/>
  <c r="E19" i="4" l="1"/>
  <c r="D19" i="4" l="1"/>
  <c r="D21" i="4" l="1"/>
  <c r="K23" i="3" l="1"/>
  <c r="G11" i="4" s="1"/>
  <c r="G12" i="4" s="1"/>
  <c r="L23" i="3"/>
  <c r="H11" i="4" s="1"/>
  <c r="H12" i="4" s="1"/>
  <c r="H20" i="4" s="1"/>
  <c r="H16" i="4" l="1"/>
  <c r="G20" i="4"/>
  <c r="M22" i="13" l="1"/>
  <c r="E25" i="4" s="1"/>
  <c r="L22" i="13" l="1"/>
  <c r="D25" i="4" s="1"/>
  <c r="D27" i="4" s="1"/>
  <c r="D28" i="4" s="1"/>
  <c r="D41" i="4"/>
  <c r="E41" i="4" s="1"/>
  <c r="N22" i="13"/>
  <c r="F25" i="4" s="1"/>
  <c r="F27" i="4" l="1"/>
  <c r="F28" i="4" s="1"/>
  <c r="E27" i="4"/>
  <c r="E28" i="4" s="1"/>
  <c r="F41" i="4"/>
  <c r="O22" i="13"/>
  <c r="G25" i="4" s="1"/>
  <c r="G27" i="4" s="1"/>
  <c r="G28" i="4" s="1"/>
  <c r="G41" i="4" l="1"/>
  <c r="P22" i="13"/>
  <c r="H25" i="4" s="1"/>
  <c r="H27" i="4" s="1"/>
  <c r="H28" i="4" s="1"/>
  <c r="H41" i="4" l="1"/>
  <c r="H23" i="3" l="1"/>
  <c r="D11" i="4" s="1"/>
  <c r="D12" i="4" s="1"/>
  <c r="F13" i="4" l="1"/>
  <c r="E13" i="4"/>
  <c r="E18" i="4" s="1"/>
  <c r="E21" i="4" s="1"/>
  <c r="H13" i="4"/>
  <c r="D20" i="4"/>
  <c r="G13" i="4"/>
  <c r="I23" i="3" l="1"/>
  <c r="E11" i="4" s="1"/>
  <c r="E12" i="4" s="1"/>
  <c r="J23" i="3"/>
  <c r="F11" i="4" s="1"/>
  <c r="F12" i="4" s="1"/>
  <c r="G15" i="4" l="1"/>
  <c r="H15" i="4"/>
  <c r="F20" i="4"/>
  <c r="H14" i="4"/>
  <c r="E20" i="4"/>
  <c r="F14" i="4"/>
  <c r="F18" i="4" s="1"/>
  <c r="F21" i="4" s="1"/>
  <c r="G14" i="4"/>
  <c r="G18" i="4" s="1"/>
  <c r="G21" i="4" s="1"/>
  <c r="H18" i="4" l="1"/>
  <c r="H21" i="4" s="1"/>
  <c r="D35" i="4" s="1"/>
  <c r="D31" i="4"/>
  <c r="D34" i="4" l="1"/>
  <c r="D36" i="4" s="1"/>
  <c r="D42" i="4" s="1"/>
  <c r="D33" i="4"/>
  <c r="E42" i="4" l="1"/>
  <c r="J8" i="10"/>
  <c r="K8" i="10" l="1"/>
  <c r="F42" i="4"/>
  <c r="L8" i="10" l="1"/>
  <c r="G42" i="4"/>
  <c r="M8" i="10" l="1"/>
  <c r="H42" i="4"/>
  <c r="N8" i="10" s="1"/>
  <c r="O8" i="10" l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28" authorId="0" shapeId="0" xr:uid="{E1B34423-7E10-47F7-90F4-CEDC4C57428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allowed capex enters CESS model in real $</t>
        </r>
      </text>
    </comment>
  </commentList>
</comments>
</file>

<file path=xl/sharedStrings.xml><?xml version="1.0" encoding="utf-8"?>
<sst xmlns="http://schemas.openxmlformats.org/spreadsheetml/2006/main" count="311" uniqueCount="141">
  <si>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</si>
  <si>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</si>
  <si>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</si>
  <si>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</si>
  <si>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</si>
  <si>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</si>
  <si>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</si>
  <si>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</si>
  <si>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</si>
  <si>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</si>
  <si>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</si>
  <si>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</si>
  <si>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</si>
  <si>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</si>
  <si>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</si>
  <si>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</si>
  <si>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</si>
  <si>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</si>
  <si>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</si>
  <si>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</si>
  <si>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</si>
  <si>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</si>
  <si>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</si>
  <si>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</si>
  <si>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</si>
  <si>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</si>
  <si>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</si>
  <si>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</si>
  <si>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</si>
  <si>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</si>
  <si>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</si>
  <si>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</si>
  <si>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</si>
  <si>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</si>
  <si>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</si>
  <si>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</si>
  <si>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</si>
  <si>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</si>
  <si>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</si>
  <si>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</si>
  <si>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</si>
  <si>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</si>
  <si>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</si>
  <si>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</si>
  <si>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</si>
  <si>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</si>
  <si>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</si>
  <si>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</si>
  <si>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</si>
  <si>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</si>
  <si>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</si>
  <si>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</si>
  <si>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</si>
  <si>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</si>
  <si>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</si>
  <si>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</si>
  <si>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</si>
  <si>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</si>
  <si>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</si>
  <si>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</si>
  <si>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</si>
  <si>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</si>
  <si>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</si>
  <si>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</si>
  <si>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</si>
  <si>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</si>
  <si>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</si>
  <si>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</si>
  <si>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</si>
  <si>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</si>
  <si>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</si>
  <si>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</si>
  <si>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</si>
  <si>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</si>
  <si>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</si>
  <si>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</si>
  <si>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</si>
  <si>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</si>
  <si>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</si>
  <si>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</si>
  <si>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</si>
  <si>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</si>
  <si>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</si>
  <si>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</si>
  <si>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</si>
  <si>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</si>
  <si>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</si>
  <si>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</si>
  <si>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</si>
  <si>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</si>
  <si>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</si>
  <si>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</si>
  <si>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</si>
  <si>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</si>
  <si>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</si>
  <si>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</si>
  <si>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</si>
  <si>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</si>
  <si>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</si>
  <si>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</si>
  <si>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</si>
  <si>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</si>
  <si>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</si>
  <si>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</si>
  <si>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</si>
  <si>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Tx</t>
  </si>
  <si>
    <t>Regulatory Proposal</t>
  </si>
  <si>
    <t>Transmission</t>
  </si>
  <si>
    <t>NIP</t>
  </si>
  <si>
    <t>Operational TS</t>
  </si>
  <si>
    <t>ADMS</t>
  </si>
  <si>
    <t>Distribution</t>
  </si>
  <si>
    <t>Allowance for Excluded Capex by Category ($m $2018-19)</t>
  </si>
  <si>
    <t>Escalation index</t>
  </si>
  <si>
    <t>CPI  applied for model</t>
  </si>
  <si>
    <t>Actual CPI</t>
  </si>
  <si>
    <t>Network Innovation Program</t>
  </si>
  <si>
    <t>OTI_03.19</t>
  </si>
  <si>
    <t>Operational Technology Security</t>
  </si>
  <si>
    <t>OTI_03.16</t>
  </si>
  <si>
    <t>Advanced Distribution Mgt System (ADMS)</t>
  </si>
  <si>
    <t>OTI_03.15</t>
  </si>
  <si>
    <t>2021-22A</t>
  </si>
  <si>
    <t>2020-21A</t>
  </si>
  <si>
    <t>2019-20A</t>
  </si>
  <si>
    <t>2020-2024</t>
  </si>
  <si>
    <t>2023-24</t>
  </si>
  <si>
    <t>2022-23</t>
  </si>
  <si>
    <t>2021-22</t>
  </si>
  <si>
    <t>2020-21</t>
  </si>
  <si>
    <t>2019-20</t>
  </si>
  <si>
    <t>2023-24F</t>
  </si>
  <si>
    <t>2022-23F</t>
  </si>
  <si>
    <t>Capex excluded from CESS</t>
  </si>
  <si>
    <t>Actual/Forecast Capex ($ nominal)</t>
  </si>
  <si>
    <t>Capex Allowance ($2018-19)</t>
  </si>
  <si>
    <t>Capex Allowance ($m 2018-19)</t>
  </si>
  <si>
    <t>Actual/Forecast Capex ($m nominal)</t>
  </si>
  <si>
    <t>Actual/Forecast Excluded Capex by Category ($m nominal)</t>
  </si>
  <si>
    <t>Ausgrid’s 2024-29 Regulatory Proposal</t>
  </si>
  <si>
    <t>RIN.13.b: 2024-2029 - Reset RIN - workbook 4 - CESS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</si>
</sst>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0.00000"/>
    <numFmt numFmtId="195" formatCode="[$-C09]d\ mmmm\ yyyy;@"/>
  </numFmts>
  <fonts count="11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4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230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0" fillId="0" borderId="0" xfId="265" applyFont="1" applyFill="1" applyBorder="1" applyAlignment="1" applyProtection="1">
      <alignment horizontal="center" vertical="center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NumberFormat="1" applyFont="1" applyFill="1" applyBorder="1" applyAlignment="1" applyProtection="1">
      <alignment horizontal="center" vertical="center"/>
    </xf>
    <xf numFmtId="2" fontId="0" fillId="3" borderId="0" xfId="0" applyNumberFormat="1" applyFill="1" applyAlignment="1">
      <alignment vertical="center"/>
    </xf>
    <xf numFmtId="19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0" xfId="339" applyFont="1"/>
    <xf numFmtId="189" fontId="0" fillId="0" borderId="0" xfId="0" applyNumberFormat="1"/>
    <xf numFmtId="0" fontId="105" fillId="0" borderId="0" xfId="0" applyFont="1"/>
    <xf numFmtId="43" fontId="0" fillId="0" borderId="44" xfId="0" applyNumberFormat="1" applyBorder="1" applyAlignment="1">
      <alignment horizontal="right"/>
    </xf>
    <xf numFmtId="43" fontId="0" fillId="0" borderId="3" xfId="0" applyNumberFormat="1" applyBorder="1"/>
    <xf numFmtId="0" fontId="0" fillId="0" borderId="45" xfId="0" applyBorder="1"/>
    <xf numFmtId="43" fontId="0" fillId="0" borderId="46" xfId="0" applyNumberFormat="1" applyBorder="1" applyAlignment="1">
      <alignment horizontal="right"/>
    </xf>
    <xf numFmtId="0" fontId="0" fillId="0" borderId="47" xfId="0" applyBorder="1"/>
    <xf numFmtId="0" fontId="105" fillId="0" borderId="50" xfId="0" applyFont="1" applyBorder="1"/>
    <xf numFmtId="189" fontId="0" fillId="0" borderId="0" xfId="339" applyNumberFormat="1" applyFont="1"/>
    <xf numFmtId="10" fontId="0" fillId="0" borderId="0" xfId="268" applyNumberFormat="1" applyFont="1"/>
    <xf numFmtId="43" fontId="0" fillId="0" borderId="0" xfId="0" applyNumberFormat="1" applyAlignment="1">
      <alignment horizontal="right"/>
    </xf>
    <xf numFmtId="0" fontId="105" fillId="0" borderId="0" xfId="0" applyFont="1" applyAlignment="1">
      <alignment horizontal="right"/>
    </xf>
    <xf numFmtId="0" fontId="108" fillId="0" borderId="0" xfId="0" applyFont="1"/>
    <xf numFmtId="0" fontId="105" fillId="0" borderId="0" xfId="0" applyFont="1" applyFill="1" applyAlignment="1">
      <alignment horizontal="right"/>
    </xf>
    <xf numFmtId="0" fontId="105" fillId="0" borderId="49" xfId="0" applyFont="1" applyBorder="1" applyAlignment="1">
      <alignment horizontal="right"/>
    </xf>
    <xf numFmtId="0" fontId="105" fillId="0" borderId="48" xfId="0" applyFont="1" applyBorder="1" applyAlignment="1">
      <alignment horizontal="right"/>
    </xf>
    <xf numFmtId="2" fontId="24" fillId="53" borderId="24" xfId="1" quotePrefix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0" fontId="105" fillId="0" borderId="0" xfId="0" applyFont="1" applyAlignment="1">
      <alignment wrapText="1"/>
    </xf>
    <xf numFmtId="0" fontId="105" fillId="0" borderId="0" xfId="0" applyFont="1" applyAlignment="1">
      <alignment vertical="top" wrapText="1"/>
    </xf>
    <xf numFmtId="0" fontId="11" fillId="0" borderId="0" xfId="340"/>
    <xf numFmtId="195" fontId="92" fillId="0" borderId="0" xfId="340" applyNumberFormat="1" applyFont="1" applyAlignment="1">
      <alignment horizontal="left" vertical="center"/>
    </xf>
    <xf numFmtId="0" fontId="110" fillId="0" borderId="0" xfId="340" applyFont="1" applyAlignment="1">
      <alignment horizontal="left" vertical="top" wrapText="1"/>
    </xf>
    <xf numFmtId="0" fontId="111" fillId="0" borderId="0" xfId="340" applyFont="1"/>
  </cellXfs>
  <cellStyles count="34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38F8ED59-606B-4688-85A3-056300DE20BA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 7" xfId="340" xr:uid="{6068C62A-EA5D-4CB7-8B93-4B99C8339D4D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361314</xdr:colOff>
      <xdr:row>25</xdr:row>
      <xdr:rowOff>116542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12E9EABE-34AC-49DF-866B-A724AF3AF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7599" cy="464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125189</xdr:rowOff>
    </xdr:from>
    <xdr:to>
      <xdr:col>8</xdr:col>
      <xdr:colOff>377825</xdr:colOff>
      <xdr:row>38</xdr:row>
      <xdr:rowOff>19685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C495FA4F-B24F-4286-95F1-16EB3AEE0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" y="6861269"/>
          <a:ext cx="4928870" cy="6975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35</xdr:row>
      <xdr:rowOff>22225</xdr:rowOff>
    </xdr:from>
    <xdr:to>
      <xdr:col>8</xdr:col>
      <xdr:colOff>207010</xdr:colOff>
      <xdr:row>36</xdr:row>
      <xdr:rowOff>169545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50E875E-E435-43D0-9D84-05F728F8F99A}"/>
            </a:ext>
          </a:extLst>
        </xdr:cNvPr>
        <xdr:cNvGrpSpPr>
          <a:grpSpLocks/>
        </xdr:cNvGrpSpPr>
      </xdr:nvGrpSpPr>
      <xdr:grpSpPr bwMode="auto">
        <a:xfrm>
          <a:off x="3574415" y="6390640"/>
          <a:ext cx="1198880" cy="335915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982E5F4D-F4FC-001C-CF78-EF9ABE000EB1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124CBE0B-8235-0178-4397-9DB03AAC95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35</xdr:row>
      <xdr:rowOff>19051</xdr:rowOff>
    </xdr:from>
    <xdr:to>
      <xdr:col>4</xdr:col>
      <xdr:colOff>339725</xdr:colOff>
      <xdr:row>37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9540345-D8B6-4E9C-9429-ADE480BB1311}"/>
            </a:ext>
          </a:extLst>
        </xdr:cNvPr>
        <xdr:cNvSpPr txBox="1"/>
      </xdr:nvSpPr>
      <xdr:spPr>
        <a:xfrm>
          <a:off x="212090" y="6387466"/>
          <a:ext cx="2251710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51167</xdr:colOff>
      <xdr:row>31</xdr:row>
      <xdr:rowOff>125228</xdr:rowOff>
    </xdr:from>
    <xdr:to>
      <xdr:col>2</xdr:col>
      <xdr:colOff>310562</xdr:colOff>
      <xdr:row>31</xdr:row>
      <xdr:rowOff>171448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9DF1D6F-4935-43CB-A889-683C92E0932E}"/>
            </a:ext>
          </a:extLst>
        </xdr:cNvPr>
        <xdr:cNvSpPr/>
      </xdr:nvSpPr>
      <xdr:spPr>
        <a:xfrm flipH="1" flipV="1">
          <a:off x="350252" y="5737358"/>
          <a:ext cx="867090" cy="48125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RIN.11.c%20-%202024-2029%20-%20Reset%20RIN%20-%20workbook%202%20-%20historical%20data%20-%20consolidated.xlsm?0F174187" TargetMode="External"/><Relationship Id="rId1" Type="http://schemas.openxmlformats.org/officeDocument/2006/relationships/externalLinkPath" Target="file:///\\0F174187\RIN.11.c%20-%202024-2029%20-%20Reset%20RIN%20-%20workbook%202%20-%20historical%20data%20-%20consolidated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O%20NOT%20USE%20RIN.11.a%20-%202024-2029%20-%20Reset%20RIN%20-%20workbook%202%20-%20historical%20data%20-%20actual.xlsm?0F174187" TargetMode="External"/><Relationship Id="rId1" Type="http://schemas.openxmlformats.org/officeDocument/2006/relationships/externalLinkPath" Target="file:///\\0F174187\DO%20NOT%20USE%20RIN.11.a%20-%202024-2029%20-%20Reset%20RIN%20-%20workbook%202%20-%20historical%20data%20-%20act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Contents"/>
      <sheetName val="Business &amp; other details"/>
      <sheetName val="4.2 Metering - Capex"/>
      <sheetName val="4.2 Metering - ICT"/>
      <sheetName val="7.4 Shared Assets"/>
      <sheetName val="Formatting Styl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6">
          <cell r="AL16" t="str">
            <v>Ausgrid</v>
          </cell>
        </row>
        <row r="42">
          <cell r="AL42" t="str">
            <v>2024-25</v>
          </cell>
        </row>
        <row r="54">
          <cell r="AL54" t="str">
            <v>2014-15</v>
          </cell>
        </row>
        <row r="56">
          <cell r="AL56" t="str">
            <v>2021-22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1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11">
        <row r="10">
          <cell r="B10" t="str">
            <v>Ausgrid</v>
          </cell>
          <cell r="C10" t="str">
            <v>Ausgrid</v>
          </cell>
          <cell r="D10">
            <v>67505337385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 t="str">
            <v>570 George St</v>
          </cell>
          <cell r="Q10" t="str">
            <v>SYDNEY</v>
          </cell>
          <cell r="R10" t="str">
            <v>NSW</v>
          </cell>
          <cell r="T10" t="str">
            <v>GPO Box 4009</v>
          </cell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J10" t="str">
            <v>YES</v>
          </cell>
        </row>
        <row r="11">
          <cell r="B11" t="str">
            <v>Ausgrid (Tx Assets)</v>
          </cell>
          <cell r="C11" t="str">
            <v>Ausgrid (Tx Assets)</v>
          </cell>
          <cell r="D11">
            <v>67505337385</v>
          </cell>
          <cell r="E11" t="str">
            <v>NSW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570 George St</v>
          </cell>
          <cell r="Q11" t="str">
            <v>SYDNEY</v>
          </cell>
          <cell r="R11" t="str">
            <v>NSW</v>
          </cell>
          <cell r="T11" t="str">
            <v>GPO Box 4009</v>
          </cell>
          <cell r="V11" t="str">
            <v>SYDNEY</v>
          </cell>
          <cell r="W11" t="str">
            <v>NSW</v>
          </cell>
          <cell r="Y11" t="str">
            <v>YES</v>
          </cell>
          <cell r="Z11" t="str">
            <v>YES</v>
          </cell>
          <cell r="AA11" t="str">
            <v>YES</v>
          </cell>
          <cell r="AB11" t="str">
            <v>YES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J11" t="str">
            <v>NO</v>
          </cell>
        </row>
        <row r="12">
          <cell r="B12" t="str">
            <v>Australian Distribution Co.</v>
          </cell>
          <cell r="C12" t="str">
            <v>Australian Distribution Co.</v>
          </cell>
          <cell r="D12">
            <v>11222333444</v>
          </cell>
          <cell r="E12" t="str">
            <v>NSW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2</v>
          </cell>
          <cell r="O12" t="str">
            <v>123 Straight Street</v>
          </cell>
          <cell r="Q12" t="str">
            <v>SYDNEY</v>
          </cell>
          <cell r="R12" t="str">
            <v>NSW</v>
          </cell>
          <cell r="T12" t="str">
            <v>PO Box 123</v>
          </cell>
          <cell r="V12" t="str">
            <v>SYDNEY</v>
          </cell>
          <cell r="W12" t="str">
            <v>NSW</v>
          </cell>
          <cell r="Y12" t="str">
            <v>YES</v>
          </cell>
          <cell r="Z12" t="str">
            <v>YES</v>
          </cell>
          <cell r="AA12" t="str">
            <v>YES</v>
          </cell>
          <cell r="AB12" t="str">
            <v>YES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J12" t="str">
            <v>YES</v>
          </cell>
        </row>
        <row r="13">
          <cell r="B13" t="str">
            <v>Endeavour Energy</v>
          </cell>
          <cell r="C13" t="str">
            <v>Endeavour Energy</v>
          </cell>
          <cell r="D13">
            <v>11247365823</v>
          </cell>
          <cell r="E13" t="str">
            <v>NSW</v>
          </cell>
          <cell r="F13" t="str">
            <v>Electricity</v>
          </cell>
          <cell r="G13" t="str">
            <v>Distribution</v>
          </cell>
          <cell r="H13" t="str">
            <v>Revenue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51 Huntingwood Drive</v>
          </cell>
          <cell r="Q13" t="str">
            <v>HUNTINGWOOD</v>
          </cell>
          <cell r="R13" t="str">
            <v>NSW</v>
          </cell>
          <cell r="T13" t="str">
            <v>PO Box 811</v>
          </cell>
          <cell r="V13" t="str">
            <v>SEVEN HILLS</v>
          </cell>
          <cell r="W13" t="str">
            <v>NSW</v>
          </cell>
          <cell r="Y13" t="str">
            <v>NO</v>
          </cell>
          <cell r="Z13" t="str">
            <v>YES</v>
          </cell>
          <cell r="AA13" t="str">
            <v>YES</v>
          </cell>
          <cell r="AB13" t="str">
            <v>YES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J13" t="str">
            <v>YES</v>
          </cell>
        </row>
        <row r="14">
          <cell r="B14" t="str">
            <v>Essential Energy</v>
          </cell>
          <cell r="C14" t="str">
            <v>Essential Energy</v>
          </cell>
          <cell r="D14">
            <v>37428185226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8 Buller Street</v>
          </cell>
          <cell r="Q14" t="str">
            <v>PORT MACQUARIE</v>
          </cell>
          <cell r="R14" t="str">
            <v>NSW</v>
          </cell>
          <cell r="T14" t="str">
            <v>PO Box 5730</v>
          </cell>
          <cell r="V14" t="str">
            <v>PORT MACQUARIE</v>
          </cell>
          <cell r="W14" t="str">
            <v>NSW</v>
          </cell>
          <cell r="Y14" t="str">
            <v>NO</v>
          </cell>
          <cell r="Z14" t="str">
            <v>YES</v>
          </cell>
          <cell r="AA14" t="str">
            <v>YES</v>
          </cell>
          <cell r="AB14" t="str">
            <v>YES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J14" t="str">
            <v>YES</v>
          </cell>
        </row>
        <row r="15">
          <cell r="B15" t="str">
            <v>Evoenergy Distribution</v>
          </cell>
          <cell r="C15" t="str">
            <v>Evoenergy Distribution</v>
          </cell>
          <cell r="D15">
            <v>76670568688</v>
          </cell>
          <cell r="E15" t="str">
            <v>ACT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40 Bunda Street</v>
          </cell>
          <cell r="Q15" t="str">
            <v>CANBERRA</v>
          </cell>
          <cell r="R15" t="str">
            <v>ACT</v>
          </cell>
          <cell r="T15" t="str">
            <v>GPO BOX 366</v>
          </cell>
          <cell r="V15" t="str">
            <v>CANBERRA</v>
          </cell>
          <cell r="W15" t="str">
            <v>ACT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NO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J15" t="str">
            <v>NO</v>
          </cell>
        </row>
        <row r="16">
          <cell r="B16" t="str">
            <v>Evoenergy Distribution (Tx Assets)</v>
          </cell>
          <cell r="C16" t="str">
            <v>Evoenergy Distribution (Tx Assets)</v>
          </cell>
          <cell r="D16">
            <v>76670568688</v>
          </cell>
          <cell r="E16" t="str">
            <v>ACT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40 Bunda Street</v>
          </cell>
          <cell r="Q16" t="str">
            <v>CANBERRA</v>
          </cell>
          <cell r="R16" t="str">
            <v>ACT</v>
          </cell>
          <cell r="T16" t="str">
            <v>GPO BOX 366</v>
          </cell>
          <cell r="V16" t="str">
            <v>CANBERRA</v>
          </cell>
          <cell r="W16" t="str">
            <v>ACT</v>
          </cell>
          <cell r="Y16" t="str">
            <v>NO</v>
          </cell>
          <cell r="Z16" t="str">
            <v>YES</v>
          </cell>
          <cell r="AA16" t="str">
            <v>YES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J16" t="str">
            <v>NO</v>
          </cell>
        </row>
        <row r="17">
          <cell r="B17" t="str">
            <v>Power and Water</v>
          </cell>
          <cell r="C17" t="str">
            <v>Power and Water Corporation</v>
          </cell>
          <cell r="D17">
            <v>15947352360</v>
          </cell>
          <cell r="E17" t="str">
            <v>NT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O17" t="str">
            <v>GPO Box 1921</v>
          </cell>
          <cell r="Q17" t="str">
            <v>DARWIN</v>
          </cell>
          <cell r="R17" t="str">
            <v>NT</v>
          </cell>
          <cell r="T17" t="str">
            <v>GPO Box 1921</v>
          </cell>
          <cell r="V17" t="str">
            <v>DARWIN</v>
          </cell>
          <cell r="W17" t="str">
            <v>NT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J17" t="str">
            <v>NO</v>
          </cell>
        </row>
        <row r="18">
          <cell r="B18" t="str">
            <v>TasNetworks (D)</v>
          </cell>
          <cell r="C18" t="str">
            <v>TasNetworks (D)</v>
          </cell>
          <cell r="D18">
            <v>24167357299</v>
          </cell>
          <cell r="E18" t="str">
            <v>Tas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1-7 Maria Street</v>
          </cell>
          <cell r="Q18" t="str">
            <v>LENAH VALLEY</v>
          </cell>
          <cell r="R18" t="str">
            <v>Tas</v>
          </cell>
          <cell r="T18" t="str">
            <v>PO Box 606</v>
          </cell>
          <cell r="V18" t="str">
            <v>MOONAH</v>
          </cell>
          <cell r="W18" t="str">
            <v>Tas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Critical Infrastructure</v>
          </cell>
          <cell r="AE18" t="str">
            <v>Urban</v>
          </cell>
          <cell r="AF18" t="str">
            <v>High density commercial</v>
          </cell>
          <cell r="AG18" t="str">
            <v>High density rural</v>
          </cell>
          <cell r="AH18" t="str">
            <v>Low density rural</v>
          </cell>
          <cell r="AJ18" t="str">
            <v>YES</v>
          </cell>
        </row>
        <row r="25">
          <cell r="B25" t="str">
            <v>ARR</v>
          </cell>
          <cell r="D25" t="str">
            <v>NEW HISTORICAL ANNUAL REPORTING</v>
          </cell>
          <cell r="E25">
            <v>1</v>
          </cell>
        </row>
        <row r="26">
          <cell r="B26" t="str">
            <v>CA</v>
          </cell>
          <cell r="D26" t="str">
            <v>NEW HISTORICAL 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NEW HISTORICAL 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2014-15</v>
          </cell>
          <cell r="G41" t="str">
            <v>2019-20</v>
          </cell>
        </row>
        <row r="42">
          <cell r="E42" t="str">
            <v>2015-16</v>
          </cell>
          <cell r="G42" t="str">
            <v>2020-21</v>
          </cell>
          <cell r="I42" t="str">
            <v>2025-26</v>
          </cell>
        </row>
        <row r="43">
          <cell r="E43" t="str">
            <v>2016-17</v>
          </cell>
          <cell r="G43" t="str">
            <v>2021-22</v>
          </cell>
          <cell r="I43" t="str">
            <v>2026-27</v>
          </cell>
        </row>
        <row r="44">
          <cell r="E44" t="str">
            <v>2017-18</v>
          </cell>
          <cell r="G44" t="str">
            <v>2022-23</v>
          </cell>
          <cell r="I44" t="str">
            <v>2027-28</v>
          </cell>
        </row>
        <row r="45">
          <cell r="E45" t="str">
            <v>2018-19</v>
          </cell>
          <cell r="G45" t="str">
            <v>2023-24</v>
          </cell>
          <cell r="I45" t="str">
            <v>2028-29</v>
          </cell>
        </row>
        <row r="46">
          <cell r="E46" t="str">
            <v>2019-20</v>
          </cell>
          <cell r="G46" t="str">
            <v>2024-25</v>
          </cell>
          <cell r="I46" t="str">
            <v>2029-30</v>
          </cell>
        </row>
        <row r="47">
          <cell r="E47" t="str">
            <v>2020-21</v>
          </cell>
          <cell r="G47" t="str">
            <v>2025-26</v>
          </cell>
          <cell r="I47" t="str">
            <v>2030-31</v>
          </cell>
        </row>
        <row r="48">
          <cell r="E48" t="str">
            <v>2021-22</v>
          </cell>
          <cell r="G48" t="str">
            <v>2026-27</v>
          </cell>
          <cell r="I48" t="str">
            <v>2031-32</v>
          </cell>
        </row>
        <row r="49">
          <cell r="E49" t="str">
            <v>2022-23</v>
          </cell>
          <cell r="G49" t="str">
            <v>2027-28</v>
          </cell>
          <cell r="I49" t="str">
            <v>2032-33</v>
          </cell>
        </row>
        <row r="50">
          <cell r="E50" t="str">
            <v>2023-24</v>
          </cell>
          <cell r="G50" t="str">
            <v>2028-29</v>
          </cell>
          <cell r="I50" t="str">
            <v>2033-34</v>
          </cell>
        </row>
        <row r="51">
          <cell r="E51" t="str">
            <v>2024-25</v>
          </cell>
          <cell r="G51" t="str">
            <v>2029-30</v>
          </cell>
          <cell r="I51" t="str">
            <v>2034-35</v>
          </cell>
        </row>
        <row r="52">
          <cell r="E52" t="str">
            <v>2025-26</v>
          </cell>
          <cell r="G52" t="str">
            <v>2030-31</v>
          </cell>
          <cell r="I52" t="str">
            <v>2035-36</v>
          </cell>
        </row>
        <row r="53">
          <cell r="E53" t="str">
            <v>2026-27</v>
          </cell>
          <cell r="G53" t="str">
            <v>2031-32</v>
          </cell>
          <cell r="I53" t="str">
            <v>2036-37</v>
          </cell>
        </row>
        <row r="54">
          <cell r="E54" t="str">
            <v>2027-28</v>
          </cell>
          <cell r="G54" t="str">
            <v>2032-33</v>
          </cell>
          <cell r="I54" t="str">
            <v>2037-38</v>
          </cell>
        </row>
        <row r="55">
          <cell r="E55" t="str">
            <v>2028-29</v>
          </cell>
          <cell r="G55" t="str">
            <v>2033-34</v>
          </cell>
          <cell r="I55" t="str">
            <v>2038-39</v>
          </cell>
        </row>
        <row r="76">
          <cell r="E76" t="str">
            <v>2014-15</v>
          </cell>
        </row>
        <row r="77">
          <cell r="E77" t="str">
            <v>2015-16</v>
          </cell>
        </row>
        <row r="78">
          <cell r="E78" t="str">
            <v>2016-17</v>
          </cell>
        </row>
        <row r="79">
          <cell r="E79" t="str">
            <v>2017-18</v>
          </cell>
        </row>
        <row r="80">
          <cell r="E80" t="str">
            <v>2018-19</v>
          </cell>
        </row>
        <row r="81">
          <cell r="E81" t="str">
            <v>2019-20</v>
          </cell>
        </row>
        <row r="82">
          <cell r="E82" t="str">
            <v>2020-21</v>
          </cell>
        </row>
        <row r="83">
          <cell r="E83" t="str">
            <v>2021-22</v>
          </cell>
        </row>
      </sheetData>
      <sheetData sheetId="12">
        <row r="11">
          <cell r="C11" t="str">
            <v>Ausgrid</v>
          </cell>
        </row>
        <row r="13">
          <cell r="C13" t="str">
            <v>CA</v>
          </cell>
        </row>
        <row r="22">
          <cell r="C22" t="str">
            <v>Electricity</v>
          </cell>
        </row>
        <row r="23">
          <cell r="C23" t="str">
            <v>Distribution</v>
          </cell>
        </row>
        <row r="25">
          <cell r="C25" t="str">
            <v>Financial</v>
          </cell>
        </row>
        <row r="26">
          <cell r="C26" t="str">
            <v>$0s</v>
          </cell>
        </row>
        <row r="31">
          <cell r="C31" t="str">
            <v>2014</v>
          </cell>
        </row>
        <row r="32">
          <cell r="C32" t="str">
            <v>June</v>
          </cell>
        </row>
        <row r="33">
          <cell r="C33" t="str">
            <v>June 2015</v>
          </cell>
        </row>
        <row r="34">
          <cell r="C34" t="str">
            <v>June 2019</v>
          </cell>
        </row>
        <row r="38">
          <cell r="C38" t="str">
            <v>2024-25</v>
          </cell>
        </row>
        <row r="39">
          <cell r="C39" t="str">
            <v>2014-15</v>
          </cell>
        </row>
        <row r="40">
          <cell r="C40">
            <v>28</v>
          </cell>
        </row>
        <row r="41">
          <cell r="C41">
            <v>38</v>
          </cell>
        </row>
        <row r="42">
          <cell r="C42">
            <v>33</v>
          </cell>
        </row>
        <row r="43">
          <cell r="C43">
            <v>28</v>
          </cell>
        </row>
        <row r="44">
          <cell r="C44">
            <v>42</v>
          </cell>
        </row>
        <row r="48">
          <cell r="C48" t="str">
            <v>2028-29</v>
          </cell>
        </row>
        <row r="49">
          <cell r="C49" t="str">
            <v>2023-24</v>
          </cell>
        </row>
        <row r="50">
          <cell r="C50" t="str">
            <v>2018-19</v>
          </cell>
        </row>
        <row r="51">
          <cell r="C51" t="str">
            <v>2028-29</v>
          </cell>
        </row>
        <row r="53">
          <cell r="C53" t="str">
            <v>2024</v>
          </cell>
        </row>
        <row r="54">
          <cell r="C54" t="str">
            <v>2019</v>
          </cell>
        </row>
        <row r="55">
          <cell r="C55" t="str">
            <v>2015</v>
          </cell>
        </row>
        <row r="56">
          <cell r="C56">
            <v>0</v>
          </cell>
        </row>
        <row r="57">
          <cell r="C57" t="str">
            <v>2022</v>
          </cell>
        </row>
        <row r="58">
          <cell r="C58">
            <v>1</v>
          </cell>
        </row>
        <row r="59">
          <cell r="C59" t="str">
            <v>2022</v>
          </cell>
        </row>
        <row r="61">
          <cell r="C61" t="str">
            <v>2014-15 to 2021-22</v>
          </cell>
        </row>
        <row r="62">
          <cell r="C62" t="str">
            <v>2014-15 to 2021-22</v>
          </cell>
        </row>
        <row r="64">
          <cell r="C64" t="str">
            <v>Yes</v>
          </cell>
        </row>
        <row r="65">
          <cell r="C65">
            <v>1</v>
          </cell>
        </row>
        <row r="66">
          <cell r="C66" t="str">
            <v>2021-22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 t="str">
            <v>yes</v>
          </cell>
        </row>
        <row r="92">
          <cell r="C92" t="str">
            <v>no</v>
          </cell>
        </row>
        <row r="94">
          <cell r="C94" t="str">
            <v>6.3 not present</v>
          </cell>
        </row>
        <row r="100">
          <cell r="C100" t="str">
            <v>dms_LeapYear not present</v>
          </cell>
        </row>
        <row r="101">
          <cell r="C101">
            <v>1826</v>
          </cell>
        </row>
        <row r="102">
          <cell r="C102">
            <v>365</v>
          </cell>
        </row>
        <row r="108">
          <cell r="C108" t="str">
            <v>1-Jul-2014</v>
          </cell>
        </row>
        <row r="110">
          <cell r="C110" t="str">
            <v>NO</v>
          </cell>
        </row>
        <row r="114">
          <cell r="C114">
            <v>12</v>
          </cell>
        </row>
        <row r="115">
          <cell r="C115" t="str">
            <v>0</v>
          </cell>
        </row>
        <row r="127">
          <cell r="C127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Contents"/>
      <sheetName val="Business &amp; other details"/>
      <sheetName val="4.2 Metering - Capex"/>
      <sheetName val="4.2 Metering - ICT"/>
      <sheetName val="7.4 Shared Assets"/>
      <sheetName val="Formatting Styl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6">
          <cell r="AL16" t="str">
            <v>Ausgrid</v>
          </cell>
        </row>
        <row r="42">
          <cell r="AL42" t="str">
            <v>2024-25</v>
          </cell>
        </row>
        <row r="54">
          <cell r="AL54" t="str">
            <v>2014-15</v>
          </cell>
        </row>
        <row r="56">
          <cell r="AL56" t="str">
            <v>2021-22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1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11">
        <row r="10">
          <cell r="B10" t="str">
            <v>Ausgrid</v>
          </cell>
          <cell r="C10" t="str">
            <v>Ausgrid</v>
          </cell>
          <cell r="D10">
            <v>67505337385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 t="str">
            <v>570 George St</v>
          </cell>
          <cell r="Q10" t="str">
            <v>SYDNEY</v>
          </cell>
          <cell r="R10" t="str">
            <v>NSW</v>
          </cell>
          <cell r="T10" t="str">
            <v>GPO Box 4009</v>
          </cell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J10" t="str">
            <v>YES</v>
          </cell>
        </row>
        <row r="11">
          <cell r="B11" t="str">
            <v>Ausgrid (Tx Assets)</v>
          </cell>
          <cell r="C11" t="str">
            <v>Ausgrid (Tx Assets)</v>
          </cell>
          <cell r="D11">
            <v>67505337385</v>
          </cell>
          <cell r="E11" t="str">
            <v>NSW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570 George St</v>
          </cell>
          <cell r="Q11" t="str">
            <v>SYDNEY</v>
          </cell>
          <cell r="R11" t="str">
            <v>NSW</v>
          </cell>
          <cell r="T11" t="str">
            <v>GPO Box 4009</v>
          </cell>
          <cell r="V11" t="str">
            <v>SYDNEY</v>
          </cell>
          <cell r="W11" t="str">
            <v>NSW</v>
          </cell>
          <cell r="Y11" t="str">
            <v>YES</v>
          </cell>
          <cell r="Z11" t="str">
            <v>YES</v>
          </cell>
          <cell r="AA11" t="str">
            <v>YES</v>
          </cell>
          <cell r="AB11" t="str">
            <v>YES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J11" t="str">
            <v>NO</v>
          </cell>
        </row>
        <row r="12">
          <cell r="B12" t="str">
            <v>Australian Distribution Co.</v>
          </cell>
          <cell r="C12" t="str">
            <v>Australian Distribution Co.</v>
          </cell>
          <cell r="D12">
            <v>11222333444</v>
          </cell>
          <cell r="E12" t="str">
            <v>NSW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2</v>
          </cell>
          <cell r="O12" t="str">
            <v>123 Straight Street</v>
          </cell>
          <cell r="Q12" t="str">
            <v>SYDNEY</v>
          </cell>
          <cell r="R12" t="str">
            <v>NSW</v>
          </cell>
          <cell r="T12" t="str">
            <v>PO Box 123</v>
          </cell>
          <cell r="V12" t="str">
            <v>SYDNEY</v>
          </cell>
          <cell r="W12" t="str">
            <v>NSW</v>
          </cell>
          <cell r="Y12" t="str">
            <v>YES</v>
          </cell>
          <cell r="Z12" t="str">
            <v>YES</v>
          </cell>
          <cell r="AA12" t="str">
            <v>YES</v>
          </cell>
          <cell r="AB12" t="str">
            <v>YES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J12" t="str">
            <v>YES</v>
          </cell>
        </row>
        <row r="13">
          <cell r="B13" t="str">
            <v>Endeavour Energy</v>
          </cell>
          <cell r="C13" t="str">
            <v>Endeavour Energy</v>
          </cell>
          <cell r="D13">
            <v>11247365823</v>
          </cell>
          <cell r="E13" t="str">
            <v>NSW</v>
          </cell>
          <cell r="F13" t="str">
            <v>Electricity</v>
          </cell>
          <cell r="G13" t="str">
            <v>Distribution</v>
          </cell>
          <cell r="H13" t="str">
            <v>Revenue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51 Huntingwood Drive</v>
          </cell>
          <cell r="Q13" t="str">
            <v>HUNTINGWOOD</v>
          </cell>
          <cell r="R13" t="str">
            <v>NSW</v>
          </cell>
          <cell r="T13" t="str">
            <v>PO Box 811</v>
          </cell>
          <cell r="V13" t="str">
            <v>SEVEN HILLS</v>
          </cell>
          <cell r="W13" t="str">
            <v>NSW</v>
          </cell>
          <cell r="Y13" t="str">
            <v>NO</v>
          </cell>
          <cell r="Z13" t="str">
            <v>YES</v>
          </cell>
          <cell r="AA13" t="str">
            <v>YES</v>
          </cell>
          <cell r="AB13" t="str">
            <v>YES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J13" t="str">
            <v>YES</v>
          </cell>
        </row>
        <row r="14">
          <cell r="B14" t="str">
            <v>Essential Energy</v>
          </cell>
          <cell r="C14" t="str">
            <v>Essential Energy</v>
          </cell>
          <cell r="D14">
            <v>37428185226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8 Buller Street</v>
          </cell>
          <cell r="Q14" t="str">
            <v>PORT MACQUARIE</v>
          </cell>
          <cell r="R14" t="str">
            <v>NSW</v>
          </cell>
          <cell r="T14" t="str">
            <v>PO Box 5730</v>
          </cell>
          <cell r="V14" t="str">
            <v>PORT MACQUARIE</v>
          </cell>
          <cell r="W14" t="str">
            <v>NSW</v>
          </cell>
          <cell r="Y14" t="str">
            <v>NO</v>
          </cell>
          <cell r="Z14" t="str">
            <v>YES</v>
          </cell>
          <cell r="AA14" t="str">
            <v>YES</v>
          </cell>
          <cell r="AB14" t="str">
            <v>YES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J14" t="str">
            <v>YES</v>
          </cell>
        </row>
        <row r="15">
          <cell r="B15" t="str">
            <v>Evoenergy Distribution</v>
          </cell>
          <cell r="C15" t="str">
            <v>Evoenergy Distribution</v>
          </cell>
          <cell r="D15">
            <v>76670568688</v>
          </cell>
          <cell r="E15" t="str">
            <v>ACT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40 Bunda Street</v>
          </cell>
          <cell r="Q15" t="str">
            <v>CANBERRA</v>
          </cell>
          <cell r="R15" t="str">
            <v>ACT</v>
          </cell>
          <cell r="T15" t="str">
            <v>GPO BOX 366</v>
          </cell>
          <cell r="V15" t="str">
            <v>CANBERRA</v>
          </cell>
          <cell r="W15" t="str">
            <v>ACT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NO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J15" t="str">
            <v>NO</v>
          </cell>
        </row>
        <row r="16">
          <cell r="B16" t="str">
            <v>Evoenergy Distribution (Tx Assets)</v>
          </cell>
          <cell r="C16" t="str">
            <v>Evoenergy Distribution (Tx Assets)</v>
          </cell>
          <cell r="D16">
            <v>76670568688</v>
          </cell>
          <cell r="E16" t="str">
            <v>ACT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40 Bunda Street</v>
          </cell>
          <cell r="Q16" t="str">
            <v>CANBERRA</v>
          </cell>
          <cell r="R16" t="str">
            <v>ACT</v>
          </cell>
          <cell r="T16" t="str">
            <v>GPO BOX 366</v>
          </cell>
          <cell r="V16" t="str">
            <v>CANBERRA</v>
          </cell>
          <cell r="W16" t="str">
            <v>ACT</v>
          </cell>
          <cell r="Y16" t="str">
            <v>NO</v>
          </cell>
          <cell r="Z16" t="str">
            <v>YES</v>
          </cell>
          <cell r="AA16" t="str">
            <v>YES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J16" t="str">
            <v>NO</v>
          </cell>
        </row>
        <row r="17">
          <cell r="B17" t="str">
            <v>Power and Water</v>
          </cell>
          <cell r="C17" t="str">
            <v>Power and Water Corporation</v>
          </cell>
          <cell r="D17">
            <v>15947352360</v>
          </cell>
          <cell r="E17" t="str">
            <v>NT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O17" t="str">
            <v>GPO Box 1921</v>
          </cell>
          <cell r="Q17" t="str">
            <v>DARWIN</v>
          </cell>
          <cell r="R17" t="str">
            <v>NT</v>
          </cell>
          <cell r="T17" t="str">
            <v>GPO Box 1921</v>
          </cell>
          <cell r="V17" t="str">
            <v>DARWIN</v>
          </cell>
          <cell r="W17" t="str">
            <v>NT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J17" t="str">
            <v>NO</v>
          </cell>
        </row>
        <row r="18">
          <cell r="B18" t="str">
            <v>TasNetworks (D)</v>
          </cell>
          <cell r="C18" t="str">
            <v>TasNetworks (D)</v>
          </cell>
          <cell r="D18">
            <v>24167357299</v>
          </cell>
          <cell r="E18" t="str">
            <v>Tas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1-7 Maria Street</v>
          </cell>
          <cell r="Q18" t="str">
            <v>LENAH VALLEY</v>
          </cell>
          <cell r="R18" t="str">
            <v>Tas</v>
          </cell>
          <cell r="T18" t="str">
            <v>PO Box 606</v>
          </cell>
          <cell r="V18" t="str">
            <v>MOONAH</v>
          </cell>
          <cell r="W18" t="str">
            <v>Tas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Critical Infrastructure</v>
          </cell>
          <cell r="AE18" t="str">
            <v>Urban</v>
          </cell>
          <cell r="AF18" t="str">
            <v>High density commercial</v>
          </cell>
          <cell r="AG18" t="str">
            <v>High density rural</v>
          </cell>
          <cell r="AH18" t="str">
            <v>Low density rural</v>
          </cell>
          <cell r="AJ18" t="str">
            <v>YES</v>
          </cell>
        </row>
        <row r="25">
          <cell r="B25" t="str">
            <v>ARR</v>
          </cell>
          <cell r="D25" t="str">
            <v>NEW HISTORICAL ANNUAL REPORTING</v>
          </cell>
          <cell r="E25">
            <v>1</v>
          </cell>
        </row>
        <row r="26">
          <cell r="B26" t="str">
            <v>CA</v>
          </cell>
          <cell r="D26" t="str">
            <v>NEW HISTORICAL 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NEW HISTORICAL 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2014-15</v>
          </cell>
          <cell r="G41" t="str">
            <v>2019-20</v>
          </cell>
        </row>
        <row r="42">
          <cell r="E42" t="str">
            <v>2015-16</v>
          </cell>
          <cell r="G42" t="str">
            <v>2020-21</v>
          </cell>
          <cell r="I42" t="str">
            <v>2025-26</v>
          </cell>
        </row>
        <row r="43">
          <cell r="E43" t="str">
            <v>2016-17</v>
          </cell>
          <cell r="G43" t="str">
            <v>2021-22</v>
          </cell>
          <cell r="I43" t="str">
            <v>2026-27</v>
          </cell>
        </row>
        <row r="44">
          <cell r="E44" t="str">
            <v>2017-18</v>
          </cell>
          <cell r="G44" t="str">
            <v>2022-23</v>
          </cell>
          <cell r="I44" t="str">
            <v>2027-28</v>
          </cell>
        </row>
        <row r="45">
          <cell r="E45" t="str">
            <v>2018-19</v>
          </cell>
          <cell r="G45" t="str">
            <v>2023-24</v>
          </cell>
          <cell r="I45" t="str">
            <v>2028-29</v>
          </cell>
        </row>
        <row r="46">
          <cell r="E46" t="str">
            <v>2019-20</v>
          </cell>
          <cell r="G46" t="str">
            <v>2024-25</v>
          </cell>
          <cell r="I46" t="str">
            <v>2029-30</v>
          </cell>
        </row>
        <row r="47">
          <cell r="E47" t="str">
            <v>2020-21</v>
          </cell>
          <cell r="G47" t="str">
            <v>2025-26</v>
          </cell>
          <cell r="I47" t="str">
            <v>2030-31</v>
          </cell>
        </row>
        <row r="48">
          <cell r="E48" t="str">
            <v>2021-22</v>
          </cell>
          <cell r="G48" t="str">
            <v>2026-27</v>
          </cell>
          <cell r="I48" t="str">
            <v>2031-32</v>
          </cell>
        </row>
        <row r="49">
          <cell r="E49" t="str">
            <v>2022-23</v>
          </cell>
          <cell r="G49" t="str">
            <v>2027-28</v>
          </cell>
          <cell r="I49" t="str">
            <v>2032-33</v>
          </cell>
        </row>
        <row r="50">
          <cell r="E50" t="str">
            <v>2023-24</v>
          </cell>
          <cell r="G50" t="str">
            <v>2028-29</v>
          </cell>
          <cell r="I50" t="str">
            <v>2033-34</v>
          </cell>
        </row>
        <row r="51">
          <cell r="E51" t="str">
            <v>2024-25</v>
          </cell>
          <cell r="G51" t="str">
            <v>2029-30</v>
          </cell>
          <cell r="I51" t="str">
            <v>2034-35</v>
          </cell>
        </row>
        <row r="52">
          <cell r="E52" t="str">
            <v>2025-26</v>
          </cell>
          <cell r="G52" t="str">
            <v>2030-31</v>
          </cell>
          <cell r="I52" t="str">
            <v>2035-36</v>
          </cell>
        </row>
        <row r="53">
          <cell r="E53" t="str">
            <v>2026-27</v>
          </cell>
          <cell r="G53" t="str">
            <v>2031-32</v>
          </cell>
          <cell r="I53" t="str">
            <v>2036-37</v>
          </cell>
        </row>
        <row r="54">
          <cell r="E54" t="str">
            <v>2027-28</v>
          </cell>
          <cell r="G54" t="str">
            <v>2032-33</v>
          </cell>
          <cell r="I54" t="str">
            <v>2037-38</v>
          </cell>
        </row>
        <row r="55">
          <cell r="E55" t="str">
            <v>2028-29</v>
          </cell>
          <cell r="G55" t="str">
            <v>2033-34</v>
          </cell>
          <cell r="I55" t="str">
            <v>2038-39</v>
          </cell>
        </row>
        <row r="76">
          <cell r="E76" t="str">
            <v>2014-15</v>
          </cell>
        </row>
        <row r="77">
          <cell r="E77" t="str">
            <v>2015-16</v>
          </cell>
        </row>
        <row r="78">
          <cell r="E78" t="str">
            <v>2016-17</v>
          </cell>
        </row>
        <row r="79">
          <cell r="E79" t="str">
            <v>2017-18</v>
          </cell>
        </row>
        <row r="80">
          <cell r="E80" t="str">
            <v>2018-19</v>
          </cell>
        </row>
        <row r="81">
          <cell r="E81" t="str">
            <v>2019-20</v>
          </cell>
        </row>
        <row r="82">
          <cell r="E82" t="str">
            <v>2020-21</v>
          </cell>
        </row>
        <row r="83">
          <cell r="E83" t="str">
            <v>2021-22</v>
          </cell>
        </row>
      </sheetData>
      <sheetData sheetId="12">
        <row r="11">
          <cell r="C11" t="str">
            <v>Ausgrid</v>
          </cell>
        </row>
        <row r="13">
          <cell r="C13" t="str">
            <v>CA</v>
          </cell>
        </row>
        <row r="22">
          <cell r="C22" t="str">
            <v>Electricity</v>
          </cell>
        </row>
        <row r="23">
          <cell r="C23" t="str">
            <v>Distribution</v>
          </cell>
        </row>
        <row r="25">
          <cell r="C25" t="str">
            <v>Financial</v>
          </cell>
        </row>
        <row r="26">
          <cell r="C26" t="str">
            <v>$0s</v>
          </cell>
        </row>
        <row r="31">
          <cell r="C31" t="str">
            <v>2014</v>
          </cell>
        </row>
        <row r="32">
          <cell r="C32" t="str">
            <v>June</v>
          </cell>
        </row>
        <row r="33">
          <cell r="C33" t="str">
            <v>June 2015</v>
          </cell>
        </row>
        <row r="34">
          <cell r="C34" t="str">
            <v>June 2019</v>
          </cell>
        </row>
        <row r="38">
          <cell r="C38" t="str">
            <v>2024-25</v>
          </cell>
        </row>
        <row r="39">
          <cell r="C39" t="str">
            <v>2014-15</v>
          </cell>
        </row>
        <row r="40">
          <cell r="C40">
            <v>28</v>
          </cell>
        </row>
        <row r="41">
          <cell r="C41">
            <v>38</v>
          </cell>
        </row>
        <row r="42">
          <cell r="C42">
            <v>33</v>
          </cell>
        </row>
        <row r="43">
          <cell r="C43">
            <v>28</v>
          </cell>
        </row>
        <row r="44">
          <cell r="C44">
            <v>42</v>
          </cell>
        </row>
        <row r="48">
          <cell r="C48" t="str">
            <v>2028-29</v>
          </cell>
        </row>
        <row r="49">
          <cell r="C49" t="str">
            <v>2023-24</v>
          </cell>
        </row>
        <row r="50">
          <cell r="C50" t="str">
            <v>2018-19</v>
          </cell>
        </row>
        <row r="51">
          <cell r="C51" t="str">
            <v>2028-29</v>
          </cell>
        </row>
        <row r="53">
          <cell r="C53" t="str">
            <v>2024</v>
          </cell>
        </row>
        <row r="54">
          <cell r="C54" t="str">
            <v>2019</v>
          </cell>
        </row>
        <row r="55">
          <cell r="C55" t="str">
            <v>2015</v>
          </cell>
        </row>
        <row r="56">
          <cell r="C56">
            <v>0</v>
          </cell>
        </row>
        <row r="57">
          <cell r="C57" t="str">
            <v>2022</v>
          </cell>
        </row>
        <row r="58">
          <cell r="C58">
            <v>1</v>
          </cell>
        </row>
        <row r="59">
          <cell r="C59" t="str">
            <v>2022</v>
          </cell>
        </row>
        <row r="61">
          <cell r="C61" t="str">
            <v>2014-15 to 2021-22</v>
          </cell>
        </row>
        <row r="62">
          <cell r="C62" t="str">
            <v>2014-15 to 2021-22</v>
          </cell>
        </row>
        <row r="64">
          <cell r="C64" t="str">
            <v>Yes</v>
          </cell>
        </row>
        <row r="65">
          <cell r="C65">
            <v>1</v>
          </cell>
        </row>
        <row r="66">
          <cell r="C66" t="str">
            <v>2021-22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 t="str">
            <v>yes</v>
          </cell>
        </row>
        <row r="92">
          <cell r="C92" t="str">
            <v>no</v>
          </cell>
        </row>
        <row r="94">
          <cell r="C94" t="str">
            <v>6.3 not present</v>
          </cell>
        </row>
        <row r="100">
          <cell r="C100" t="str">
            <v>dms_LeapYear not present</v>
          </cell>
        </row>
        <row r="101">
          <cell r="C101">
            <v>1826</v>
          </cell>
        </row>
        <row r="102">
          <cell r="C102">
            <v>365</v>
          </cell>
        </row>
        <row r="108">
          <cell r="C108" t="str">
            <v>1-Jul-2014</v>
          </cell>
        </row>
        <row r="110">
          <cell r="C110" t="str">
            <v>NO</v>
          </cell>
        </row>
        <row r="114">
          <cell r="C114">
            <v>12</v>
          </cell>
        </row>
        <row r="115">
          <cell r="C115" t="str">
            <v>0</v>
          </cell>
        </row>
        <row r="127">
          <cell r="C12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D305-EC75-4FE4-97F6-495788C6BE83}">
  <dimension ref="B27:H33"/>
  <sheetViews>
    <sheetView showGridLines="0" tabSelected="1" workbookViewId="0">
      <selection activeCell="M33" sqref="M33"/>
    </sheetView>
  </sheetViews>
  <sheetFormatPr defaultRowHeight="14.4"/>
  <cols>
    <col min="1" max="1" width="4.33203125" style="226" customWidth="1"/>
    <col min="2" max="16384" width="8.88671875" style="226"/>
  </cols>
  <sheetData>
    <row r="27" spans="2:8">
      <c r="B27" s="227">
        <v>44957</v>
      </c>
      <c r="C27" s="227"/>
    </row>
    <row r="29" spans="2:8" ht="14.4" customHeight="1">
      <c r="B29" s="228" t="s">
        <v>140</v>
      </c>
      <c r="C29" s="228"/>
      <c r="D29" s="228"/>
      <c r="E29" s="228"/>
      <c r="F29" s="228"/>
      <c r="G29" s="228"/>
      <c r="H29" s="228"/>
    </row>
    <row r="30" spans="2:8" ht="14.4" customHeight="1">
      <c r="B30" s="228"/>
      <c r="C30" s="228"/>
      <c r="D30" s="228"/>
      <c r="E30" s="228"/>
      <c r="F30" s="228"/>
      <c r="G30" s="228"/>
      <c r="H30" s="228"/>
    </row>
    <row r="31" spans="2:8" ht="14.4" customHeight="1">
      <c r="B31" s="228"/>
      <c r="C31" s="228"/>
      <c r="D31" s="228"/>
      <c r="E31" s="228"/>
      <c r="F31" s="228"/>
      <c r="G31" s="228"/>
      <c r="H31" s="228"/>
    </row>
    <row r="32" spans="2:8" ht="14.4" customHeight="1">
      <c r="B32" s="228"/>
      <c r="C32" s="228"/>
      <c r="D32" s="228"/>
      <c r="E32" s="228"/>
      <c r="F32" s="228"/>
      <c r="G32" s="228"/>
      <c r="H32" s="228"/>
    </row>
    <row r="33" spans="2:2" ht="17.399999999999999">
      <c r="B33" s="229" t="s">
        <v>139</v>
      </c>
    </row>
  </sheetData>
  <sheetProtection selectLockedCells="1"/>
  <mergeCells count="2">
    <mergeCell ref="B27:C27"/>
    <mergeCell ref="B29:H32"/>
  </mergeCells>
  <pageMargins left="0.7" right="0.7" top="0.75" bottom="0.75" header="0.3" footer="0.3"/>
  <pageSetup paperSize="9" orientation="portrait" r:id="rId1"/>
  <headerFooter>
    <oddFooter>&amp;L_x000D_&amp;1#&amp;"Calibri"&amp;8&amp;K000000 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>
      <selection activeCell="D8" sqref="D8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Ausgrid Tx 2024-29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6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D13" sqref="D13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4" width="20.5546875" style="14" customWidth="1"/>
    <col min="5" max="8" width="12.6640625" style="14" customWidth="1"/>
    <col min="9" max="9" width="9.44140625" style="14" customWidth="1"/>
    <col min="10" max="10" width="9.332031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Tx 2024-29 Regulatory Proposal - Capital expenditure sharing scheme model</v>
      </c>
      <c r="F1" s="102"/>
      <c r="G1" s="103" t="s">
        <v>47</v>
      </c>
      <c r="H1" s="150" t="s">
        <v>48</v>
      </c>
      <c r="I1" s="154" t="s">
        <v>36</v>
      </c>
      <c r="M1" s="104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8" customFormat="1" ht="11.25" customHeight="1">
      <c r="C6" s="67" t="s">
        <v>0</v>
      </c>
      <c r="D6" s="151" t="s">
        <v>105</v>
      </c>
      <c r="J6" s="77"/>
      <c r="K6" s="77"/>
      <c r="L6" s="77"/>
      <c r="M6" s="77"/>
    </row>
    <row r="7" spans="1:13" s="68" customFormat="1" ht="11.25" customHeight="1">
      <c r="C7" s="67" t="s">
        <v>88</v>
      </c>
      <c r="D7" s="151" t="s">
        <v>106</v>
      </c>
      <c r="I7" s="77"/>
      <c r="J7" s="77"/>
      <c r="K7" s="77"/>
      <c r="L7" s="77"/>
    </row>
    <row r="8" spans="1:13" s="68" customFormat="1" ht="11.25" customHeight="1">
      <c r="C8" s="67" t="s">
        <v>89</v>
      </c>
      <c r="D8" s="151" t="s">
        <v>101</v>
      </c>
      <c r="J8" s="77"/>
      <c r="K8" s="77"/>
      <c r="L8" s="77"/>
      <c r="M8" s="77"/>
    </row>
    <row r="9" spans="1:13" s="68" customFormat="1" ht="11.25" customHeight="1">
      <c r="C9" s="180" t="s">
        <v>99</v>
      </c>
      <c r="D9" s="151" t="s">
        <v>102</v>
      </c>
      <c r="J9" s="77"/>
      <c r="K9" s="77"/>
      <c r="L9" s="77"/>
      <c r="M9" s="77"/>
    </row>
    <row r="10" spans="1:13" s="68" customFormat="1" ht="11.25" customHeight="1">
      <c r="C10" s="67"/>
      <c r="J10" s="77"/>
      <c r="K10" s="77"/>
      <c r="L10" s="77"/>
      <c r="M10" s="77"/>
    </row>
    <row r="11" spans="1:13" s="68" customFormat="1" ht="11.25" customHeight="1">
      <c r="C11" s="129" t="s">
        <v>87</v>
      </c>
      <c r="J11" s="77"/>
      <c r="K11" s="77"/>
      <c r="L11" s="77"/>
      <c r="M11" s="77"/>
    </row>
    <row r="12" spans="1:13" s="68" customFormat="1" ht="11.25" customHeight="1">
      <c r="C12" s="67"/>
      <c r="D12" s="69" t="s">
        <v>63</v>
      </c>
      <c r="E12" s="69" t="s">
        <v>64</v>
      </c>
      <c r="F12" s="69" t="s">
        <v>65</v>
      </c>
      <c r="G12" s="69" t="s">
        <v>66</v>
      </c>
      <c r="H12" s="69" t="s">
        <v>67</v>
      </c>
      <c r="J12" s="77"/>
      <c r="K12" s="77"/>
      <c r="L12" s="77"/>
      <c r="M12" s="77"/>
    </row>
    <row r="13" spans="1:13" s="68" customFormat="1" ht="11.25" customHeight="1">
      <c r="C13" s="67" t="s">
        <v>61</v>
      </c>
      <c r="D13" s="179" t="str">
        <f t="shared" ref="D13:F13" si="0">IF(LEN(E13)&gt;4,CONCATENATE(LEFT(E13,4)-1&amp;"–"&amp;IF(RIGHT(E13,2)="00","99",IF(RIGHT(E13,2)-1&lt;10,"0","")&amp;RIGHT(E13,2)-1)),E13-1)</f>
        <v>2019–20</v>
      </c>
      <c r="E13" s="179" t="str">
        <f t="shared" si="0"/>
        <v>2020–21</v>
      </c>
      <c r="F13" s="179" t="str">
        <f t="shared" si="0"/>
        <v>2021–22</v>
      </c>
      <c r="G13" s="179" t="str">
        <f>IF(LEN(H13)&gt;4,CONCATENATE(LEFT(H13,4)-1&amp;"–"&amp;IF(RIGHT(H13,2)="00","99",IF(RIGHT(H13,2)-1&lt;10,"0","")&amp;RIGHT(H13,2)-1)),H13-1)</f>
        <v>2022–23</v>
      </c>
      <c r="H13" s="179" t="str">
        <f>IF(LEN(D9)&gt;4,CONCATENATE(LEFT(D9,4)-1&amp;"–"&amp;IF(RIGHT(D9,2)="00","99",IF(RIGHT(D9,2)-1&lt;10,"0","")&amp;RIGHT(D9,2)-1)),D9-1)</f>
        <v>2023–24</v>
      </c>
      <c r="J13" s="77"/>
      <c r="K13" s="77"/>
      <c r="L13" s="77"/>
      <c r="M13" s="77"/>
    </row>
    <row r="14" spans="1:13" s="68" customFormat="1" ht="11.25" customHeight="1">
      <c r="C14" s="67" t="s">
        <v>1</v>
      </c>
      <c r="D14" s="151" t="s">
        <v>8</v>
      </c>
      <c r="E14" s="151" t="s">
        <v>8</v>
      </c>
      <c r="F14" s="151" t="s">
        <v>8</v>
      </c>
      <c r="G14" s="151" t="s">
        <v>8</v>
      </c>
      <c r="H14" s="151" t="s">
        <v>8</v>
      </c>
      <c r="J14" s="77"/>
      <c r="K14" s="77"/>
      <c r="L14" s="77"/>
      <c r="M14" s="77"/>
    </row>
    <row r="15" spans="1:13" s="68" customFormat="1" ht="11.25" customHeight="1">
      <c r="C15" s="67" t="s">
        <v>2</v>
      </c>
      <c r="D15" s="151" t="s">
        <v>7</v>
      </c>
      <c r="E15" s="151" t="s">
        <v>7</v>
      </c>
      <c r="F15" s="151" t="s">
        <v>7</v>
      </c>
      <c r="G15" s="151" t="s">
        <v>29</v>
      </c>
      <c r="H15" s="151" t="s">
        <v>29</v>
      </c>
      <c r="J15" s="77"/>
      <c r="K15" s="77"/>
      <c r="L15" s="77"/>
      <c r="M15" s="77"/>
    </row>
    <row r="16" spans="1:13" s="68" customFormat="1" ht="11.25" customHeight="1">
      <c r="C16" s="67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8" customFormat="1" ht="11.25" customHeight="1">
      <c r="C17" s="67"/>
      <c r="D17" s="69" t="s">
        <v>63</v>
      </c>
      <c r="E17" s="69" t="s">
        <v>64</v>
      </c>
      <c r="F17" s="69" t="s">
        <v>65</v>
      </c>
      <c r="G17" s="69" t="s">
        <v>66</v>
      </c>
      <c r="H17" s="69" t="s">
        <v>67</v>
      </c>
      <c r="J17" s="77"/>
      <c r="K17" s="77"/>
      <c r="L17" s="77"/>
      <c r="M17" s="77"/>
    </row>
    <row r="18" spans="1:13" s="68" customFormat="1" ht="11.25" customHeight="1">
      <c r="C18" s="67" t="s">
        <v>62</v>
      </c>
      <c r="D18" s="191" t="str">
        <f>D9</f>
        <v>2024-25</v>
      </c>
      <c r="E18" s="191" t="str">
        <f>IF(LEN(D18)&gt;4,CONCATENATE(LEFT(D18,4)+1&amp;"–"&amp;IF(RIGHT(D18,2)+1&gt;9,"","0")&amp;RIGHT(D18,2)+1),D18+1)</f>
        <v>2025–26</v>
      </c>
      <c r="F18" s="191" t="str">
        <f t="shared" ref="F18:H18" si="1">IF(LEN(E18)&gt;4,CONCATENATE(LEFT(E18,4)+1&amp;"–"&amp;IF(RIGHT(E18,2)+1&gt;9,"","0")&amp;RIGHT(E18,2)+1),E18+1)</f>
        <v>2026–27</v>
      </c>
      <c r="G18" s="191" t="str">
        <f t="shared" si="1"/>
        <v>2027–28</v>
      </c>
      <c r="H18" s="191" t="str">
        <f t="shared" si="1"/>
        <v>2028–29</v>
      </c>
      <c r="J18" s="77"/>
      <c r="K18" s="77"/>
      <c r="L18" s="77"/>
      <c r="M18" s="77"/>
    </row>
    <row r="19" spans="1:13" s="68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8" customFormat="1" ht="11.25" customHeight="1">
      <c r="J20" s="77"/>
      <c r="K20" s="77"/>
      <c r="L20" s="77"/>
      <c r="M20" s="77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H12" sqref="H12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2" width="12.6640625" style="11" customWidth="1"/>
    <col min="13" max="13" width="12.5546875" style="22" customWidth="1"/>
    <col min="14" max="16" width="12.6640625" style="24" customWidth="1"/>
    <col min="17" max="18" width="2.88671875" style="24" customWidth="1"/>
    <col min="19" max="32" width="12.6640625" style="24" hidden="1" customWidth="1"/>
    <col min="33" max="16384" width="9.109375" style="24" hidden="1"/>
  </cols>
  <sheetData>
    <row r="1" spans="1:20" s="11" customFormat="1" ht="18" customHeight="1">
      <c r="B1" s="3" t="str">
        <f>'Input | General'!$B$1</f>
        <v>Ausgrid Tx 2024-29 Regulatory Proposal - Capital expenditure sharing scheme model</v>
      </c>
      <c r="D1" s="12"/>
      <c r="E1" s="12"/>
      <c r="F1" s="12"/>
      <c r="G1" s="102"/>
      <c r="H1" s="103" t="s">
        <v>47</v>
      </c>
      <c r="I1" s="150" t="s">
        <v>48</v>
      </c>
      <c r="J1" s="154" t="s">
        <v>36</v>
      </c>
      <c r="K1" s="146"/>
      <c r="N1" s="104"/>
      <c r="O1" s="77"/>
      <c r="P1" s="77"/>
      <c r="Q1" s="77"/>
      <c r="R1" s="77"/>
      <c r="S1" s="77"/>
      <c r="T1" s="77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79" customFormat="1" ht="12.75" customHeight="1">
      <c r="C4" s="29" t="s">
        <v>43</v>
      </c>
      <c r="D4" s="80"/>
      <c r="E4" s="80"/>
      <c r="F4" s="80"/>
      <c r="M4" s="81"/>
    </row>
    <row r="5" spans="1:20" ht="11.25" customHeight="1">
      <c r="A5" s="11"/>
      <c r="B5" s="11"/>
      <c r="C5" s="16"/>
      <c r="D5" s="77"/>
      <c r="E5" s="77"/>
      <c r="F5" s="77"/>
      <c r="N5" s="11"/>
    </row>
    <row r="6" spans="1:20" ht="11.25" customHeight="1">
      <c r="A6" s="11"/>
      <c r="B6" s="11"/>
      <c r="C6" s="16"/>
      <c r="D6" s="73" t="s">
        <v>6</v>
      </c>
      <c r="E6" s="73" t="s">
        <v>52</v>
      </c>
      <c r="F6" s="73"/>
      <c r="N6" s="11"/>
    </row>
    <row r="7" spans="1:20" ht="11.25" customHeight="1">
      <c r="A7" s="11"/>
      <c r="B7" s="11"/>
      <c r="C7" s="16"/>
      <c r="D7" s="77"/>
      <c r="E7" s="77"/>
      <c r="F7" s="167" t="str">
        <f>IF(LEN(G7)&gt;4,CONCATENATE(LEFT(G7,4)-1&amp;"–"&amp;IF(RIGHT(G7,2)="00","99",IF(RIGHT(G7,2)-1&lt;10,"0","")&amp;RIGHT(G7,2)-1)),G7-1)</f>
        <v>2018–19</v>
      </c>
      <c r="G7" s="166" t="str">
        <f>'Input | General'!D13</f>
        <v>2019–20</v>
      </c>
      <c r="H7" s="166" t="str">
        <f>'Input | General'!E13</f>
        <v>2020–21</v>
      </c>
      <c r="I7" s="166" t="str">
        <f>'Input | General'!F13</f>
        <v>2021–22</v>
      </c>
      <c r="J7" s="166" t="str">
        <f>'Input | General'!G13</f>
        <v>2022–23</v>
      </c>
      <c r="K7" s="166" t="str">
        <f>'Input | General'!H13</f>
        <v>2023–24</v>
      </c>
      <c r="L7" s="166" t="str">
        <f>'Input | General'!D18</f>
        <v>2024-25</v>
      </c>
      <c r="M7" s="166" t="str">
        <f>'Input | General'!E18</f>
        <v>2025–26</v>
      </c>
      <c r="N7" s="166" t="str">
        <f>'Input | General'!F18</f>
        <v>2026–27</v>
      </c>
      <c r="O7" s="166" t="str">
        <f>'Input | General'!G18</f>
        <v>2027–28</v>
      </c>
      <c r="P7" s="166" t="str">
        <f>'Input | General'!H18</f>
        <v>2028–29</v>
      </c>
    </row>
    <row r="8" spans="1:20" ht="11.25" customHeight="1">
      <c r="A8" s="11"/>
      <c r="B8" s="11"/>
      <c r="C8" s="78" t="s">
        <v>81</v>
      </c>
      <c r="D8" s="76" t="s">
        <v>100</v>
      </c>
      <c r="E8" s="76" t="s">
        <v>51</v>
      </c>
      <c r="F8" s="76"/>
      <c r="G8" s="190">
        <v>1.8404907975460016E-2</v>
      </c>
      <c r="H8" s="190">
        <v>8.6058519793459354E-3</v>
      </c>
      <c r="I8" s="190">
        <v>3.498293515358375E-2</v>
      </c>
      <c r="J8" s="190">
        <v>0.08</v>
      </c>
      <c r="K8" s="190">
        <v>4.7500000000000001E-2</v>
      </c>
      <c r="L8" s="84"/>
      <c r="M8" s="84"/>
      <c r="N8" s="84"/>
      <c r="O8" s="84"/>
      <c r="P8" s="84"/>
    </row>
    <row r="9" spans="1:20" ht="11.25" customHeight="1">
      <c r="A9" s="11"/>
      <c r="B9" s="11"/>
      <c r="C9" s="78" t="s">
        <v>82</v>
      </c>
      <c r="D9" s="76" t="s">
        <v>100</v>
      </c>
      <c r="E9" s="76" t="s">
        <v>51</v>
      </c>
      <c r="F9" s="76"/>
      <c r="G9" s="126"/>
      <c r="H9" s="126"/>
      <c r="I9" s="126"/>
      <c r="J9" s="126"/>
      <c r="K9" s="126"/>
      <c r="L9" s="190">
        <v>2.8746582610921667E-2</v>
      </c>
      <c r="M9" s="194">
        <f t="shared" ref="M9:P9" si="0">L9</f>
        <v>2.8746582610921667E-2</v>
      </c>
      <c r="N9" s="194">
        <f t="shared" si="0"/>
        <v>2.8746582610921667E-2</v>
      </c>
      <c r="O9" s="194">
        <f t="shared" si="0"/>
        <v>2.8746582610921667E-2</v>
      </c>
      <c r="P9" s="194">
        <f t="shared" si="0"/>
        <v>2.8746582610921667E-2</v>
      </c>
    </row>
    <row r="10" spans="1:20" ht="11.25" customHeight="1">
      <c r="A10" s="11"/>
      <c r="B10" s="11"/>
      <c r="C10" s="133" t="str">
        <f>"CPI Index (base year "&amp;F7&amp;")"</f>
        <v>CPI Index (base year 2018–19)</v>
      </c>
      <c r="D10" s="76" t="s">
        <v>100</v>
      </c>
      <c r="E10" s="76" t="s">
        <v>30</v>
      </c>
      <c r="F10" s="192">
        <v>1</v>
      </c>
      <c r="G10" s="193">
        <f>IF(G7&lt;&gt;"",(F10*(1+G8)),"")</f>
        <v>1.01840490797546</v>
      </c>
      <c r="H10" s="193">
        <f>IF(H7&lt;&gt;"",(G10*(1+H8)),"")</f>
        <v>1.0271691498685362</v>
      </c>
      <c r="I10" s="193">
        <f>IF(I7&lt;&gt;"",(H10*(1+I8)),"")</f>
        <v>1.0631025416301489</v>
      </c>
      <c r="J10" s="193">
        <f>IF(J7&lt;&gt;"",(I10*(1+J8)),"")</f>
        <v>1.148150744960561</v>
      </c>
      <c r="K10" s="193">
        <f>IF(K7&lt;&gt;"",(J10*(1+K8)),"")</f>
        <v>1.2026879053461879</v>
      </c>
      <c r="L10" s="193">
        <f t="shared" ref="L10:P10" si="1">IF(L7&lt;&gt;"",(K10*(1+L9)),"")</f>
        <v>1.2372610725723785</v>
      </c>
      <c r="M10" s="193">
        <f t="shared" si="1"/>
        <v>1.2728281002063579</v>
      </c>
      <c r="N10" s="193">
        <f t="shared" si="1"/>
        <v>1.3094175583384424</v>
      </c>
      <c r="O10" s="193">
        <f t="shared" si="1"/>
        <v>1.3470588383514097</v>
      </c>
      <c r="P10" s="193">
        <f t="shared" si="1"/>
        <v>1.3857821765298506</v>
      </c>
    </row>
    <row r="11" spans="1:20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7"/>
      <c r="L11" s="127"/>
      <c r="M11" s="127"/>
      <c r="N11" s="127"/>
      <c r="O11" s="127"/>
      <c r="P11" s="127"/>
    </row>
    <row r="12" spans="1:20" ht="11.25" customHeight="1">
      <c r="A12" s="11"/>
      <c r="B12" s="11"/>
      <c r="C12" s="78"/>
      <c r="D12" s="76"/>
      <c r="E12" s="76"/>
      <c r="F12" s="76"/>
      <c r="G12" s="123"/>
      <c r="H12" s="123"/>
      <c r="I12" s="123"/>
      <c r="J12" s="123"/>
      <c r="K12" s="24"/>
      <c r="L12" s="24"/>
      <c r="M12" s="24"/>
    </row>
    <row r="13" spans="1:20" ht="11.25" customHeight="1">
      <c r="A13" s="11"/>
      <c r="B13" s="11"/>
      <c r="C13" s="78" t="s">
        <v>81</v>
      </c>
      <c r="D13" s="76" t="s">
        <v>49</v>
      </c>
      <c r="E13" s="76" t="s">
        <v>51</v>
      </c>
      <c r="F13" s="76"/>
      <c r="G13" s="190">
        <v>1.8404907975460016E-2</v>
      </c>
      <c r="H13" s="190">
        <v>8.6058519793459354E-3</v>
      </c>
      <c r="I13" s="190">
        <v>3.498293515358375E-2</v>
      </c>
      <c r="J13" s="190">
        <v>0.08</v>
      </c>
      <c r="K13" s="190">
        <v>4.7500000000000001E-2</v>
      </c>
      <c r="L13" s="182"/>
      <c r="M13" s="182"/>
      <c r="N13" s="182"/>
      <c r="O13" s="182"/>
      <c r="P13" s="182"/>
    </row>
    <row r="14" spans="1:20" ht="11.25" customHeight="1">
      <c r="A14" s="11"/>
      <c r="B14" s="11"/>
      <c r="C14" s="78" t="s">
        <v>82</v>
      </c>
      <c r="D14" s="76" t="s">
        <v>49</v>
      </c>
      <c r="E14" s="76" t="s">
        <v>51</v>
      </c>
      <c r="F14" s="76"/>
      <c r="G14" s="84"/>
      <c r="H14" s="84"/>
      <c r="I14" s="84"/>
      <c r="J14" s="127"/>
      <c r="K14" s="127"/>
      <c r="L14" s="190">
        <v>2.8746582610921667E-2</v>
      </c>
      <c r="M14" s="194">
        <f t="shared" ref="M14:P14" si="2">L14</f>
        <v>2.8746582610921667E-2</v>
      </c>
      <c r="N14" s="194">
        <f t="shared" si="2"/>
        <v>2.8746582610921667E-2</v>
      </c>
      <c r="O14" s="194">
        <f t="shared" si="2"/>
        <v>2.8746582610921667E-2</v>
      </c>
      <c r="P14" s="194">
        <f t="shared" si="2"/>
        <v>2.8746582610921667E-2</v>
      </c>
    </row>
    <row r="15" spans="1:20" ht="11.25" customHeight="1">
      <c r="A15" s="11"/>
      <c r="B15" s="11"/>
      <c r="C15" s="133" t="str">
        <f>"CPI Index (base year "&amp;F7&amp;")"</f>
        <v>CPI Index (base year 2018–19)</v>
      </c>
      <c r="D15" s="76" t="s">
        <v>49</v>
      </c>
      <c r="E15" s="76" t="s">
        <v>30</v>
      </c>
      <c r="F15" s="192">
        <v>1</v>
      </c>
      <c r="G15" s="193">
        <f>IF(G7&lt;&gt;"",(F15*(1+G13)),"")</f>
        <v>1.01840490797546</v>
      </c>
      <c r="H15" s="193">
        <f>IF(H7&lt;&gt;"",(G15*(1+H13)),"")</f>
        <v>1.0271691498685362</v>
      </c>
      <c r="I15" s="193">
        <f>IF(I7&lt;&gt;"",(H15*(1+I13)),"")</f>
        <v>1.0631025416301489</v>
      </c>
      <c r="J15" s="195">
        <f>IF(J7&lt;&gt;"",(I15*(1+J13)),"")</f>
        <v>1.148150744960561</v>
      </c>
      <c r="K15" s="195">
        <f>IF(K7&lt;&gt;"",(J15*(1+K13)),"")</f>
        <v>1.2026879053461879</v>
      </c>
      <c r="L15" s="195">
        <f t="shared" ref="L15:P15" si="3">IF(L7&lt;&gt;"",(K15*(1+L14)),"")</f>
        <v>1.2372610725723785</v>
      </c>
      <c r="M15" s="195">
        <f t="shared" si="3"/>
        <v>1.2728281002063579</v>
      </c>
      <c r="N15" s="195">
        <f t="shared" si="3"/>
        <v>1.3094175583384424</v>
      </c>
      <c r="O15" s="195">
        <f t="shared" si="3"/>
        <v>1.3470588383514097</v>
      </c>
      <c r="P15" s="195">
        <f t="shared" si="3"/>
        <v>1.3857821765298506</v>
      </c>
    </row>
    <row r="16" spans="1:20" s="125" customFormat="1" ht="11.25" customHeight="1">
      <c r="A16" s="2"/>
      <c r="B16" s="2"/>
      <c r="C16" s="78"/>
      <c r="D16" s="124"/>
      <c r="E16" s="124"/>
      <c r="F16" s="124"/>
      <c r="G16" s="84"/>
      <c r="H16" s="84"/>
      <c r="I16" s="84"/>
      <c r="J16" s="127"/>
      <c r="K16" s="183"/>
      <c r="L16" s="183"/>
      <c r="M16" s="183"/>
      <c r="N16" s="183"/>
      <c r="O16" s="183"/>
      <c r="P16" s="183"/>
    </row>
    <row r="17" spans="1:16" s="79" customFormat="1" ht="12.75" customHeight="1">
      <c r="C17" s="29" t="s">
        <v>68</v>
      </c>
      <c r="D17" s="80"/>
      <c r="E17" s="80"/>
      <c r="F17" s="80"/>
      <c r="J17" s="184"/>
      <c r="K17" s="184"/>
      <c r="L17" s="184"/>
      <c r="M17" s="185"/>
      <c r="N17" s="184"/>
      <c r="O17" s="184"/>
      <c r="P17" s="184"/>
    </row>
    <row r="18" spans="1:16" ht="11.25" customHeight="1">
      <c r="A18" s="16"/>
      <c r="B18" s="77"/>
      <c r="C18" s="77"/>
      <c r="D18" s="77"/>
      <c r="E18" s="77"/>
      <c r="F18" s="73"/>
      <c r="J18" s="14"/>
      <c r="K18" s="14"/>
      <c r="L18" s="14"/>
      <c r="M18" s="186"/>
      <c r="N18" s="14"/>
      <c r="O18" s="187"/>
      <c r="P18" s="187"/>
    </row>
    <row r="19" spans="1:16" ht="11.25" customHeight="1">
      <c r="C19" s="16"/>
      <c r="D19" s="73" t="s">
        <v>6</v>
      </c>
      <c r="E19" s="73" t="s">
        <v>52</v>
      </c>
      <c r="F19" s="77"/>
      <c r="G19" s="166" t="str">
        <f>G7</f>
        <v>2019–20</v>
      </c>
      <c r="H19" s="166" t="str">
        <f t="shared" ref="H19:P19" si="4">H7</f>
        <v>2020–21</v>
      </c>
      <c r="I19" s="166" t="str">
        <f t="shared" si="4"/>
        <v>2021–22</v>
      </c>
      <c r="J19" s="188" t="str">
        <f t="shared" si="4"/>
        <v>2022–23</v>
      </c>
      <c r="K19" s="188" t="str">
        <f t="shared" si="4"/>
        <v>2023–24</v>
      </c>
      <c r="L19" s="188" t="str">
        <f t="shared" si="4"/>
        <v>2024-25</v>
      </c>
      <c r="M19" s="188" t="str">
        <f t="shared" si="4"/>
        <v>2025–26</v>
      </c>
      <c r="N19" s="188" t="str">
        <f t="shared" si="4"/>
        <v>2026–27</v>
      </c>
      <c r="O19" s="188" t="str">
        <f t="shared" si="4"/>
        <v>2027–28</v>
      </c>
      <c r="P19" s="188" t="str">
        <f t="shared" si="4"/>
        <v>2028–29</v>
      </c>
    </row>
    <row r="20" spans="1:16" ht="11.25" customHeight="1">
      <c r="C20" s="78" t="s">
        <v>10</v>
      </c>
      <c r="D20" s="76" t="s">
        <v>49</v>
      </c>
      <c r="E20" s="76" t="s">
        <v>51</v>
      </c>
      <c r="F20" s="77"/>
      <c r="G20" s="190">
        <v>3.2190287615158963E-2</v>
      </c>
      <c r="H20" s="190">
        <v>3.0060653438764184E-2</v>
      </c>
      <c r="I20" s="190">
        <v>2.7489978671470627E-2</v>
      </c>
      <c r="J20" s="190">
        <v>2.5667411537982909E-2</v>
      </c>
      <c r="K20" s="190">
        <v>2.5532227657772077E-2</v>
      </c>
      <c r="L20" s="127"/>
      <c r="M20" s="127"/>
      <c r="N20" s="127"/>
      <c r="O20" s="127"/>
      <c r="P20" s="127"/>
    </row>
    <row r="21" spans="1:16" ht="11.25" customHeight="1">
      <c r="C21" s="145" t="s">
        <v>95</v>
      </c>
      <c r="D21" s="76" t="s">
        <v>49</v>
      </c>
      <c r="E21" s="76" t="s">
        <v>51</v>
      </c>
      <c r="F21" s="77"/>
      <c r="G21" s="77"/>
      <c r="H21" s="77"/>
      <c r="I21" s="77"/>
      <c r="J21" s="189"/>
      <c r="K21" s="189"/>
      <c r="L21" s="190">
        <v>2.7663814432180002E-2</v>
      </c>
      <c r="M21" s="190">
        <v>2.8145029748256126E-2</v>
      </c>
      <c r="N21" s="190">
        <v>2.8881015938879574E-2</v>
      </c>
      <c r="O21" s="190">
        <v>2.964324179575524E-2</v>
      </c>
      <c r="P21" s="190">
        <v>3.0536354248023256E-2</v>
      </c>
    </row>
    <row r="22" spans="1:16" ht="11.25" customHeight="1">
      <c r="C22" s="78" t="s">
        <v>69</v>
      </c>
      <c r="D22" s="76" t="s">
        <v>60</v>
      </c>
      <c r="E22" s="76" t="s">
        <v>51</v>
      </c>
      <c r="F22" s="77"/>
      <c r="G22" s="196">
        <f>IF(AND(G13&lt;&gt;"",G20&lt;&gt;""),((1+G20)*(1+G13)-1),"")</f>
        <v>5.1187654871879484E-2</v>
      </c>
      <c r="H22" s="196">
        <f>IF(AND(H13&lt;&gt;"",H20&lt;&gt;""),((1+H20)*(1+H13)-1),"")</f>
        <v>3.8925202952006632E-2</v>
      </c>
      <c r="I22" s="196">
        <f>IF(AND(I13&lt;&gt;"",I20&lt;&gt;""),((1+I20)*(1+I13)-1),"")</f>
        <v>6.3434593966291919E-2</v>
      </c>
      <c r="J22" s="196">
        <f>IF(AND(J13&lt;&gt;"",J20&lt;&gt;""),((1+J20)*(1+J13)-1),"")</f>
        <v>0.10772080446102161</v>
      </c>
      <c r="K22" s="196">
        <f>IF(AND(K13&lt;&gt;"",K20&lt;&gt;""),((1+K20)*(1+K13)-1),"")</f>
        <v>7.4245008471516272E-2</v>
      </c>
      <c r="L22" s="196">
        <f>IF(AND(L14&lt;&gt;"",L21&lt;&gt;""),((1+L21)*(1+L14)-1),"")</f>
        <v>5.7205637170009371E-2</v>
      </c>
      <c r="M22" s="196">
        <f t="shared" ref="M22:P22" si="5">IF(AND(M14&lt;&gt;"",M21&lt;&gt;""),((1+M21)*(1+M14)-1),"")</f>
        <v>5.7700685781922889E-2</v>
      </c>
      <c r="N22" s="196">
        <f t="shared" si="5"/>
        <v>5.8457829060375444E-2</v>
      </c>
      <c r="O22" s="196">
        <f t="shared" si="5"/>
        <v>5.9241966305814131E-2</v>
      </c>
      <c r="P22" s="196">
        <f t="shared" si="5"/>
        <v>6.016075268897203E-2</v>
      </c>
    </row>
    <row r="23" spans="1:16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3"/>
      <c r="H25" s="83"/>
      <c r="I25" s="83"/>
      <c r="J25" s="83"/>
      <c r="K25" s="83"/>
      <c r="L25" s="83"/>
      <c r="M25" s="83"/>
    </row>
    <row r="26" spans="1:16" ht="18" hidden="1" customHeight="1">
      <c r="G26" s="83"/>
      <c r="H26" s="83"/>
      <c r="I26" s="83"/>
      <c r="J26" s="83"/>
      <c r="K26" s="83"/>
      <c r="L26" s="83"/>
      <c r="M26" s="83"/>
    </row>
    <row r="27" spans="1:16" ht="18" hidden="1" customHeight="1">
      <c r="G27" s="83"/>
      <c r="H27" s="83"/>
      <c r="I27" s="83"/>
      <c r="J27" s="83"/>
      <c r="K27" s="83"/>
      <c r="L27" s="83"/>
      <c r="M27" s="83"/>
    </row>
    <row r="28" spans="1:16" ht="18" hidden="1" customHeight="1">
      <c r="G28" s="83"/>
      <c r="H28" s="83"/>
      <c r="I28" s="83"/>
      <c r="J28" s="83"/>
      <c r="K28" s="83"/>
      <c r="L28" s="83"/>
      <c r="M28" s="83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workbookViewId="0">
      <selection activeCell="H29" sqref="H29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15.886718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Ausgrid Tx 2024-29 Regulatory Proposal - Capital expenditure sharing scheme model</v>
      </c>
      <c r="D1" s="12"/>
      <c r="E1" s="12"/>
      <c r="F1" s="12"/>
      <c r="G1" s="12"/>
      <c r="H1" s="102"/>
      <c r="I1" s="103" t="s">
        <v>47</v>
      </c>
      <c r="J1" s="150" t="s">
        <v>48</v>
      </c>
      <c r="K1" s="154" t="s">
        <v>36</v>
      </c>
      <c r="L1" s="77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6"/>
      <c r="E5" s="66"/>
      <c r="F5" s="66"/>
      <c r="G5" s="66"/>
    </row>
    <row r="6" spans="2:14" s="66" customFormat="1" ht="10.5" customHeight="1">
      <c r="D6" s="73" t="s">
        <v>6</v>
      </c>
      <c r="E6" s="73" t="s">
        <v>52</v>
      </c>
      <c r="F6" s="73" t="s">
        <v>4</v>
      </c>
      <c r="G6" s="63"/>
      <c r="H6" s="168" t="str">
        <f>IF('Input | General'!D14="Yes",'Input | General'!D13,"n/a")</f>
        <v>2019–20</v>
      </c>
      <c r="I6" s="168" t="str">
        <f>IF('Input | General'!E14="Yes",'Input | General'!E13,"n/a")</f>
        <v>2020–21</v>
      </c>
      <c r="J6" s="168" t="str">
        <f>IF('Input | General'!F14="Yes",'Input | General'!F13,"n/a")</f>
        <v>2021–22</v>
      </c>
      <c r="K6" s="168" t="str">
        <f>IF('Input | General'!G14="Yes",'Input | General'!G13,"n/a")</f>
        <v>2022–23</v>
      </c>
      <c r="L6" s="168" t="str">
        <f>IF('Input | General'!H14="Yes",'Input | General'!H13,"n/a")</f>
        <v>2023–24</v>
      </c>
      <c r="M6" s="105"/>
      <c r="N6" s="105"/>
    </row>
    <row r="7" spans="2:14" s="66" customFormat="1" ht="10.5" customHeight="1">
      <c r="H7" s="201"/>
      <c r="I7" s="201"/>
      <c r="J7" s="201"/>
      <c r="K7" s="201"/>
      <c r="L7" s="201"/>
      <c r="M7" s="105"/>
      <c r="N7" s="105"/>
    </row>
    <row r="8" spans="2:14" ht="10.5" customHeight="1">
      <c r="C8" s="78" t="s">
        <v>3</v>
      </c>
      <c r="D8" s="76" t="s">
        <v>49</v>
      </c>
      <c r="E8" s="76" t="s">
        <v>50</v>
      </c>
      <c r="F8" s="170" t="str">
        <f>'Input | Inflation and Disc Rate'!$F$7</f>
        <v>2018–19</v>
      </c>
      <c r="G8" s="66"/>
      <c r="H8" s="152">
        <v>62.393736375040255</v>
      </c>
      <c r="I8" s="152">
        <v>59.565724762295829</v>
      </c>
      <c r="J8" s="152">
        <v>46.183205017069284</v>
      </c>
      <c r="K8" s="152">
        <v>60.844116994057131</v>
      </c>
      <c r="L8" s="152">
        <v>56.714558406141016</v>
      </c>
      <c r="M8" s="2"/>
      <c r="N8" s="2"/>
    </row>
    <row r="9" spans="2:14" ht="10.5" customHeight="1">
      <c r="C9" s="78" t="s">
        <v>97</v>
      </c>
      <c r="D9" s="76" t="s">
        <v>49</v>
      </c>
      <c r="E9" s="76" t="s">
        <v>50</v>
      </c>
      <c r="F9" s="170" t="str">
        <f>'Input | Inflation and Disc Rate'!$F$7</f>
        <v>2018–19</v>
      </c>
      <c r="G9" s="66"/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2"/>
      <c r="N9" s="2"/>
    </row>
    <row r="10" spans="2:14" ht="10.5" customHeight="1">
      <c r="C10" s="78" t="s">
        <v>91</v>
      </c>
      <c r="D10" s="76" t="s">
        <v>49</v>
      </c>
      <c r="E10" s="76" t="s">
        <v>50</v>
      </c>
      <c r="F10" s="170" t="str">
        <f>'Input | Inflation and Disc Rate'!$F$7</f>
        <v>2018–19</v>
      </c>
      <c r="G10" s="66"/>
      <c r="H10" s="152">
        <v>0.36476538287519505</v>
      </c>
      <c r="I10" s="152">
        <v>0.28534838459807987</v>
      </c>
      <c r="J10" s="152">
        <v>6.4064977161566965</v>
      </c>
      <c r="K10" s="152">
        <v>0.22844549004937756</v>
      </c>
      <c r="L10" s="152">
        <v>0.1763475713679937</v>
      </c>
      <c r="M10" s="2"/>
      <c r="N10" s="2"/>
    </row>
    <row r="11" spans="2:14" s="66" customFormat="1" ht="10.5" customHeight="1">
      <c r="H11" s="65"/>
      <c r="I11" s="65"/>
      <c r="J11" s="65"/>
      <c r="K11" s="65"/>
      <c r="L11" s="65"/>
      <c r="M11" s="105"/>
      <c r="N11" s="105"/>
    </row>
    <row r="12" spans="2:14" ht="10.5" customHeight="1">
      <c r="C12" s="75" t="s">
        <v>5</v>
      </c>
      <c r="D12" s="74" t="s">
        <v>60</v>
      </c>
      <c r="E12" s="169" t="s">
        <v>50</v>
      </c>
      <c r="F12" s="200" t="str">
        <f>'Input | Inflation and Disc Rate'!$F$7</f>
        <v>2018–19</v>
      </c>
      <c r="G12" s="66"/>
      <c r="H12" s="198">
        <f>IF(H6="", "", H8-H9-H10)</f>
        <v>62.028970992165057</v>
      </c>
      <c r="I12" s="198">
        <f t="shared" ref="I12:L12" si="0">IF(I6="", "", I8-I9-I10)</f>
        <v>59.280376377697749</v>
      </c>
      <c r="J12" s="198">
        <f t="shared" si="0"/>
        <v>39.776707300912591</v>
      </c>
      <c r="K12" s="198">
        <f t="shared" si="0"/>
        <v>60.615671504007757</v>
      </c>
      <c r="L12" s="198">
        <f t="shared" si="0"/>
        <v>56.538210834773025</v>
      </c>
      <c r="M12" s="2"/>
      <c r="N12" s="2"/>
    </row>
    <row r="13" spans="2:14" ht="10.5" customHeight="1">
      <c r="D13" s="66"/>
      <c r="E13" s="66"/>
      <c r="F13" s="66"/>
      <c r="G13" s="66"/>
      <c r="M13" s="70"/>
      <c r="N13" s="70"/>
    </row>
    <row r="14" spans="2:14" s="8" customFormat="1" ht="12.75" customHeight="1">
      <c r="B14" s="72" t="s">
        <v>41</v>
      </c>
      <c r="D14" s="18"/>
      <c r="E14" s="18"/>
      <c r="F14" s="18"/>
      <c r="G14" s="18"/>
    </row>
    <row r="15" spans="2:14" s="2" customFormat="1" ht="10.5" customHeight="1">
      <c r="B15" s="71"/>
      <c r="D15" s="21"/>
      <c r="E15" s="21"/>
      <c r="F15" s="21"/>
      <c r="G15" s="21"/>
    </row>
    <row r="16" spans="2:14" s="2" customFormat="1" ht="10.5" customHeight="1">
      <c r="B16" s="71"/>
      <c r="C16" s="66"/>
      <c r="D16" s="73" t="s">
        <v>6</v>
      </c>
      <c r="E16" s="73" t="s">
        <v>52</v>
      </c>
      <c r="F16" s="73" t="s">
        <v>4</v>
      </c>
      <c r="G16" s="63"/>
      <c r="H16" s="168" t="str">
        <f>H6</f>
        <v>2019–20</v>
      </c>
      <c r="I16" s="168" t="str">
        <f t="shared" ref="I16:L16" si="1">I6</f>
        <v>2020–21</v>
      </c>
      <c r="J16" s="168" t="str">
        <f t="shared" si="1"/>
        <v>2021–22</v>
      </c>
      <c r="K16" s="168" t="str">
        <f t="shared" si="1"/>
        <v>2022–23</v>
      </c>
      <c r="L16" s="168" t="str">
        <f t="shared" si="1"/>
        <v>2023–24</v>
      </c>
      <c r="M16" s="105"/>
      <c r="N16" s="105"/>
    </row>
    <row r="17" spans="2:14" s="2" customFormat="1" ht="10.5" customHeight="1">
      <c r="B17" s="71"/>
      <c r="C17" s="66"/>
      <c r="D17" s="66"/>
      <c r="E17" s="66"/>
      <c r="F17" s="66"/>
      <c r="G17" s="66"/>
      <c r="H17" s="201"/>
      <c r="I17" s="201"/>
      <c r="J17" s="201"/>
      <c r="K17" s="201"/>
      <c r="L17" s="201"/>
      <c r="M17" s="105"/>
      <c r="N17" s="105"/>
    </row>
    <row r="18" spans="2:14" s="2" customFormat="1" ht="10.5" customHeight="1">
      <c r="B18" s="71"/>
      <c r="C18" s="78" t="s">
        <v>77</v>
      </c>
      <c r="D18" s="76" t="s">
        <v>49</v>
      </c>
      <c r="E18" s="76" t="s">
        <v>50</v>
      </c>
      <c r="F18" s="76" t="s">
        <v>53</v>
      </c>
      <c r="G18" s="66"/>
      <c r="H18" s="222">
        <v>62.000277893704528</v>
      </c>
      <c r="I18" s="222">
        <v>48.674554353433294</v>
      </c>
      <c r="J18" s="222">
        <v>59.409239384243278</v>
      </c>
      <c r="K18" s="222">
        <v>77.23719333999999</v>
      </c>
      <c r="L18" s="222">
        <v>85.888349009999999</v>
      </c>
    </row>
    <row r="19" spans="2:14" s="2" customFormat="1" ht="10.5" customHeight="1">
      <c r="B19" s="71"/>
      <c r="C19" s="78" t="s">
        <v>97</v>
      </c>
      <c r="D19" s="76" t="s">
        <v>49</v>
      </c>
      <c r="E19" s="76" t="s">
        <v>50</v>
      </c>
      <c r="F19" s="76" t="s">
        <v>53</v>
      </c>
      <c r="G19" s="135"/>
      <c r="H19" s="153">
        <v>0</v>
      </c>
      <c r="I19" s="152">
        <v>0</v>
      </c>
      <c r="J19" s="152">
        <v>0</v>
      </c>
      <c r="K19" s="152">
        <v>0</v>
      </c>
      <c r="L19" s="152">
        <v>0</v>
      </c>
    </row>
    <row r="20" spans="2:14" s="2" customFormat="1" ht="10.5" customHeight="1">
      <c r="B20" s="71"/>
      <c r="C20" s="134" t="s">
        <v>91</v>
      </c>
      <c r="D20" s="76" t="s">
        <v>49</v>
      </c>
      <c r="E20" s="76" t="s">
        <v>50</v>
      </c>
      <c r="F20" s="76" t="s">
        <v>53</v>
      </c>
      <c r="G20" s="135"/>
      <c r="H20" s="153">
        <v>0.42656718386405756</v>
      </c>
      <c r="I20" s="152">
        <v>0.83548625999999993</v>
      </c>
      <c r="J20" s="152">
        <v>20.549794409999997</v>
      </c>
      <c r="K20" s="152">
        <v>18.626847650513714</v>
      </c>
      <c r="L20" s="152">
        <v>0.42331289034366598</v>
      </c>
    </row>
    <row r="21" spans="2:14" s="2" customFormat="1" ht="10.5" customHeight="1">
      <c r="B21" s="71"/>
      <c r="C21" s="147" t="s">
        <v>96</v>
      </c>
      <c r="D21" s="76" t="s">
        <v>49</v>
      </c>
      <c r="E21" s="76" t="s">
        <v>50</v>
      </c>
      <c r="F21" s="76" t="s">
        <v>53</v>
      </c>
      <c r="G21" s="66"/>
      <c r="H21" s="222">
        <v>4.0406781399999998</v>
      </c>
      <c r="I21" s="222">
        <v>3.2474062600000004</v>
      </c>
      <c r="J21" s="222">
        <v>4.2256016499999998</v>
      </c>
      <c r="K21" s="222">
        <v>1.4175395386494869</v>
      </c>
      <c r="L21" s="222">
        <v>3.0088520620390695</v>
      </c>
    </row>
    <row r="22" spans="2:14" s="2" customFormat="1" ht="10.5" customHeight="1">
      <c r="B22" s="71"/>
      <c r="C22" s="66"/>
      <c r="D22" s="66"/>
      <c r="E22" s="66"/>
      <c r="F22" s="66"/>
      <c r="G22" s="66"/>
      <c r="H22" s="65"/>
      <c r="I22" s="65"/>
      <c r="J22" s="65"/>
      <c r="K22" s="65"/>
      <c r="L22" s="65"/>
      <c r="M22" s="105"/>
      <c r="N22" s="105"/>
    </row>
    <row r="23" spans="2:14" s="2" customFormat="1" ht="10.5" customHeight="1">
      <c r="B23" s="71"/>
      <c r="C23" s="75" t="s">
        <v>76</v>
      </c>
      <c r="D23" s="74" t="s">
        <v>60</v>
      </c>
      <c r="E23" s="171" t="s">
        <v>50</v>
      </c>
      <c r="F23" s="171" t="s">
        <v>53</v>
      </c>
      <c r="G23" s="66"/>
      <c r="H23" s="198">
        <f>IF(H16="", "", H18-H19-H20-H21)</f>
        <v>57.533032569840472</v>
      </c>
      <c r="I23" s="198">
        <f t="shared" ref="I23:L23" si="2">IF(I16="", "", I18-I19-I20-I21)</f>
        <v>44.591661833433292</v>
      </c>
      <c r="J23" s="198">
        <f t="shared" si="2"/>
        <v>34.63384332424328</v>
      </c>
      <c r="K23" s="198">
        <f t="shared" si="2"/>
        <v>57.192806150836795</v>
      </c>
      <c r="L23" s="198">
        <f t="shared" si="2"/>
        <v>82.456184057617264</v>
      </c>
    </row>
    <row r="24" spans="2:14" s="2" customFormat="1" ht="10.5" customHeight="1">
      <c r="B24" s="71"/>
      <c r="D24" s="21"/>
      <c r="E24" s="21"/>
      <c r="F24" s="21"/>
      <c r="G24" s="21"/>
      <c r="M24" s="70"/>
      <c r="N24" s="70"/>
    </row>
    <row r="25" spans="2:14" s="8" customFormat="1" ht="12.75" customHeight="1">
      <c r="B25" s="72" t="s">
        <v>42</v>
      </c>
      <c r="D25" s="18"/>
      <c r="E25" s="18"/>
      <c r="F25" s="18"/>
      <c r="G25" s="18"/>
    </row>
    <row r="26" spans="2:14" ht="10.5" customHeight="1">
      <c r="D26" s="66"/>
      <c r="E26" s="66"/>
      <c r="F26" s="66"/>
      <c r="G26" s="66"/>
      <c r="M26" s="2"/>
      <c r="N26" s="2"/>
    </row>
    <row r="27" spans="2:14" ht="10.5" customHeight="1">
      <c r="D27" s="66"/>
      <c r="E27" s="66"/>
      <c r="F27" s="66"/>
      <c r="G27" s="66"/>
      <c r="H27" s="168" t="str">
        <f>'Input | General'!D18</f>
        <v>2024-25</v>
      </c>
      <c r="I27" s="168" t="str">
        <f>'Input | General'!E18</f>
        <v>2025–26</v>
      </c>
      <c r="J27" s="168" t="str">
        <f>'Input | General'!F18</f>
        <v>2026–27</v>
      </c>
      <c r="K27" s="168" t="str">
        <f>'Input | General'!G18</f>
        <v>2027–28</v>
      </c>
      <c r="L27" s="168" t="str">
        <f>'Input | General'!H18</f>
        <v>2028–29</v>
      </c>
      <c r="M27" s="2"/>
      <c r="N27" s="2"/>
    </row>
    <row r="28" spans="2:14" s="17" customFormat="1" ht="10.5" customHeight="1">
      <c r="C28" s="16"/>
      <c r="D28" s="66"/>
      <c r="E28" s="66"/>
      <c r="F28" s="66"/>
      <c r="G28" s="66"/>
      <c r="M28" s="19"/>
      <c r="N28" s="19"/>
    </row>
    <row r="29" spans="2:14" ht="11.25" customHeight="1">
      <c r="C29" s="82" t="s">
        <v>85</v>
      </c>
      <c r="D29" s="64" t="s">
        <v>100</v>
      </c>
      <c r="E29" s="76" t="s">
        <v>50</v>
      </c>
      <c r="F29" s="76" t="s">
        <v>103</v>
      </c>
      <c r="G29" s="66"/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2"/>
      <c r="N29" s="2"/>
    </row>
    <row r="30" spans="2:14" ht="11.25" customHeight="1">
      <c r="C30" s="82" t="s">
        <v>85</v>
      </c>
      <c r="D30" s="64" t="s">
        <v>60</v>
      </c>
      <c r="E30" s="76" t="s">
        <v>50</v>
      </c>
      <c r="F30" s="76" t="s">
        <v>104</v>
      </c>
      <c r="G30" s="66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2" t="s">
        <v>85</v>
      </c>
      <c r="D31" s="64" t="s">
        <v>49</v>
      </c>
      <c r="E31" s="76" t="s">
        <v>50</v>
      </c>
      <c r="F31" s="76" t="s">
        <v>103</v>
      </c>
      <c r="G31" s="66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6"/>
      <c r="E32" s="66"/>
      <c r="F32" s="66"/>
      <c r="G32" s="66"/>
      <c r="M32" s="70"/>
      <c r="N32" s="70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6" priority="20">
      <formula>IF($H$6&lt;&gt;"","FALSE","TRUE")</formula>
    </cfRule>
  </conditionalFormatting>
  <conditionalFormatting sqref="H18:L18">
    <cfRule type="expression" dxfId="5" priority="15">
      <formula>IF($H$6&lt;&gt;"","FALSE","TRUE")</formula>
    </cfRule>
  </conditionalFormatting>
  <conditionalFormatting sqref="H19:H20">
    <cfRule type="expression" dxfId="4" priority="10">
      <formula>IF($H$6&lt;&gt;"","FALSE","TRUE")</formula>
    </cfRule>
  </conditionalFormatting>
  <conditionalFormatting sqref="I10:L10">
    <cfRule type="expression" dxfId="3" priority="6">
      <formula>IF($H$6&lt;&gt;"","FALSE","TRUE")</formula>
    </cfRule>
  </conditionalFormatting>
  <conditionalFormatting sqref="I19:L20">
    <cfRule type="expression" dxfId="2" priority="5">
      <formula>IF($H$6&lt;&gt;"","FALSE","TRUE")</formula>
    </cfRule>
  </conditionalFormatting>
  <conditionalFormatting sqref="H29:L29">
    <cfRule type="expression" dxfId="1" priority="4">
      <formula>IF($H$6&lt;&gt;"","FALSE","TRUE")</formula>
    </cfRule>
  </conditionalFormatting>
  <conditionalFormatting sqref="H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3" zoomScaleNormal="100" workbookViewId="0">
      <selection activeCell="E35" sqref="E35"/>
    </sheetView>
  </sheetViews>
  <sheetFormatPr defaultColWidth="0" defaultRowHeight="0" customHeight="1" zeroHeight="1"/>
  <cols>
    <col min="1" max="2" width="1.33203125" style="2" customWidth="1"/>
    <col min="3" max="3" width="70.88671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Ausgrid Tx 2024-29 Regulatory Proposal - Capital expenditure sharing scheme model</v>
      </c>
      <c r="J1" s="119"/>
      <c r="K1" s="103" t="s">
        <v>47</v>
      </c>
      <c r="L1" s="150" t="s">
        <v>48</v>
      </c>
      <c r="M1" s="154" t="s">
        <v>36</v>
      </c>
      <c r="N1"/>
      <c r="Q1" s="104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5"/>
      <c r="J5" s="85"/>
      <c r="K5" s="85"/>
      <c r="L5" s="85"/>
      <c r="M5" s="85"/>
      <c r="N5" s="85"/>
      <c r="O5" s="85"/>
    </row>
    <row r="6" spans="2:23" ht="11.25" customHeight="1">
      <c r="C6" s="115" t="s">
        <v>11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9</v>
      </c>
      <c r="D7" s="168" t="str">
        <f>IF('Input | General'!D14="Yes",'Input | General'!D13,"n/a")</f>
        <v>2019–20</v>
      </c>
      <c r="E7" s="168" t="str">
        <f>IF('Input | General'!E14="Yes",'Input | General'!E13,"n/a")</f>
        <v>2020–21</v>
      </c>
      <c r="F7" s="168" t="str">
        <f>IF('Input | General'!F14="Yes",'Input | General'!F13,"n/a")</f>
        <v>2021–22</v>
      </c>
      <c r="G7" s="168" t="str">
        <f>IF('Input | General'!G14="Yes",'Input | General'!G13,"n/a")</f>
        <v>2022–23</v>
      </c>
      <c r="H7" s="172" t="str">
        <f>IF('Input | General'!H14="Yes",'Input | General'!H13,"n/a")</f>
        <v>2023–24</v>
      </c>
      <c r="I7" s="94"/>
    </row>
    <row r="8" spans="2:23" ht="11.25" customHeight="1">
      <c r="C8" s="136" t="s">
        <v>93</v>
      </c>
      <c r="D8" s="155">
        <f>'Input | Inflation and Disc Rate'!G20</f>
        <v>3.2190287615158963E-2</v>
      </c>
      <c r="E8" s="156">
        <f>'Input | Inflation and Disc Rate'!H20</f>
        <v>3.0060653438764184E-2</v>
      </c>
      <c r="F8" s="156">
        <f>'Input | Inflation and Disc Rate'!I20</f>
        <v>2.7489978671470627E-2</v>
      </c>
      <c r="G8" s="156">
        <f>'Input | Inflation and Disc Rate'!J20</f>
        <v>2.5667411537982909E-2</v>
      </c>
      <c r="H8" s="157">
        <f>'Input | Inflation and Disc Rate'!K20</f>
        <v>2.5532227657772077E-2</v>
      </c>
      <c r="I8" s="94"/>
      <c r="J8" s="77"/>
      <c r="K8" s="77"/>
    </row>
    <row r="9" spans="2:23" ht="11.25" customHeight="1">
      <c r="C9" s="139" t="s">
        <v>94</v>
      </c>
      <c r="D9" s="156">
        <f>'Input | Inflation and Disc Rate'!G22</f>
        <v>5.1187654871879484E-2</v>
      </c>
      <c r="E9" s="156">
        <f>'Input | Inflation and Disc Rate'!H22</f>
        <v>3.8925202952006632E-2</v>
      </c>
      <c r="F9" s="156">
        <f>'Input | Inflation and Disc Rate'!I22</f>
        <v>6.3434593966291919E-2</v>
      </c>
      <c r="G9" s="156">
        <f>'Input | Inflation and Disc Rate'!J22</f>
        <v>0.10772080446102161</v>
      </c>
      <c r="H9" s="157">
        <f>'Input | Inflation and Disc Rate'!K22</f>
        <v>7.4245008471516272E-2</v>
      </c>
      <c r="I9" s="94"/>
      <c r="J9" s="77"/>
      <c r="K9" s="77"/>
    </row>
    <row r="10" spans="2:23" ht="11.25" customHeight="1">
      <c r="C10" s="110" t="s">
        <v>13</v>
      </c>
      <c r="D10" s="158">
        <f>'Input | Reported Capex'!H$12*'Input | Inflation and Disc Rate'!G$15*(1+'Input | Inflation and Disc Rate'!G$20)^0.5</f>
        <v>64.179295338587622</v>
      </c>
      <c r="E10" s="159">
        <f>'Input | Reported Capex'!I$12*'Input | Inflation and Disc Rate'!H$15*(1+'Input | Inflation and Disc Rate'!H$20)^0.5</f>
        <v>61.79940855217982</v>
      </c>
      <c r="F10" s="159">
        <f>'Input | Reported Capex'!J$12*'Input | Inflation and Disc Rate'!I$15*(1+'Input | Inflation and Disc Rate'!I$20)^0.5</f>
        <v>42.864008601260927</v>
      </c>
      <c r="G10" s="159">
        <f>'Input | Reported Capex'!K$12*'Input | Inflation and Disc Rate'!J$15*(1+'Input | Inflation and Disc Rate'!J$20)^0.5</f>
        <v>70.483443092775531</v>
      </c>
      <c r="H10" s="160">
        <f>'Input | Reported Capex'!L$12*'Input | Inflation and Disc Rate'!K$15*(1+'Input | Inflation and Disc Rate'!K$20)^0.5</f>
        <v>68.860419001320551</v>
      </c>
      <c r="I10" s="94"/>
      <c r="J10" s="77"/>
      <c r="K10" s="77"/>
      <c r="N10" s="132"/>
    </row>
    <row r="11" spans="2:23" ht="11.25" customHeight="1">
      <c r="C11" s="110" t="s">
        <v>15</v>
      </c>
      <c r="D11" s="161">
        <f>'Input | Reported Capex'!H23*(1+D$9)^0.5</f>
        <v>58.987147119784829</v>
      </c>
      <c r="E11" s="159">
        <f>'Input | Reported Capex'!I23*(1+E$9)^0.5</f>
        <v>45.451246553808559</v>
      </c>
      <c r="F11" s="159">
        <f>'Input | Reported Capex'!J23*(1+F$9)^0.5</f>
        <v>35.715446178568719</v>
      </c>
      <c r="G11" s="159">
        <f>'Input | Reported Capex'!K23*(1+G$9)^0.5</f>
        <v>60.194465411496068</v>
      </c>
      <c r="H11" s="160">
        <f>'Input | Reported Capex'!L23*(1+H$9)^0.5</f>
        <v>85.462364563672139</v>
      </c>
      <c r="I11" s="94"/>
      <c r="J11" s="77"/>
      <c r="K11" s="77"/>
    </row>
    <row r="12" spans="2:23" s="19" customFormat="1" ht="11.25" customHeight="1">
      <c r="C12" s="110" t="s">
        <v>17</v>
      </c>
      <c r="D12" s="149">
        <f>(D10-D11)</f>
        <v>5.1921482188027923</v>
      </c>
      <c r="E12" s="137">
        <f>(E10-E11)</f>
        <v>16.34816199837126</v>
      </c>
      <c r="F12" s="137">
        <f t="shared" ref="F12:H12" si="0">(F10-F11)</f>
        <v>7.1485624226922084</v>
      </c>
      <c r="G12" s="137">
        <f t="shared" si="0"/>
        <v>10.288977681279462</v>
      </c>
      <c r="H12" s="141">
        <f t="shared" si="0"/>
        <v>-16.601945562351588</v>
      </c>
      <c r="I12" s="94"/>
      <c r="J12" s="77"/>
      <c r="K12" s="77"/>
    </row>
    <row r="13" spans="2:23" ht="11.25" customHeight="1">
      <c r="C13" s="110" t="s">
        <v>71</v>
      </c>
      <c r="D13" s="86"/>
      <c r="E13" s="137">
        <f>$D$12*$E$8</f>
        <v>0.15607936820812748</v>
      </c>
      <c r="F13" s="137">
        <f>$D$12*$F$8*(1+'Input | Inflation and Disc Rate'!H13)</f>
        <v>0.14396037463560368</v>
      </c>
      <c r="G13" s="137">
        <f>$D$12*$G$8*(1+'Input | Inflation and Disc Rate'!H13)*(1+'Input | Inflation and Disc Rate'!I13)</f>
        <v>0.13911816108789696</v>
      </c>
      <c r="H13" s="141">
        <f>$D$12*$H$8*(1+'Input | Inflation and Disc Rate'!H13)*(1+'Input | Inflation and Disc Rate'!I13)*(1+'Input | Inflation and Disc Rate'!J13)</f>
        <v>0.14945629711699418</v>
      </c>
      <c r="I13" s="94"/>
      <c r="J13" s="77"/>
      <c r="K13" s="77"/>
      <c r="L13" s="93"/>
      <c r="M13" s="93"/>
      <c r="N13" s="93"/>
      <c r="O13" s="93"/>
    </row>
    <row r="14" spans="2:23" ht="11.25" customHeight="1">
      <c r="C14" s="110" t="s">
        <v>72</v>
      </c>
      <c r="D14" s="86"/>
      <c r="E14" s="138"/>
      <c r="F14" s="137">
        <f>$E$12*F$8</f>
        <v>0.4494106246529726</v>
      </c>
      <c r="G14" s="137">
        <f>$E$12*G$8*(1+'Input | Inflation and Disc Rate'!I13)</f>
        <v>0.4342943663028101</v>
      </c>
      <c r="H14" s="141">
        <f>$E$12*H$8*(1+'Input | Inflation and Disc Rate'!I13)*(1+'Input | Inflation and Disc Rate'!J13)</f>
        <v>0.46656760942505277</v>
      </c>
      <c r="I14" s="94"/>
      <c r="J14" s="77"/>
      <c r="K14" s="77"/>
      <c r="L14" s="93"/>
      <c r="M14" s="93"/>
      <c r="N14" s="94"/>
      <c r="O14" s="94"/>
    </row>
    <row r="15" spans="2:23" ht="11.25" customHeight="1">
      <c r="C15" s="110" t="s">
        <v>73</v>
      </c>
      <c r="D15" s="86"/>
      <c r="E15" s="137"/>
      <c r="F15" s="137"/>
      <c r="G15" s="137">
        <f>$F$12*G$8</f>
        <v>0.18348509360820106</v>
      </c>
      <c r="H15" s="141">
        <f>$F$12*$H$8*(1+'Input | Inflation and Disc Rate'!J13)</f>
        <v>0.19712022105812996</v>
      </c>
      <c r="I15" s="94"/>
      <c r="J15" s="77"/>
      <c r="K15" s="77"/>
      <c r="L15" s="93"/>
      <c r="M15" s="93"/>
      <c r="N15" s="93"/>
      <c r="O15" s="93"/>
    </row>
    <row r="16" spans="2:23" ht="11.25" customHeight="1">
      <c r="C16" s="110" t="s">
        <v>74</v>
      </c>
      <c r="D16" s="86"/>
      <c r="E16" s="137"/>
      <c r="F16" s="137"/>
      <c r="G16" s="137"/>
      <c r="H16" s="141">
        <f>$G$12*$H$8</f>
        <v>0.26270052052416309</v>
      </c>
      <c r="I16" s="94"/>
      <c r="J16" s="77"/>
      <c r="K16" s="77"/>
      <c r="L16" s="93"/>
      <c r="M16" s="93"/>
      <c r="N16" s="93"/>
      <c r="O16" s="93"/>
    </row>
    <row r="17" spans="3:15" ht="11.25" customHeight="1">
      <c r="C17" s="110" t="s">
        <v>75</v>
      </c>
      <c r="D17" s="86"/>
      <c r="E17" s="137"/>
      <c r="F17" s="137"/>
      <c r="G17" s="137"/>
      <c r="H17" s="141"/>
      <c r="I17" s="94"/>
      <c r="J17" s="77"/>
      <c r="K17" s="77"/>
      <c r="L17" s="93"/>
      <c r="M17" s="93"/>
      <c r="N17" s="93"/>
      <c r="O17" s="93"/>
    </row>
    <row r="18" spans="3:15" s="19" customFormat="1" ht="11.25" customHeight="1">
      <c r="C18" s="111" t="s">
        <v>19</v>
      </c>
      <c r="D18" s="87">
        <f>SUM(D13:D17)</f>
        <v>0</v>
      </c>
      <c r="E18" s="142">
        <f>SUM(E13:E17)</f>
        <v>0.15607936820812748</v>
      </c>
      <c r="F18" s="142">
        <f t="shared" ref="F18:H18" si="1">SUM(F13:F17)</f>
        <v>0.59337099928857628</v>
      </c>
      <c r="G18" s="142">
        <f t="shared" si="1"/>
        <v>0.75689762099890812</v>
      </c>
      <c r="H18" s="143">
        <f t="shared" si="1"/>
        <v>1.07584464812434</v>
      </c>
      <c r="I18" s="94"/>
      <c r="J18" s="77"/>
      <c r="K18" s="77"/>
      <c r="L18" s="93"/>
      <c r="M18" s="93"/>
      <c r="N18" s="93"/>
      <c r="O18" s="93"/>
    </row>
    <row r="19" spans="3:15" ht="11.25" customHeight="1">
      <c r="C19" s="112" t="s">
        <v>92</v>
      </c>
      <c r="D19" s="122">
        <f>E19*(1+E$9)</f>
        <v>1.3147062350496683</v>
      </c>
      <c r="E19" s="142">
        <f>F19*(1+F$9)</f>
        <v>1.2654483992823125</v>
      </c>
      <c r="F19" s="142">
        <f>G19*(1+G$9)</f>
        <v>1.1899635449723049</v>
      </c>
      <c r="G19" s="142">
        <f>H19*(1+H$9)</f>
        <v>1.0742450084715163</v>
      </c>
      <c r="H19" s="144">
        <v>1</v>
      </c>
      <c r="I19" s="94"/>
      <c r="J19" s="77"/>
      <c r="K19" s="77"/>
      <c r="L19" s="94"/>
      <c r="M19" s="94"/>
      <c r="N19" s="94"/>
      <c r="O19" s="94"/>
    </row>
    <row r="20" spans="3:15" s="19" customFormat="1" ht="11.25" customHeight="1">
      <c r="C20" s="110" t="s">
        <v>20</v>
      </c>
      <c r="D20" s="86">
        <f>D12*D19</f>
        <v>6.8261496365620609</v>
      </c>
      <c r="E20" s="137">
        <f>E12*E19</f>
        <v>20.687755432046842</v>
      </c>
      <c r="F20" s="137">
        <f t="shared" ref="F20:H20" si="2">F12*F19</f>
        <v>8.5065286819626298</v>
      </c>
      <c r="G20" s="137">
        <f t="shared" si="2"/>
        <v>11.052882916389297</v>
      </c>
      <c r="H20" s="141">
        <f t="shared" si="2"/>
        <v>-16.601945562351588</v>
      </c>
      <c r="I20" s="94"/>
      <c r="J20" s="77"/>
      <c r="K20" s="77"/>
      <c r="L20" s="94"/>
      <c r="M20" s="94"/>
      <c r="N20" s="94"/>
      <c r="O20" s="94"/>
    </row>
    <row r="21" spans="3:15" s="19" customFormat="1" ht="11.25" customHeight="1">
      <c r="C21" s="111" t="s">
        <v>21</v>
      </c>
      <c r="D21" s="87">
        <f>D18*D19</f>
        <v>0</v>
      </c>
      <c r="E21" s="142">
        <f>E18*E19</f>
        <v>0.19751038665996956</v>
      </c>
      <c r="F21" s="142">
        <f t="shared" ref="F21:H21" si="3">F18*F19</f>
        <v>0.70608985779719324</v>
      </c>
      <c r="G21" s="142">
        <f t="shared" si="3"/>
        <v>0.81309349128204256</v>
      </c>
      <c r="H21" s="143">
        <f t="shared" si="3"/>
        <v>1.07584464812434</v>
      </c>
      <c r="I21" s="94"/>
      <c r="J21" s="77"/>
      <c r="K21" s="77"/>
      <c r="L21" s="94"/>
      <c r="M21" s="94"/>
      <c r="N21" s="94"/>
      <c r="O21" s="94"/>
    </row>
    <row r="22" spans="3:15" s="77" customFormat="1" ht="11.25" customHeight="1"/>
    <row r="23" spans="3:15" ht="11.25" customHeight="1">
      <c r="C23" s="115" t="s">
        <v>12</v>
      </c>
      <c r="D23" s="116"/>
      <c r="E23" s="117"/>
      <c r="F23" s="117"/>
      <c r="G23" s="117"/>
      <c r="H23" s="117"/>
      <c r="I23" s="94"/>
      <c r="J23" s="77"/>
      <c r="K23" s="77"/>
      <c r="L23" s="94"/>
      <c r="M23" s="94"/>
      <c r="N23" s="94"/>
      <c r="O23" s="94"/>
    </row>
    <row r="24" spans="3:15" ht="11.25" customHeight="1">
      <c r="C24" s="109" t="s">
        <v>9</v>
      </c>
      <c r="D24" s="173" t="str">
        <f>'Input | General'!$D$18</f>
        <v>2024-25</v>
      </c>
      <c r="E24" s="173" t="str">
        <f>'Input | General'!$E$18</f>
        <v>2025–26</v>
      </c>
      <c r="F24" s="173" t="str">
        <f>'Input | General'!$F$18</f>
        <v>2026–27</v>
      </c>
      <c r="G24" s="173" t="str">
        <f>'Input | General'!$G$18</f>
        <v>2027–28</v>
      </c>
      <c r="H24" s="174" t="str">
        <f>'Input | General'!$H$18</f>
        <v>2028–29</v>
      </c>
      <c r="I24" s="94"/>
      <c r="J24" s="77"/>
      <c r="K24" s="77"/>
      <c r="L24" s="94"/>
      <c r="M24" s="94"/>
      <c r="N24" s="94"/>
      <c r="O24" s="94"/>
    </row>
    <row r="25" spans="3:15" ht="11.25" customHeight="1">
      <c r="C25" s="113" t="s">
        <v>70</v>
      </c>
      <c r="D25" s="162">
        <f>'Input | Inflation and Disc Rate'!L$22</f>
        <v>5.7205637170009371E-2</v>
      </c>
      <c r="E25" s="162">
        <f>'Input | Inflation and Disc Rate'!M$22</f>
        <v>5.7700685781922889E-2</v>
      </c>
      <c r="F25" s="162">
        <f>'Input | Inflation and Disc Rate'!N$22</f>
        <v>5.8457829060375444E-2</v>
      </c>
      <c r="G25" s="162">
        <f>'Input | Inflation and Disc Rate'!O$22</f>
        <v>5.9241966305814131E-2</v>
      </c>
      <c r="H25" s="163">
        <f>'Input | Inflation and Disc Rate'!P$22</f>
        <v>6.016075268897203E-2</v>
      </c>
      <c r="I25" s="94"/>
      <c r="J25" s="77"/>
      <c r="K25" s="77"/>
      <c r="L25" s="94"/>
      <c r="M25" s="94"/>
      <c r="N25" s="94"/>
      <c r="O25" s="94"/>
    </row>
    <row r="26" spans="3:15" ht="11.25" customHeight="1">
      <c r="C26" s="114" t="s">
        <v>14</v>
      </c>
      <c r="D26" s="159">
        <f>'Input | Reported Capex'!H31</f>
        <v>0</v>
      </c>
      <c r="E26" s="159">
        <f>'Input | Reported Capex'!I31</f>
        <v>0</v>
      </c>
      <c r="F26" s="159">
        <f>'Input | Reported Capex'!J31</f>
        <v>0</v>
      </c>
      <c r="G26" s="159">
        <f>'Input | Reported Capex'!K31</f>
        <v>0</v>
      </c>
      <c r="H26" s="160">
        <f>'Input | Reported Capex'!L31</f>
        <v>0</v>
      </c>
      <c r="I26" s="94"/>
      <c r="J26" s="77"/>
      <c r="K26" s="77"/>
      <c r="L26" s="94"/>
      <c r="M26" s="94"/>
      <c r="N26" s="94"/>
      <c r="O26" s="94"/>
    </row>
    <row r="27" spans="3:15" ht="11.25" customHeight="1">
      <c r="C27" s="114" t="s">
        <v>16</v>
      </c>
      <c r="D27" s="120">
        <f>1/(1+D25)^(0.5)</f>
        <v>0.97256864685812172</v>
      </c>
      <c r="E27" s="120">
        <f>1/((1+E25)^(0.5)*(1+D25))</f>
        <v>0.91972742522694628</v>
      </c>
      <c r="F27" s="120">
        <f>1/((1+F25)^(0.5)*(1+E25)*(1+D25))</f>
        <v>0.86924252379533584</v>
      </c>
      <c r="G27" s="120">
        <f>1/((1+G25)^(0.5)*(1+F25)*(1+E25)*(1+D25))</f>
        <v>0.82093088480850318</v>
      </c>
      <c r="H27" s="121">
        <f>1/((1+H25)^(0.5)*(1+G25)*(1+F25)*(1+E25)*(1+D25))</f>
        <v>0.77468142754644831</v>
      </c>
      <c r="I27" s="94"/>
      <c r="J27" s="77"/>
      <c r="K27" s="77"/>
      <c r="L27" s="94"/>
      <c r="M27" s="94"/>
      <c r="N27" s="94"/>
      <c r="O27" s="94"/>
    </row>
    <row r="28" spans="3:15" ht="11.25" customHeight="1">
      <c r="C28" s="109" t="s">
        <v>18</v>
      </c>
      <c r="D28" s="88">
        <f>D26*D27</f>
        <v>0</v>
      </c>
      <c r="E28" s="88">
        <f t="shared" ref="E28:G28" si="4">E26*E27</f>
        <v>0</v>
      </c>
      <c r="F28" s="88">
        <f t="shared" si="4"/>
        <v>0</v>
      </c>
      <c r="G28" s="88">
        <f t="shared" si="4"/>
        <v>0</v>
      </c>
      <c r="H28" s="89">
        <f>H26*H27</f>
        <v>0</v>
      </c>
      <c r="I28" s="94"/>
      <c r="J28" s="77"/>
      <c r="K28" s="77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7"/>
      <c r="K29" s="77"/>
      <c r="L29" s="94"/>
      <c r="M29" s="94"/>
      <c r="N29" s="94"/>
      <c r="O29" s="94"/>
    </row>
    <row r="30" spans="3:15" ht="11.25" customHeight="1">
      <c r="C30" s="108" t="s">
        <v>22</v>
      </c>
      <c r="D30" s="118"/>
      <c r="E30" s="93"/>
      <c r="F30" s="93"/>
      <c r="G30" s="93"/>
      <c r="H30" s="93"/>
      <c r="I30" s="94"/>
      <c r="J30" s="77"/>
      <c r="K30" s="77"/>
      <c r="L30" s="94"/>
      <c r="M30" s="94"/>
      <c r="N30" s="94"/>
      <c r="O30" s="94"/>
    </row>
    <row r="31" spans="3:15" ht="11.25" customHeight="1">
      <c r="C31" s="110" t="s">
        <v>23</v>
      </c>
      <c r="D31" s="99">
        <f>SUM(D20:H20)-SUM(D28:H28)</f>
        <v>30.471371104609247</v>
      </c>
      <c r="E31" s="93"/>
      <c r="F31" s="93"/>
      <c r="G31" s="93"/>
      <c r="H31" s="93"/>
      <c r="I31" s="94"/>
      <c r="J31" s="77"/>
      <c r="K31" s="77"/>
      <c r="L31" s="94"/>
      <c r="M31" s="94"/>
      <c r="N31" s="94"/>
      <c r="O31" s="94"/>
    </row>
    <row r="32" spans="3:15" ht="11.25" customHeight="1">
      <c r="C32" s="110" t="s">
        <v>24</v>
      </c>
      <c r="D32" s="98">
        <v>0.3</v>
      </c>
      <c r="E32" s="93"/>
      <c r="F32" s="93"/>
      <c r="G32" s="93"/>
      <c r="H32" s="93"/>
      <c r="I32" s="94"/>
      <c r="J32" s="77"/>
      <c r="K32" s="77"/>
      <c r="L32" s="94"/>
      <c r="M32" s="94"/>
      <c r="N32" s="94"/>
      <c r="O32" s="94"/>
    </row>
    <row r="33" spans="1:16382" ht="11.25" customHeight="1">
      <c r="C33" s="110" t="s">
        <v>25</v>
      </c>
      <c r="D33" s="99">
        <f>(1-D32)*D31</f>
        <v>21.32995977322647</v>
      </c>
      <c r="E33" s="93"/>
      <c r="F33" s="93"/>
      <c r="G33" s="93"/>
      <c r="H33" s="93"/>
      <c r="I33" s="94"/>
      <c r="J33" s="77"/>
      <c r="K33" s="77"/>
      <c r="L33" s="94"/>
      <c r="M33" s="94"/>
      <c r="N33" s="94"/>
      <c r="O33" s="94"/>
    </row>
    <row r="34" spans="1:16382" ht="11.25" customHeight="1">
      <c r="C34" s="110" t="s">
        <v>26</v>
      </c>
      <c r="D34" s="99">
        <f>D32*D31</f>
        <v>9.1414113313827734</v>
      </c>
      <c r="E34" s="93"/>
      <c r="F34" s="93"/>
      <c r="G34" s="93"/>
      <c r="H34" s="93"/>
      <c r="I34" s="94"/>
      <c r="J34" s="77"/>
      <c r="K34" s="77"/>
      <c r="L34" s="94"/>
      <c r="M34" s="94"/>
      <c r="N34" s="94"/>
      <c r="O34" s="94"/>
    </row>
    <row r="35" spans="1:16382" ht="11.25" customHeight="1">
      <c r="C35" s="110" t="s">
        <v>27</v>
      </c>
      <c r="D35" s="99">
        <f>SUM(D21:H21)</f>
        <v>2.7925383838635454</v>
      </c>
      <c r="E35" s="93"/>
      <c r="F35" s="93"/>
      <c r="G35" s="93"/>
      <c r="H35" s="93"/>
      <c r="I35" s="94"/>
      <c r="J35" s="77"/>
      <c r="K35" s="77"/>
      <c r="L35" s="94"/>
      <c r="M35" s="94"/>
      <c r="N35" s="94"/>
      <c r="O35" s="94"/>
    </row>
    <row r="36" spans="1:16382" ht="11.25" customHeight="1">
      <c r="C36" s="111" t="s">
        <v>28</v>
      </c>
      <c r="D36" s="100">
        <f>D34-D35</f>
        <v>6.3488729475192276</v>
      </c>
      <c r="E36" s="93"/>
      <c r="F36" s="93"/>
      <c r="G36" s="93"/>
      <c r="H36" s="93"/>
      <c r="I36" s="94"/>
      <c r="J36" s="77"/>
      <c r="K36" s="77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5" t="str">
        <f>'Input | General'!D18</f>
        <v>2024-25</v>
      </c>
      <c r="E40" s="175" t="str">
        <f>'Input | General'!E18</f>
        <v>2025–26</v>
      </c>
      <c r="F40" s="175" t="str">
        <f>'Input | General'!F18</f>
        <v>2026–27</v>
      </c>
      <c r="G40" s="175" t="str">
        <f>'Input | General'!G18</f>
        <v>2027–28</v>
      </c>
      <c r="H40" s="175" t="str">
        <f>'Input | General'!H18</f>
        <v>2028–29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4">
        <f>1/(1+'Input | Inflation and Disc Rate'!L21)</f>
        <v>0.97308087134753773</v>
      </c>
      <c r="E41" s="164">
        <f>D41/(1+'Input | Inflation and Disc Rate'!M21)</f>
        <v>0.94644319934688492</v>
      </c>
      <c r="F41" s="164">
        <f>E41/(1+'Input | Inflation and Disc Rate'!N21)</f>
        <v>0.91987623902578475</v>
      </c>
      <c r="G41" s="164">
        <f>F41/(1+'Input | Inflation and Disc Rate'!O21)</f>
        <v>0.89339316928984958</v>
      </c>
      <c r="H41" s="165">
        <f>G41/(1+'Input | Inflation and Disc Rate'!P21)</f>
        <v>0.86692057549173385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81" t="str">
        <f>CONCATENATE("CESS Payment Per Year ($", 'Output | Models'!$F$8," million)")</f>
        <v>CESS Payment Per Year ($2023–24 million)</v>
      </c>
      <c r="D42" s="107">
        <f>D36/(SUM(D41:H41))</f>
        <v>1.380275571979418</v>
      </c>
      <c r="E42" s="107">
        <f>D42</f>
        <v>1.380275571979418</v>
      </c>
      <c r="F42" s="107">
        <f t="shared" ref="F42:H42" si="5">E42</f>
        <v>1.380275571979418</v>
      </c>
      <c r="G42" s="107">
        <f t="shared" si="5"/>
        <v>1.380275571979418</v>
      </c>
      <c r="H42" s="140">
        <f t="shared" si="5"/>
        <v>1.380275571979418</v>
      </c>
      <c r="I42" s="91"/>
      <c r="J42" s="91"/>
      <c r="K42" s="91"/>
      <c r="L42" s="91"/>
      <c r="M42" s="91"/>
      <c r="N42" s="91"/>
      <c r="O42" s="91"/>
    </row>
    <row r="43" spans="1:16382" s="77" customFormat="1" ht="11.25" customHeight="1"/>
    <row r="44" spans="1:16382" s="30" customFormat="1" ht="11.25" customHeight="1">
      <c r="C44" s="181" t="str">
        <f>CONCATENATE("Total CESS Payment ($", 'Output | Models'!$F$8," million)")</f>
        <v>Total CESS Payment ($2023–24 million)</v>
      </c>
      <c r="D44" s="148">
        <f>SUM(D42:H42)</f>
        <v>6.9013778598970896</v>
      </c>
      <c r="E44" s="68"/>
      <c r="F44" s="68"/>
      <c r="G44" s="68"/>
      <c r="H44" s="68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7"/>
      <c r="D45" s="96"/>
      <c r="E45" s="68"/>
      <c r="F45" s="68"/>
      <c r="G45" s="68"/>
      <c r="H45" s="68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34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9" sqref="J9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Ausgrid Tx 2024-29 Regulatory Proposal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47</v>
      </c>
      <c r="L1" s="150" t="s">
        <v>48</v>
      </c>
      <c r="M1" s="154" t="s">
        <v>36</v>
      </c>
      <c r="R1" s="104"/>
      <c r="S1" s="77"/>
      <c r="T1" s="77"/>
      <c r="U1" s="77"/>
      <c r="V1" s="77"/>
      <c r="W1" s="77"/>
    </row>
    <row r="2" spans="1:27" s="37" customFormat="1" ht="13.8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3"/>
      <c r="K3" s="223"/>
      <c r="L3" s="223"/>
      <c r="M3" s="42"/>
      <c r="N3" s="223"/>
      <c r="O3" s="223"/>
      <c r="P3" s="223"/>
      <c r="Q3" s="223"/>
      <c r="R3" s="223"/>
      <c r="S3" s="223"/>
      <c r="T3" s="223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6" t="str">
        <f>'Calc | CESS Revenue Increments'!D40</f>
        <v>2024-25</v>
      </c>
      <c r="K6" s="176" t="str">
        <f>'Calc | CESS Revenue Increments'!E40</f>
        <v>2025–26</v>
      </c>
      <c r="L6" s="176" t="str">
        <f>'Calc | CESS Revenue Increments'!F40</f>
        <v>2026–27</v>
      </c>
      <c r="M6" s="176" t="str">
        <f>'Calc | CESS Revenue Increments'!G40</f>
        <v>2027–28</v>
      </c>
      <c r="N6" s="176" t="str">
        <f>'Calc | CESS Revenue Increments'!H40</f>
        <v>2028–29</v>
      </c>
      <c r="O6" s="56" t="s">
        <v>86</v>
      </c>
      <c r="P6" s="130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83</v>
      </c>
      <c r="D8" s="178" t="s">
        <v>58</v>
      </c>
      <c r="E8" s="52" t="s">
        <v>50</v>
      </c>
      <c r="F8" s="177" t="str">
        <f>IF(LEN(J6)&gt;4,CONCATENATE(LEFT(J6,4)-1&amp;"–"&amp;IF(RIGHT(J6,2)="00","99",IF(RIGHT(J6,2)-1&lt;10,"0","")&amp;RIGHT(J6,2)-1)),J6-1)</f>
        <v>2023–24</v>
      </c>
      <c r="H8" s="55"/>
      <c r="I8" s="55"/>
      <c r="J8" s="197">
        <f>'Calc | CESS Revenue Increments'!D42</f>
        <v>1.380275571979418</v>
      </c>
      <c r="K8" s="197">
        <f>'Calc | CESS Revenue Increments'!E42</f>
        <v>1.380275571979418</v>
      </c>
      <c r="L8" s="197">
        <f>'Calc | CESS Revenue Increments'!F42</f>
        <v>1.380275571979418</v>
      </c>
      <c r="M8" s="197">
        <f>'Calc | CESS Revenue Increments'!G42</f>
        <v>1.380275571979418</v>
      </c>
      <c r="N8" s="197">
        <f>'Calc | CESS Revenue Increments'!H42</f>
        <v>1.380275571979418</v>
      </c>
      <c r="O8" s="199">
        <f>SUM(J8:N8)</f>
        <v>6.9013778598970896</v>
      </c>
      <c r="P8" s="131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H10" s="55"/>
      <c r="I10" s="55"/>
      <c r="J10" s="128"/>
      <c r="K10" s="128"/>
      <c r="L10" s="128"/>
      <c r="M10" s="128"/>
      <c r="N10" s="128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3.2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0"/>
      <c r="N17" s="60"/>
      <c r="O17" s="60"/>
      <c r="P17" s="60"/>
      <c r="Q17" s="60"/>
      <c r="R17" s="60"/>
      <c r="S17" s="60"/>
      <c r="T17" s="60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0944-D48E-442F-BE66-F63655712FE3}">
  <dimension ref="A1:P56"/>
  <sheetViews>
    <sheetView zoomScale="77" zoomScaleNormal="77" workbookViewId="0">
      <selection activeCell="E29" sqref="E29"/>
    </sheetView>
  </sheetViews>
  <sheetFormatPr defaultRowHeight="14.4"/>
  <cols>
    <col min="1" max="1" width="16.44140625" customWidth="1"/>
    <col min="2" max="2" width="31.109375" customWidth="1"/>
    <col min="3" max="4" width="15" bestFit="1" customWidth="1"/>
    <col min="5" max="5" width="17.44140625" customWidth="1"/>
    <col min="6" max="7" width="15" bestFit="1" customWidth="1"/>
    <col min="8" max="8" width="16.109375" bestFit="1" customWidth="1"/>
    <col min="10" max="10" width="28.109375" customWidth="1"/>
    <col min="11" max="15" width="15" bestFit="1" customWidth="1"/>
    <col min="16" max="16" width="16.109375" bestFit="1" customWidth="1"/>
  </cols>
  <sheetData>
    <row r="1" spans="1:16" ht="15.6">
      <c r="A1" s="218" t="s">
        <v>133</v>
      </c>
    </row>
    <row r="2" spans="1:16">
      <c r="A2" s="207" t="s">
        <v>134</v>
      </c>
      <c r="J2" s="207" t="s">
        <v>135</v>
      </c>
    </row>
    <row r="3" spans="1:16">
      <c r="B3" s="207"/>
      <c r="C3" s="217" t="s">
        <v>124</v>
      </c>
      <c r="D3" s="217" t="s">
        <v>123</v>
      </c>
      <c r="E3" s="217" t="s">
        <v>122</v>
      </c>
      <c r="F3" s="219" t="s">
        <v>132</v>
      </c>
      <c r="G3" s="219" t="s">
        <v>131</v>
      </c>
      <c r="H3" s="217" t="s">
        <v>125</v>
      </c>
      <c r="K3" s="217" t="s">
        <v>130</v>
      </c>
      <c r="L3" s="217" t="s">
        <v>129</v>
      </c>
      <c r="M3" s="217" t="s">
        <v>128</v>
      </c>
      <c r="N3" s="217" t="s">
        <v>127</v>
      </c>
      <c r="O3" s="217" t="s">
        <v>126</v>
      </c>
      <c r="P3" s="217" t="s">
        <v>125</v>
      </c>
    </row>
    <row r="4" spans="1:16">
      <c r="A4" s="207" t="s">
        <v>121</v>
      </c>
    </row>
    <row r="5" spans="1:16" ht="14.1" customHeight="1">
      <c r="A5" s="224" t="s">
        <v>120</v>
      </c>
      <c r="B5" t="s">
        <v>111</v>
      </c>
      <c r="C5" s="205">
        <v>20921974.260000002</v>
      </c>
      <c r="D5" s="205">
        <v>17724053.809999999</v>
      </c>
      <c r="E5" s="205">
        <v>22499924.23</v>
      </c>
      <c r="F5" s="205">
        <v>30269661.84</v>
      </c>
      <c r="G5" s="205">
        <v>24077468</v>
      </c>
      <c r="H5" s="216">
        <f>SUM(C5:G5)</f>
        <v>115493082.14</v>
      </c>
      <c r="J5" t="s">
        <v>111</v>
      </c>
      <c r="K5" s="205">
        <v>14023584.403105199</v>
      </c>
      <c r="L5" s="205">
        <v>14974684.495713701</v>
      </c>
      <c r="M5" s="205">
        <v>15315403.8908809</v>
      </c>
      <c r="N5" s="205">
        <v>11431910.775251701</v>
      </c>
      <c r="O5" s="205">
        <v>1174467.6670348998</v>
      </c>
      <c r="P5" s="216">
        <f>SUM(K5:O5)</f>
        <v>56920051.231986403</v>
      </c>
    </row>
    <row r="6" spans="1:16">
      <c r="A6" s="224"/>
      <c r="B6" t="s">
        <v>107</v>
      </c>
      <c r="C6" s="205">
        <v>3549763.4</v>
      </c>
      <c r="D6" s="205">
        <v>3008091.37</v>
      </c>
      <c r="E6" s="205">
        <v>3818854.83</v>
      </c>
      <c r="F6" s="205">
        <v>0</v>
      </c>
      <c r="G6" s="205">
        <v>0</v>
      </c>
      <c r="H6" s="216">
        <f>SUM(C6:G6)</f>
        <v>10376709.6</v>
      </c>
      <c r="J6" t="s">
        <v>107</v>
      </c>
      <c r="K6" s="205">
        <v>2416725.5653650002</v>
      </c>
      <c r="L6" s="205">
        <v>2580631.4429895002</v>
      </c>
      <c r="M6" s="205">
        <v>2639348.6189443003</v>
      </c>
      <c r="N6" s="205">
        <v>1970094.8229334</v>
      </c>
      <c r="O6" s="205">
        <v>202399.46899669999</v>
      </c>
      <c r="P6" s="216">
        <f>SUM(K6:O6)</f>
        <v>9809199.9192289002</v>
      </c>
    </row>
    <row r="7" spans="1:16">
      <c r="A7" s="224"/>
      <c r="B7" t="s">
        <v>86</v>
      </c>
      <c r="C7" s="205">
        <f>C5+C6</f>
        <v>24471737.66</v>
      </c>
      <c r="D7" s="205">
        <f>D5+D6</f>
        <v>20732145.18</v>
      </c>
      <c r="E7" s="205">
        <f>E5+E6</f>
        <v>26318779.060000002</v>
      </c>
      <c r="F7" s="205">
        <f>F5+F6</f>
        <v>30269661.84</v>
      </c>
      <c r="G7" s="205">
        <f>G5+G6</f>
        <v>24077468</v>
      </c>
      <c r="H7" s="216">
        <f>SUM(C7:G7)</f>
        <v>125869791.74000001</v>
      </c>
      <c r="J7" t="s">
        <v>86</v>
      </c>
      <c r="K7" s="205">
        <f>K5+K6</f>
        <v>16440309.968470199</v>
      </c>
      <c r="L7" s="205">
        <f>L5+L6</f>
        <v>17555315.938703202</v>
      </c>
      <c r="M7" s="205">
        <f>M5+M6</f>
        <v>17954752.5098252</v>
      </c>
      <c r="N7" s="205">
        <f>N5+N6</f>
        <v>13402005.598185102</v>
      </c>
      <c r="O7" s="205">
        <f>O5+O6</f>
        <v>1376867.1360315997</v>
      </c>
      <c r="P7" s="216">
        <f>SUM(K7:O7)</f>
        <v>66729251.1512153</v>
      </c>
    </row>
    <row r="8" spans="1:16">
      <c r="A8" s="207"/>
      <c r="C8" s="205"/>
      <c r="D8" s="205"/>
      <c r="E8" s="205"/>
      <c r="F8" s="205"/>
      <c r="G8" s="205"/>
      <c r="H8" s="216"/>
      <c r="K8" s="205"/>
      <c r="L8" s="205"/>
      <c r="M8" s="205"/>
      <c r="N8" s="205"/>
      <c r="O8" s="205"/>
      <c r="P8" s="216"/>
    </row>
    <row r="9" spans="1:16">
      <c r="A9" s="207" t="s">
        <v>119</v>
      </c>
      <c r="C9" s="205"/>
      <c r="D9" s="205"/>
      <c r="H9" s="216"/>
      <c r="K9" s="205"/>
      <c r="L9" s="205"/>
      <c r="P9" s="216"/>
    </row>
    <row r="10" spans="1:16" ht="14.1" customHeight="1">
      <c r="A10" s="225" t="s">
        <v>118</v>
      </c>
      <c r="B10" t="s">
        <v>111</v>
      </c>
      <c r="C10" s="205">
        <v>1532831.21</v>
      </c>
      <c r="D10" s="205">
        <v>900341.17</v>
      </c>
      <c r="E10" s="205">
        <v>1496877.17</v>
      </c>
      <c r="F10" s="205">
        <v>4776799.9573499169</v>
      </c>
      <c r="G10" s="205">
        <v>10970727.55795981</v>
      </c>
      <c r="H10" s="216">
        <f>SUM(C10:G10)</f>
        <v>19677577.065309726</v>
      </c>
      <c r="J10" t="s">
        <v>111</v>
      </c>
      <c r="K10" s="205">
        <v>4893403.7506721001</v>
      </c>
      <c r="L10" s="205">
        <v>3137086.5463012997</v>
      </c>
      <c r="M10" s="205">
        <v>2366355.7281566001</v>
      </c>
      <c r="N10" s="205">
        <v>4971123.0049320003</v>
      </c>
      <c r="O10" s="205">
        <v>2403933.6260923999</v>
      </c>
      <c r="P10" s="216">
        <f>SUM(K10:O10)</f>
        <v>17771902.656154402</v>
      </c>
    </row>
    <row r="11" spans="1:16">
      <c r="A11" s="225"/>
      <c r="B11" t="s">
        <v>107</v>
      </c>
      <c r="C11" s="205">
        <v>464560.98</v>
      </c>
      <c r="D11" s="205">
        <v>152812.45000000001</v>
      </c>
      <c r="E11" s="205">
        <v>256928.27999999997</v>
      </c>
      <c r="F11" s="205">
        <v>823199.99265008327</v>
      </c>
      <c r="G11" s="205">
        <v>1890617.7620401913</v>
      </c>
      <c r="H11" s="216">
        <f>SUM(C11:G11)</f>
        <v>3588119.4646902746</v>
      </c>
      <c r="J11" t="s">
        <v>107</v>
      </c>
      <c r="K11" s="205">
        <v>843294.66746639996</v>
      </c>
      <c r="L11" s="205">
        <v>540623.35557589994</v>
      </c>
      <c r="M11" s="205">
        <v>407801.0457665</v>
      </c>
      <c r="N11" s="205">
        <v>856688.25524630002</v>
      </c>
      <c r="O11" s="205">
        <v>414276.95549289999</v>
      </c>
      <c r="P11" s="216">
        <f>SUM(K11:O11)</f>
        <v>3062684.2795479996</v>
      </c>
    </row>
    <row r="12" spans="1:16">
      <c r="A12" s="225"/>
      <c r="B12" t="s">
        <v>86</v>
      </c>
      <c r="C12" s="205">
        <f>C10+C11</f>
        <v>1997392.19</v>
      </c>
      <c r="D12" s="205">
        <f>D10+D11</f>
        <v>1053153.6200000001</v>
      </c>
      <c r="E12" s="205">
        <f>E10+E11</f>
        <v>1753805.45</v>
      </c>
      <c r="F12" s="205">
        <f>F10+F11</f>
        <v>5599999.9500000002</v>
      </c>
      <c r="G12" s="205">
        <f>G10+G11</f>
        <v>12861345.32</v>
      </c>
      <c r="H12" s="216">
        <f>SUM(C12:G12)</f>
        <v>23265696.530000001</v>
      </c>
      <c r="J12" t="s">
        <v>86</v>
      </c>
      <c r="K12" s="205">
        <f>K10+K11</f>
        <v>5736698.4181385003</v>
      </c>
      <c r="L12" s="205">
        <f>L10+L11</f>
        <v>3677709.9018771998</v>
      </c>
      <c r="M12" s="205">
        <f>M10+M11</f>
        <v>2774156.7739231</v>
      </c>
      <c r="N12" s="205">
        <f>N10+N11</f>
        <v>5827811.2601783006</v>
      </c>
      <c r="O12" s="205">
        <f>O10+O11</f>
        <v>2818210.5815853002</v>
      </c>
      <c r="P12" s="216">
        <f>SUM(K12:O12)</f>
        <v>20834586.935702402</v>
      </c>
    </row>
    <row r="13" spans="1:16">
      <c r="A13" s="207"/>
      <c r="C13" s="205"/>
      <c r="D13" s="205"/>
      <c r="E13" s="205"/>
      <c r="F13" s="205"/>
      <c r="G13" s="205"/>
      <c r="H13" s="216"/>
      <c r="K13" s="205"/>
      <c r="L13" s="205"/>
      <c r="M13" s="205"/>
      <c r="N13" s="205"/>
      <c r="O13" s="205"/>
      <c r="P13" s="216"/>
    </row>
    <row r="14" spans="1:16">
      <c r="A14" s="207" t="s">
        <v>117</v>
      </c>
      <c r="C14" s="205"/>
      <c r="D14" s="205"/>
      <c r="H14" s="216"/>
      <c r="K14" s="205"/>
      <c r="L14" s="205"/>
      <c r="P14" s="216"/>
    </row>
    <row r="15" spans="1:16" ht="14.1" customHeight="1">
      <c r="A15" s="224" t="s">
        <v>116</v>
      </c>
      <c r="B15" t="s">
        <v>111</v>
      </c>
      <c r="C15" s="205">
        <v>2129701.75</v>
      </c>
      <c r="D15" s="205">
        <v>4826253.8800000008</v>
      </c>
      <c r="E15" s="205">
        <v>8721241.7999999989</v>
      </c>
      <c r="F15" s="205">
        <v>11292451.374000594</v>
      </c>
      <c r="G15" s="205">
        <v>21246451.700001121</v>
      </c>
      <c r="H15" s="216">
        <f>SUM(C15:G15)</f>
        <v>48216100.504001714</v>
      </c>
      <c r="J15" t="s">
        <v>111</v>
      </c>
      <c r="K15" s="205">
        <v>7699744.3207415007</v>
      </c>
      <c r="L15" s="205">
        <v>7474397.3267668001</v>
      </c>
      <c r="M15" s="205">
        <v>9499220.7524967995</v>
      </c>
      <c r="N15" s="205">
        <v>8775061.4856936</v>
      </c>
      <c r="O15" s="205">
        <v>8738953.2374312002</v>
      </c>
      <c r="P15" s="216">
        <f>SUM(K15:O15)</f>
        <v>42187377.123129904</v>
      </c>
    </row>
    <row r="16" spans="1:16">
      <c r="A16" s="224"/>
      <c r="B16" t="s">
        <v>107</v>
      </c>
      <c r="C16" s="205">
        <v>26353.759999999998</v>
      </c>
      <c r="D16" s="205">
        <v>86502.44</v>
      </c>
      <c r="E16" s="205">
        <v>149818.54</v>
      </c>
      <c r="F16" s="205">
        <v>594339.54599940369</v>
      </c>
      <c r="G16" s="205">
        <v>1118234.299998878</v>
      </c>
      <c r="H16" s="216">
        <f>SUM(C16:G16)</f>
        <v>1975248.5859982818</v>
      </c>
      <c r="J16" t="s">
        <v>107</v>
      </c>
      <c r="K16" s="205">
        <v>1326919.5957199999</v>
      </c>
      <c r="L16" s="205">
        <v>1288084.8851521001</v>
      </c>
      <c r="M16" s="205">
        <v>1637028.6642637998</v>
      </c>
      <c r="N16" s="205">
        <v>1512232.1669366998</v>
      </c>
      <c r="O16" s="205">
        <v>1506009.5262628002</v>
      </c>
      <c r="P16" s="216">
        <f>SUM(K16:O16)</f>
        <v>7270274.8383353995</v>
      </c>
    </row>
    <row r="17" spans="1:16">
      <c r="A17" s="224"/>
      <c r="B17" t="s">
        <v>86</v>
      </c>
      <c r="C17" s="205">
        <f>C15+C16</f>
        <v>2156055.5099999998</v>
      </c>
      <c r="D17" s="205">
        <f>D15+D16</f>
        <v>4912756.3200000012</v>
      </c>
      <c r="E17" s="205">
        <f>E15+E16</f>
        <v>8871060.339999998</v>
      </c>
      <c r="F17" s="205">
        <f>F15+F16</f>
        <v>11886790.919999998</v>
      </c>
      <c r="G17" s="205">
        <f>G15+G16</f>
        <v>22364686</v>
      </c>
      <c r="H17" s="216">
        <f>SUM(C17:G17)</f>
        <v>50191349.089999996</v>
      </c>
      <c r="J17" t="s">
        <v>86</v>
      </c>
      <c r="K17" s="205">
        <f>K15+K16</f>
        <v>9026663.9164615013</v>
      </c>
      <c r="L17" s="205">
        <f>L15+L16</f>
        <v>8762482.2119188998</v>
      </c>
      <c r="M17" s="205">
        <f>M15+M16</f>
        <v>11136249.416760599</v>
      </c>
      <c r="N17" s="205">
        <f>N15+N16</f>
        <v>10287293.652630299</v>
      </c>
      <c r="O17" s="205">
        <f>O15+O16</f>
        <v>10244962.763693999</v>
      </c>
      <c r="P17" s="216">
        <f>SUM(K17:O17)</f>
        <v>49457651.961465299</v>
      </c>
    </row>
    <row r="18" spans="1:16">
      <c r="H18" s="203"/>
    </row>
    <row r="19" spans="1:16">
      <c r="H19" s="203"/>
    </row>
    <row r="20" spans="1:16">
      <c r="A20" s="207" t="s">
        <v>86</v>
      </c>
      <c r="B20" t="s">
        <v>111</v>
      </c>
      <c r="C20" s="204">
        <f t="shared" ref="C20:G22" si="0">C5+C10+C15</f>
        <v>24584507.220000003</v>
      </c>
      <c r="D20" s="204">
        <f t="shared" si="0"/>
        <v>23450648.859999999</v>
      </c>
      <c r="E20" s="204">
        <f t="shared" si="0"/>
        <v>32718043.199999996</v>
      </c>
      <c r="F20" s="204">
        <f t="shared" si="0"/>
        <v>46338913.171350509</v>
      </c>
      <c r="G20" s="204">
        <f t="shared" si="0"/>
        <v>56294647.25796093</v>
      </c>
      <c r="H20" s="216">
        <f>SUM(C20:G20)</f>
        <v>183386759.70931143</v>
      </c>
      <c r="J20" t="s">
        <v>111</v>
      </c>
      <c r="K20" s="204">
        <f t="shared" ref="K20:O22" si="1">K5+K10+K15</f>
        <v>26616732.474518802</v>
      </c>
      <c r="L20" s="204">
        <f t="shared" si="1"/>
        <v>25586168.368781801</v>
      </c>
      <c r="M20" s="204">
        <f t="shared" si="1"/>
        <v>27180980.371534303</v>
      </c>
      <c r="N20" s="204">
        <f t="shared" si="1"/>
        <v>25178095.265877303</v>
      </c>
      <c r="O20" s="204">
        <f t="shared" si="1"/>
        <v>12317354.5305585</v>
      </c>
      <c r="P20" s="216">
        <f>SUM(K20:O20)</f>
        <v>116879331.0112707</v>
      </c>
    </row>
    <row r="21" spans="1:16">
      <c r="A21" s="207" t="s">
        <v>86</v>
      </c>
      <c r="B21" t="s">
        <v>107</v>
      </c>
      <c r="C21" s="204">
        <f t="shared" si="0"/>
        <v>4040678.1399999997</v>
      </c>
      <c r="D21" s="204">
        <f t="shared" si="0"/>
        <v>3247406.2600000002</v>
      </c>
      <c r="E21" s="204">
        <f t="shared" si="0"/>
        <v>4225601.6499999994</v>
      </c>
      <c r="F21" s="204">
        <f t="shared" si="0"/>
        <v>1417539.5386494868</v>
      </c>
      <c r="G21" s="204">
        <f t="shared" si="0"/>
        <v>3008852.0620390694</v>
      </c>
      <c r="H21" s="216">
        <f>SUM(C21:G21)</f>
        <v>15940077.650688557</v>
      </c>
      <c r="J21" t="s">
        <v>107</v>
      </c>
      <c r="K21" s="204">
        <f t="shared" si="1"/>
        <v>4586939.8285513995</v>
      </c>
      <c r="L21" s="204">
        <f t="shared" si="1"/>
        <v>4409339.6837175004</v>
      </c>
      <c r="M21" s="204">
        <f t="shared" si="1"/>
        <v>4684178.3289746</v>
      </c>
      <c r="N21" s="204">
        <f t="shared" si="1"/>
        <v>4339015.2451163996</v>
      </c>
      <c r="O21" s="204">
        <f t="shared" si="1"/>
        <v>2122685.9507524003</v>
      </c>
      <c r="P21" s="216">
        <f>SUM(K21:O21)</f>
        <v>20142159.037112303</v>
      </c>
    </row>
    <row r="22" spans="1:16">
      <c r="A22" s="207" t="s">
        <v>86</v>
      </c>
      <c r="B22" t="s">
        <v>86</v>
      </c>
      <c r="C22" s="204">
        <f t="shared" si="0"/>
        <v>28625185.359999999</v>
      </c>
      <c r="D22" s="204">
        <f t="shared" si="0"/>
        <v>26698055.120000001</v>
      </c>
      <c r="E22" s="204">
        <f t="shared" si="0"/>
        <v>36943644.850000001</v>
      </c>
      <c r="F22" s="204">
        <f t="shared" si="0"/>
        <v>47756452.709999993</v>
      </c>
      <c r="G22" s="204">
        <f t="shared" si="0"/>
        <v>59303499.32</v>
      </c>
      <c r="H22" s="216">
        <f>SUM(C22:G22)</f>
        <v>199326837.36000001</v>
      </c>
      <c r="J22" t="s">
        <v>86</v>
      </c>
      <c r="K22" s="204">
        <f t="shared" si="1"/>
        <v>31203672.303070199</v>
      </c>
      <c r="L22" s="204">
        <f t="shared" si="1"/>
        <v>29995508.052499302</v>
      </c>
      <c r="M22" s="204">
        <f t="shared" si="1"/>
        <v>31865158.7005089</v>
      </c>
      <c r="N22" s="204">
        <f t="shared" si="1"/>
        <v>29517110.5109937</v>
      </c>
      <c r="O22" s="204">
        <f t="shared" si="1"/>
        <v>14440040.4813109</v>
      </c>
      <c r="P22" s="216">
        <f>SUM(K22:O22)</f>
        <v>137021490.048383</v>
      </c>
    </row>
    <row r="24" spans="1:16">
      <c r="J24" t="s">
        <v>115</v>
      </c>
      <c r="K24" s="215">
        <v>1.8404907975460016E-2</v>
      </c>
      <c r="L24" s="215">
        <v>8.6058519793459354E-3</v>
      </c>
      <c r="M24" s="215">
        <v>3.498293515358375E-2</v>
      </c>
      <c r="N24" s="215">
        <v>0.08</v>
      </c>
      <c r="O24" s="215">
        <v>4.7500000000000001E-2</v>
      </c>
    </row>
    <row r="25" spans="1:16">
      <c r="J25" t="s">
        <v>114</v>
      </c>
      <c r="K25" s="215">
        <v>0</v>
      </c>
      <c r="L25" s="215">
        <v>0</v>
      </c>
      <c r="M25" s="215">
        <v>0</v>
      </c>
      <c r="N25" s="215">
        <v>0</v>
      </c>
      <c r="O25" s="215">
        <v>0</v>
      </c>
      <c r="P25" s="215"/>
    </row>
    <row r="26" spans="1:16">
      <c r="J26" t="s">
        <v>113</v>
      </c>
      <c r="K26" s="214">
        <f>(1+K25)</f>
        <v>1</v>
      </c>
      <c r="L26" s="214">
        <f>K26*(1+L25)</f>
        <v>1</v>
      </c>
      <c r="M26" s="214">
        <f>L26*(1+M25)</f>
        <v>1</v>
      </c>
      <c r="N26" s="214">
        <f>M26*(1+N25)</f>
        <v>1</v>
      </c>
      <c r="O26" s="214">
        <f>N26*(1+O25)</f>
        <v>1</v>
      </c>
      <c r="P26" s="214"/>
    </row>
    <row r="27" spans="1:16" ht="15" thickBot="1"/>
    <row r="28" spans="1:16">
      <c r="B28" s="213" t="s">
        <v>137</v>
      </c>
      <c r="C28" s="220" t="s">
        <v>130</v>
      </c>
      <c r="D28" s="220" t="s">
        <v>129</v>
      </c>
      <c r="E28" s="220" t="s">
        <v>128</v>
      </c>
      <c r="F28" s="220" t="s">
        <v>127</v>
      </c>
      <c r="G28" s="220" t="s">
        <v>126</v>
      </c>
      <c r="H28" s="221" t="s">
        <v>125</v>
      </c>
      <c r="J28" s="213" t="s">
        <v>136</v>
      </c>
      <c r="K28" s="220" t="s">
        <v>130</v>
      </c>
      <c r="L28" s="220" t="s">
        <v>129</v>
      </c>
      <c r="M28" s="220" t="s">
        <v>128</v>
      </c>
      <c r="N28" s="220" t="s">
        <v>127</v>
      </c>
      <c r="O28" s="220" t="s">
        <v>126</v>
      </c>
      <c r="P28" s="221" t="s">
        <v>125</v>
      </c>
    </row>
    <row r="29" spans="1:16">
      <c r="B29" s="212" t="s">
        <v>111</v>
      </c>
      <c r="C29" s="204">
        <f t="shared" ref="C29:G30" si="2">C20/10^6</f>
        <v>24.584507220000003</v>
      </c>
      <c r="D29" s="204">
        <f t="shared" si="2"/>
        <v>23.450648860000001</v>
      </c>
      <c r="E29" s="204">
        <f t="shared" si="2"/>
        <v>32.718043199999997</v>
      </c>
      <c r="F29" s="204">
        <f t="shared" si="2"/>
        <v>46.338913171350512</v>
      </c>
      <c r="G29" s="204">
        <f t="shared" si="2"/>
        <v>56.294647257960932</v>
      </c>
      <c r="H29" s="211">
        <f>SUM(C29:G29)</f>
        <v>183.38675970931143</v>
      </c>
      <c r="J29" s="212" t="s">
        <v>111</v>
      </c>
      <c r="K29" s="204">
        <f>K20*K26/10^6</f>
        <v>26.616732474518802</v>
      </c>
      <c r="L29" s="204">
        <f>L20*L26/10^6</f>
        <v>25.586168368781802</v>
      </c>
      <c r="M29" s="204">
        <f>M20*M26/10^6</f>
        <v>27.180980371534304</v>
      </c>
      <c r="N29" s="204">
        <f>N20*N26/10^6</f>
        <v>25.178095265877303</v>
      </c>
      <c r="O29" s="204">
        <f>O20*O26/10^6</f>
        <v>12.3173545305585</v>
      </c>
      <c r="P29" s="211">
        <f>SUM(K29:O29)</f>
        <v>116.87933101127071</v>
      </c>
    </row>
    <row r="30" spans="1:16">
      <c r="B30" s="212" t="s">
        <v>107</v>
      </c>
      <c r="C30" s="204">
        <f t="shared" si="2"/>
        <v>4.0406781399999998</v>
      </c>
      <c r="D30" s="204">
        <f t="shared" si="2"/>
        <v>3.2474062600000004</v>
      </c>
      <c r="E30" s="204">
        <f t="shared" si="2"/>
        <v>4.2256016499999998</v>
      </c>
      <c r="F30" s="204">
        <f t="shared" si="2"/>
        <v>1.4175395386494869</v>
      </c>
      <c r="G30" s="204">
        <f t="shared" si="2"/>
        <v>3.0088520620390695</v>
      </c>
      <c r="H30" s="211">
        <f>SUM(C30:G30)</f>
        <v>15.940077650688558</v>
      </c>
      <c r="J30" s="212" t="s">
        <v>107</v>
      </c>
      <c r="K30" s="204">
        <f>K21*K26/10^6</f>
        <v>4.5869398285513991</v>
      </c>
      <c r="L30" s="204">
        <f>L21*L26/10^6</f>
        <v>4.4093396837175005</v>
      </c>
      <c r="M30" s="204">
        <f>M21*M26/10^6</f>
        <v>4.6841783289745997</v>
      </c>
      <c r="N30" s="204">
        <f>N21*N26/10^6</f>
        <v>4.3390152451163999</v>
      </c>
      <c r="O30" s="204">
        <f>O21*O26/10^6</f>
        <v>2.1226859507524005</v>
      </c>
      <c r="P30" s="211">
        <f>SUM(K30:O30)</f>
        <v>20.1421590371123</v>
      </c>
    </row>
    <row r="31" spans="1:16" ht="15" thickBot="1">
      <c r="B31" s="210" t="s">
        <v>86</v>
      </c>
      <c r="C31" s="209">
        <f>C29+C30</f>
        <v>28.625185360000003</v>
      </c>
      <c r="D31" s="209">
        <f>D29+D30</f>
        <v>26.698055120000003</v>
      </c>
      <c r="E31" s="209">
        <f>E29+E30</f>
        <v>36.943644849999998</v>
      </c>
      <c r="F31" s="209">
        <f>F29+F30</f>
        <v>47.756452709999998</v>
      </c>
      <c r="G31" s="209">
        <f>G29+G30</f>
        <v>59.30349932</v>
      </c>
      <c r="H31" s="208">
        <f>SUM(C31:G31)</f>
        <v>199.32683736000001</v>
      </c>
      <c r="J31" s="210" t="s">
        <v>86</v>
      </c>
      <c r="K31" s="209">
        <f>K29+K30</f>
        <v>31.203672303070199</v>
      </c>
      <c r="L31" s="209">
        <f>L29+L30</f>
        <v>29.995508052499304</v>
      </c>
      <c r="M31" s="209">
        <f>M29+M30</f>
        <v>31.865158700508903</v>
      </c>
      <c r="N31" s="209">
        <f>N29+N30</f>
        <v>29.517110510993703</v>
      </c>
      <c r="O31" s="209">
        <f>O29+O30</f>
        <v>14.4400404813109</v>
      </c>
      <c r="P31" s="208">
        <f>SUM(K31:O31)</f>
        <v>137.02149004838301</v>
      </c>
    </row>
    <row r="33" spans="1:16">
      <c r="K33" s="206"/>
      <c r="L33" s="206"/>
      <c r="M33" s="206"/>
      <c r="N33" s="206"/>
      <c r="O33" s="206"/>
    </row>
    <row r="34" spans="1:16">
      <c r="B34" s="207" t="s">
        <v>138</v>
      </c>
      <c r="J34" s="207" t="s">
        <v>112</v>
      </c>
      <c r="K34" s="206"/>
      <c r="L34" s="206"/>
      <c r="M34" s="206"/>
      <c r="N34" s="206"/>
      <c r="O34" s="206"/>
    </row>
    <row r="35" spans="1:16">
      <c r="C35" s="217" t="s">
        <v>130</v>
      </c>
      <c r="D35" s="217" t="s">
        <v>129</v>
      </c>
      <c r="E35" s="217" t="s">
        <v>128</v>
      </c>
      <c r="F35" s="217" t="s">
        <v>127</v>
      </c>
      <c r="G35" s="217" t="s">
        <v>126</v>
      </c>
      <c r="H35" s="217" t="s">
        <v>125</v>
      </c>
      <c r="K35" s="217" t="s">
        <v>130</v>
      </c>
      <c r="L35" s="217" t="s">
        <v>129</v>
      </c>
      <c r="M35" s="217" t="s">
        <v>128</v>
      </c>
      <c r="N35" s="217" t="s">
        <v>127</v>
      </c>
      <c r="O35" s="217" t="s">
        <v>126</v>
      </c>
      <c r="P35" s="217" t="s">
        <v>125</v>
      </c>
    </row>
    <row r="36" spans="1:16">
      <c r="A36" t="s">
        <v>111</v>
      </c>
      <c r="B36" t="s">
        <v>110</v>
      </c>
      <c r="C36" s="204">
        <f t="shared" ref="C36:H36" si="3">C5/10^6</f>
        <v>20.921974260000002</v>
      </c>
      <c r="D36" s="204">
        <f t="shared" si="3"/>
        <v>17.724053809999997</v>
      </c>
      <c r="E36" s="204">
        <f t="shared" si="3"/>
        <v>22.499924230000001</v>
      </c>
      <c r="F36" s="204">
        <f t="shared" si="3"/>
        <v>30.269661840000001</v>
      </c>
      <c r="G36" s="204">
        <f t="shared" si="3"/>
        <v>24.077468</v>
      </c>
      <c r="H36" s="204">
        <f t="shared" si="3"/>
        <v>115.49308214</v>
      </c>
      <c r="J36" t="s">
        <v>110</v>
      </c>
      <c r="K36" s="205">
        <f>K5*K$26/10^6</f>
        <v>14.023584403105199</v>
      </c>
      <c r="L36" s="205">
        <f>L5*L$26/10^6</f>
        <v>14.974684495713701</v>
      </c>
      <c r="M36" s="205">
        <f>M5*M$26/10^6</f>
        <v>15.3154038908809</v>
      </c>
      <c r="N36" s="205">
        <f>N5*N$26/10^6</f>
        <v>11.431910775251701</v>
      </c>
      <c r="O36" s="205">
        <f>O5*O$26/10^6</f>
        <v>1.1744676670348999</v>
      </c>
      <c r="P36" s="205">
        <f>SUM(K36:O36)</f>
        <v>56.920051231986399</v>
      </c>
    </row>
    <row r="37" spans="1:16">
      <c r="A37" t="s">
        <v>111</v>
      </c>
      <c r="B37" t="s">
        <v>109</v>
      </c>
      <c r="C37" s="204">
        <f t="shared" ref="C37:H37" si="4">C10/10^6</f>
        <v>1.5328312099999999</v>
      </c>
      <c r="D37" s="204">
        <f t="shared" si="4"/>
        <v>0.90034117000000002</v>
      </c>
      <c r="E37" s="204">
        <f t="shared" si="4"/>
        <v>1.4968771699999999</v>
      </c>
      <c r="F37" s="204">
        <f t="shared" si="4"/>
        <v>4.7767999573499171</v>
      </c>
      <c r="G37" s="204">
        <f t="shared" si="4"/>
        <v>10.97072755795981</v>
      </c>
      <c r="H37" s="204">
        <f t="shared" si="4"/>
        <v>19.677577065309727</v>
      </c>
      <c r="J37" t="s">
        <v>109</v>
      </c>
      <c r="K37" s="205">
        <f>K10*K$26/10^6</f>
        <v>4.8934037506720998</v>
      </c>
      <c r="L37" s="205">
        <f>L10*L$26/10^6</f>
        <v>3.1370865463012998</v>
      </c>
      <c r="M37" s="205">
        <f>M10*M$26/10^6</f>
        <v>2.3663557281566003</v>
      </c>
      <c r="N37" s="205">
        <f>N10*N$26/10^6</f>
        <v>4.9711230049320001</v>
      </c>
      <c r="O37" s="205">
        <f>O10*O$26/10^6</f>
        <v>2.4039336260924</v>
      </c>
      <c r="P37" s="205">
        <f>SUM(K37:O37)</f>
        <v>17.771902656154399</v>
      </c>
    </row>
    <row r="38" spans="1:16">
      <c r="A38" t="s">
        <v>111</v>
      </c>
      <c r="B38" t="s">
        <v>108</v>
      </c>
      <c r="C38" s="204">
        <f t="shared" ref="C38:H38" si="5">C15/10^6</f>
        <v>2.1297017500000002</v>
      </c>
      <c r="D38" s="204">
        <f t="shared" si="5"/>
        <v>4.8262538800000012</v>
      </c>
      <c r="E38" s="204">
        <f t="shared" si="5"/>
        <v>8.7212417999999996</v>
      </c>
      <c r="F38" s="204">
        <f t="shared" si="5"/>
        <v>11.292451374000594</v>
      </c>
      <c r="G38" s="204">
        <f t="shared" si="5"/>
        <v>21.246451700001121</v>
      </c>
      <c r="H38" s="204">
        <f t="shared" si="5"/>
        <v>48.216100504001716</v>
      </c>
      <c r="J38" t="s">
        <v>108</v>
      </c>
      <c r="K38" s="205">
        <f>K15*K$26/10^6</f>
        <v>7.6997443207415008</v>
      </c>
      <c r="L38" s="205">
        <f>L15*L$26/10^6</f>
        <v>7.4743973267668</v>
      </c>
      <c r="M38" s="205">
        <f>M15*M$26/10^6</f>
        <v>9.4992207524968002</v>
      </c>
      <c r="N38" s="205">
        <f>N15*N$26/10^6</f>
        <v>8.7750614856936</v>
      </c>
      <c r="O38" s="205">
        <f>O15*O$26/10^6</f>
        <v>8.7389532374312004</v>
      </c>
      <c r="P38" s="205">
        <f>SUM(K38:O38)</f>
        <v>42.187377123129906</v>
      </c>
    </row>
    <row r="39" spans="1:16">
      <c r="A39" t="s">
        <v>111</v>
      </c>
      <c r="B39" t="s">
        <v>86</v>
      </c>
      <c r="C39" s="204">
        <f t="shared" ref="C39:H39" si="6">SUM(C36:C38)</f>
        <v>24.584507220000003</v>
      </c>
      <c r="D39" s="204">
        <f t="shared" si="6"/>
        <v>23.450648860000001</v>
      </c>
      <c r="E39" s="204">
        <f t="shared" si="6"/>
        <v>32.718043200000004</v>
      </c>
      <c r="F39" s="204">
        <f t="shared" si="6"/>
        <v>46.338913171350512</v>
      </c>
      <c r="G39" s="204">
        <f t="shared" si="6"/>
        <v>56.294647257960932</v>
      </c>
      <c r="H39" s="204">
        <f t="shared" si="6"/>
        <v>183.38675970931143</v>
      </c>
      <c r="J39" t="s">
        <v>86</v>
      </c>
      <c r="K39" s="204">
        <f t="shared" ref="K39:P39" si="7">SUM(K36:K38)</f>
        <v>26.616732474518798</v>
      </c>
      <c r="L39" s="204">
        <f t="shared" si="7"/>
        <v>25.586168368781799</v>
      </c>
      <c r="M39" s="204">
        <f t="shared" si="7"/>
        <v>27.1809803715343</v>
      </c>
      <c r="N39" s="204">
        <f t="shared" si="7"/>
        <v>25.178095265877303</v>
      </c>
      <c r="O39" s="204">
        <f t="shared" si="7"/>
        <v>12.3173545305585</v>
      </c>
      <c r="P39" s="204">
        <f t="shared" si="7"/>
        <v>116.87933101127071</v>
      </c>
    </row>
    <row r="41" spans="1:16">
      <c r="A41" t="s">
        <v>107</v>
      </c>
      <c r="B41" t="s">
        <v>110</v>
      </c>
      <c r="C41" s="204">
        <f t="shared" ref="C41:H41" si="8">C6/10^6</f>
        <v>3.5497633999999998</v>
      </c>
      <c r="D41" s="204">
        <f t="shared" si="8"/>
        <v>3.0080913700000003</v>
      </c>
      <c r="E41" s="204">
        <f t="shared" si="8"/>
        <v>3.8188548300000003</v>
      </c>
      <c r="F41" s="204">
        <f t="shared" si="8"/>
        <v>0</v>
      </c>
      <c r="G41" s="204">
        <f t="shared" si="8"/>
        <v>0</v>
      </c>
      <c r="H41" s="204">
        <f t="shared" si="8"/>
        <v>10.3767096</v>
      </c>
      <c r="J41" t="s">
        <v>110</v>
      </c>
      <c r="K41" s="205">
        <f>K6*K$26/10^6</f>
        <v>2.4167255653650002</v>
      </c>
      <c r="L41" s="205">
        <f>L6*L$26/10^6</f>
        <v>2.5806314429895001</v>
      </c>
      <c r="M41" s="205">
        <f>M6*M$26/10^6</f>
        <v>2.6393486189443003</v>
      </c>
      <c r="N41" s="205">
        <f>N6*N$26/10^6</f>
        <v>1.9700948229334001</v>
      </c>
      <c r="O41" s="205">
        <f>O6*O$26/10^6</f>
        <v>0.2023994689967</v>
      </c>
      <c r="P41" s="205">
        <f>SUM(K41:O41)</f>
        <v>9.8091999192289006</v>
      </c>
    </row>
    <row r="42" spans="1:16">
      <c r="A42" t="s">
        <v>107</v>
      </c>
      <c r="B42" t="s">
        <v>109</v>
      </c>
      <c r="C42" s="204">
        <f t="shared" ref="C42:H42" si="9">C11/10^6</f>
        <v>0.46456097999999996</v>
      </c>
      <c r="D42" s="204">
        <f t="shared" si="9"/>
        <v>0.15281245000000002</v>
      </c>
      <c r="E42" s="204">
        <f t="shared" si="9"/>
        <v>0.25692827999999995</v>
      </c>
      <c r="F42" s="204">
        <f t="shared" si="9"/>
        <v>0.82319999265008326</v>
      </c>
      <c r="G42" s="204">
        <f t="shared" si="9"/>
        <v>1.8906177620401914</v>
      </c>
      <c r="H42" s="204">
        <f t="shared" si="9"/>
        <v>3.5881194646902745</v>
      </c>
      <c r="J42" t="s">
        <v>109</v>
      </c>
      <c r="K42" s="205">
        <f>K11*K$26/10^6</f>
        <v>0.84329466746639992</v>
      </c>
      <c r="L42" s="205">
        <f>L11*L$26/10^6</f>
        <v>0.54062335557589991</v>
      </c>
      <c r="M42" s="205">
        <f>M11*M$26/10^6</f>
        <v>0.4078010457665</v>
      </c>
      <c r="N42" s="205">
        <f>N11*N$26/10^6</f>
        <v>0.85668825524629999</v>
      </c>
      <c r="O42" s="205">
        <f>O11*O$26/10^6</f>
        <v>0.4142769554929</v>
      </c>
      <c r="P42" s="205">
        <f>SUM(K42:O42)</f>
        <v>3.0626842795479998</v>
      </c>
    </row>
    <row r="43" spans="1:16">
      <c r="A43" t="s">
        <v>107</v>
      </c>
      <c r="B43" t="s">
        <v>108</v>
      </c>
      <c r="C43" s="204">
        <f t="shared" ref="C43:H43" si="10">C16/10^6</f>
        <v>2.6353759999999997E-2</v>
      </c>
      <c r="D43" s="204">
        <f t="shared" si="10"/>
        <v>8.650244E-2</v>
      </c>
      <c r="E43" s="204">
        <f t="shared" si="10"/>
        <v>0.14981854</v>
      </c>
      <c r="F43" s="204">
        <f t="shared" si="10"/>
        <v>0.59433954599940364</v>
      </c>
      <c r="G43" s="204">
        <f t="shared" si="10"/>
        <v>1.1182342999988781</v>
      </c>
      <c r="H43" s="204">
        <f t="shared" si="10"/>
        <v>1.9752485859982818</v>
      </c>
      <c r="J43" t="s">
        <v>108</v>
      </c>
      <c r="K43" s="205">
        <f>K16*K$26/10^6</f>
        <v>1.32691959572</v>
      </c>
      <c r="L43" s="205">
        <f>L16*L$26/10^6</f>
        <v>1.2880848851521001</v>
      </c>
      <c r="M43" s="205">
        <f>M16*M$26/10^6</f>
        <v>1.6370286642637999</v>
      </c>
      <c r="N43" s="205">
        <f>N16*N$26/10^6</f>
        <v>1.5122321669366998</v>
      </c>
      <c r="O43" s="205">
        <f>O16*O$26/10^6</f>
        <v>1.5060095262628002</v>
      </c>
      <c r="P43" s="205">
        <f>SUM(K43:O43)</f>
        <v>7.2702748383354008</v>
      </c>
    </row>
    <row r="44" spans="1:16">
      <c r="A44" t="s">
        <v>107</v>
      </c>
      <c r="B44" t="s">
        <v>86</v>
      </c>
      <c r="C44" s="204">
        <f t="shared" ref="C44:H44" si="11">SUM(C41:C43)</f>
        <v>4.0406781399999998</v>
      </c>
      <c r="D44" s="204">
        <f t="shared" si="11"/>
        <v>3.24740626</v>
      </c>
      <c r="E44" s="204">
        <f t="shared" si="11"/>
        <v>4.2256016500000007</v>
      </c>
      <c r="F44" s="204">
        <f t="shared" si="11"/>
        <v>1.4175395386494869</v>
      </c>
      <c r="G44" s="204">
        <f t="shared" si="11"/>
        <v>3.0088520620390695</v>
      </c>
      <c r="H44" s="204">
        <f t="shared" si="11"/>
        <v>15.940077650688556</v>
      </c>
      <c r="J44" t="s">
        <v>86</v>
      </c>
      <c r="K44" s="204">
        <f t="shared" ref="K44:P44" si="12">SUM(K41:K43)</f>
        <v>4.5869398285514</v>
      </c>
      <c r="L44" s="204">
        <f t="shared" si="12"/>
        <v>4.4093396837174996</v>
      </c>
      <c r="M44" s="204">
        <f t="shared" si="12"/>
        <v>4.6841783289745997</v>
      </c>
      <c r="N44" s="204">
        <f t="shared" si="12"/>
        <v>4.3390152451163999</v>
      </c>
      <c r="O44" s="204">
        <f t="shared" si="12"/>
        <v>2.1226859507524001</v>
      </c>
      <c r="P44" s="204">
        <f t="shared" si="12"/>
        <v>20.1421590371123</v>
      </c>
    </row>
    <row r="52" spans="3:4">
      <c r="C52" s="203"/>
      <c r="D52" s="203"/>
    </row>
    <row r="53" spans="3:4">
      <c r="C53" s="202"/>
      <c r="D53" s="202"/>
    </row>
    <row r="54" spans="3:4">
      <c r="C54" s="202"/>
      <c r="D54" s="202"/>
    </row>
    <row r="55" spans="3:4">
      <c r="C55" s="202"/>
      <c r="D55" s="202"/>
    </row>
    <row r="56" spans="3:4">
      <c r="C56" s="202"/>
      <c r="D56" s="202"/>
    </row>
  </sheetData>
  <mergeCells count="3">
    <mergeCell ref="A5:A7"/>
    <mergeCell ref="A10:A12"/>
    <mergeCell ref="A15:A17"/>
  </mergeCells>
  <phoneticPr fontId="109" type="noConversion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2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7DCEC-DC20-4793-9571-C83F996FF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page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Excluded Capex 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2023-01-24T04:24:12Z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2022-11-16T06:38:28Z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991d25f6-5371-43a7-81ec-34408934ada0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