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420" yWindow="360" windowWidth="21456" windowHeight="8640" tabRatio="807"/>
  </bookViews>
  <sheets>
    <sheet name="Title" sheetId="63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Input|Dx Tx split" sheetId="62" r:id="rId8"/>
    <sheet name="Calc|Opex forecast" sheetId="42" r:id="rId9"/>
    <sheet name="Output|Models" sheetId="44" r:id="rId10"/>
    <sheet name="Lookup|Tables" sheetId="4" r:id="rId11"/>
    <sheet name="Check|List" sheetId="16" r:id="rId12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 iterateCount="1000"/>
</workbook>
</file>

<file path=xl/calcChain.xml><?xml version="1.0" encoding="utf-8"?>
<calcChain xmlns="http://schemas.openxmlformats.org/spreadsheetml/2006/main">
  <c r="S51" i="42" l="1"/>
  <c r="S61" i="42"/>
  <c r="R51" i="42"/>
  <c r="R61" i="42"/>
  <c r="Q51" i="42"/>
  <c r="Q61" i="42"/>
  <c r="P51" i="42"/>
  <c r="P61" i="42"/>
  <c r="O51" i="42"/>
  <c r="O61" i="42"/>
  <c r="S79" i="42"/>
  <c r="R79" i="42"/>
  <c r="Q79" i="42"/>
  <c r="P79" i="42"/>
  <c r="O79" i="42"/>
  <c r="S78" i="42"/>
  <c r="R78" i="42"/>
  <c r="Q78" i="42"/>
  <c r="P78" i="42"/>
  <c r="O78" i="42"/>
  <c r="S80" i="42"/>
  <c r="R80" i="42"/>
  <c r="Q80" i="42"/>
  <c r="P80" i="42"/>
  <c r="O80" i="42"/>
  <c r="S77" i="42"/>
  <c r="R77" i="42"/>
  <c r="Q77" i="42"/>
  <c r="P77" i="42"/>
  <c r="O77" i="42"/>
  <c r="M38" i="42"/>
  <c r="M44" i="42"/>
  <c r="O75" i="2"/>
  <c r="O76" i="2"/>
  <c r="O78" i="2"/>
  <c r="O95" i="2"/>
  <c r="O96" i="2"/>
  <c r="O97" i="2"/>
  <c r="O98" i="2"/>
  <c r="N38" i="42"/>
  <c r="O38" i="2"/>
  <c r="N40" i="42"/>
  <c r="N44" i="42"/>
  <c r="P75" i="2"/>
  <c r="P78" i="2"/>
  <c r="P95" i="2"/>
  <c r="P96" i="2"/>
  <c r="P97" i="2"/>
  <c r="P98" i="2"/>
  <c r="O38" i="42"/>
  <c r="P38" i="2"/>
  <c r="O40" i="42"/>
  <c r="O44" i="42"/>
  <c r="O21" i="2"/>
  <c r="G58" i="55"/>
  <c r="O12" i="2"/>
  <c r="N21" i="2"/>
  <c r="N12" i="2"/>
  <c r="N30" i="2"/>
  <c r="M13" i="42"/>
  <c r="M16" i="42"/>
  <c r="M20" i="42"/>
  <c r="M22" i="42"/>
  <c r="M23" i="42"/>
  <c r="M26" i="42"/>
  <c r="M29" i="42"/>
  <c r="M31" i="42"/>
  <c r="O52" i="42"/>
  <c r="N20" i="2"/>
  <c r="O20" i="2"/>
  <c r="O53" i="42"/>
  <c r="O54" i="42"/>
  <c r="O55" i="42"/>
  <c r="M19" i="2"/>
  <c r="N19" i="2"/>
  <c r="O19" i="2"/>
  <c r="O56" i="42"/>
  <c r="O57" i="42"/>
  <c r="O58" i="42"/>
  <c r="O59" i="42"/>
  <c r="L18" i="2"/>
  <c r="M12" i="2"/>
  <c r="M18" i="2"/>
  <c r="N18" i="2"/>
  <c r="O18" i="2"/>
  <c r="O67" i="42"/>
  <c r="O68" i="42"/>
  <c r="O69" i="42"/>
  <c r="O71" i="42"/>
  <c r="Q75" i="2"/>
  <c r="Q78" i="2"/>
  <c r="Q95" i="2"/>
  <c r="Q96" i="2"/>
  <c r="Q97" i="2"/>
  <c r="Q98" i="2"/>
  <c r="P38" i="42"/>
  <c r="Q38" i="2"/>
  <c r="P40" i="42"/>
  <c r="P42" i="42"/>
  <c r="P44" i="42"/>
  <c r="P52" i="42"/>
  <c r="P53" i="42"/>
  <c r="P54" i="42"/>
  <c r="P55" i="42"/>
  <c r="P56" i="42"/>
  <c r="P57" i="42"/>
  <c r="P58" i="42"/>
  <c r="P59" i="42"/>
  <c r="P67" i="42"/>
  <c r="P68" i="42"/>
  <c r="P69" i="42"/>
  <c r="P71" i="42"/>
  <c r="R75" i="2"/>
  <c r="R78" i="2"/>
  <c r="R95" i="2"/>
  <c r="R96" i="2"/>
  <c r="R97" i="2"/>
  <c r="R98" i="2"/>
  <c r="Q38" i="42"/>
  <c r="R38" i="2"/>
  <c r="Q40" i="42"/>
  <c r="Q42" i="42"/>
  <c r="Q44" i="42"/>
  <c r="Q52" i="42"/>
  <c r="Q53" i="42"/>
  <c r="Q54" i="42"/>
  <c r="Q55" i="42"/>
  <c r="Q56" i="42"/>
  <c r="Q57" i="42"/>
  <c r="Q58" i="42"/>
  <c r="Q59" i="42"/>
  <c r="Q67" i="42"/>
  <c r="Q68" i="42"/>
  <c r="Q69" i="42"/>
  <c r="Q71" i="42"/>
  <c r="S75" i="2"/>
  <c r="S78" i="2"/>
  <c r="S95" i="2"/>
  <c r="S96" i="2"/>
  <c r="S97" i="2"/>
  <c r="S98" i="2"/>
  <c r="R38" i="42"/>
  <c r="S38" i="2"/>
  <c r="R40" i="42"/>
  <c r="R42" i="42"/>
  <c r="R44" i="42"/>
  <c r="R52" i="42"/>
  <c r="R53" i="42"/>
  <c r="R54" i="42"/>
  <c r="R55" i="42"/>
  <c r="R56" i="42"/>
  <c r="R57" i="42"/>
  <c r="R58" i="42"/>
  <c r="R59" i="42"/>
  <c r="R67" i="42"/>
  <c r="R68" i="42"/>
  <c r="R69" i="42"/>
  <c r="R71" i="42"/>
  <c r="T75" i="2"/>
  <c r="T78" i="2"/>
  <c r="T77" i="2"/>
  <c r="T95" i="2"/>
  <c r="T96" i="2"/>
  <c r="T97" i="2"/>
  <c r="T98" i="2"/>
  <c r="S38" i="42"/>
  <c r="T38" i="2"/>
  <c r="S40" i="42"/>
  <c r="S42" i="42"/>
  <c r="S44" i="42"/>
  <c r="S52" i="42"/>
  <c r="S53" i="42"/>
  <c r="S54" i="42"/>
  <c r="S55" i="42"/>
  <c r="S56" i="42"/>
  <c r="S57" i="42"/>
  <c r="S58" i="42"/>
  <c r="S59" i="42"/>
  <c r="S67" i="42"/>
  <c r="S68" i="42"/>
  <c r="S69" i="42"/>
  <c r="S71" i="42"/>
  <c r="F62" i="55"/>
  <c r="F60" i="55"/>
  <c r="F61" i="55"/>
  <c r="N66" i="2"/>
  <c r="F59" i="55"/>
  <c r="J38" i="42"/>
  <c r="K38" i="42"/>
  <c r="L38" i="42"/>
  <c r="C95" i="2" a="1"/>
  <c r="C95" i="2"/>
  <c r="N91" i="2" a="1"/>
  <c r="N91" i="2"/>
  <c r="O91" i="2" a="1"/>
  <c r="O91" i="2"/>
  <c r="P91" i="2" a="1"/>
  <c r="P91" i="2"/>
  <c r="Q91" i="2" a="1"/>
  <c r="Q91" i="2"/>
  <c r="R91" i="2" a="1"/>
  <c r="R91" i="2"/>
  <c r="S91" i="2" a="1"/>
  <c r="S91" i="2"/>
  <c r="T91" i="2" a="1"/>
  <c r="T91" i="2"/>
  <c r="K91" i="2" a="1"/>
  <c r="K91" i="2"/>
  <c r="L91" i="2" a="1"/>
  <c r="L91" i="2"/>
  <c r="M91" i="2" a="1"/>
  <c r="M91" i="2"/>
  <c r="J91" i="2" a="1"/>
  <c r="J91" i="2"/>
  <c r="C97" i="2"/>
  <c r="C96" i="2"/>
  <c r="C98" i="2"/>
  <c r="E20" i="44"/>
  <c r="C20" i="44"/>
  <c r="F85" i="42"/>
  <c r="E85" i="42"/>
  <c r="F84" i="42"/>
  <c r="E84" i="42"/>
  <c r="F82" i="42"/>
  <c r="E82" i="42"/>
  <c r="F81" i="42"/>
  <c r="E81" i="42"/>
  <c r="F79" i="42"/>
  <c r="E79" i="42"/>
  <c r="F78" i="42"/>
  <c r="E78" i="42"/>
  <c r="F39" i="53"/>
  <c r="J79" i="42"/>
  <c r="K79" i="42"/>
  <c r="L79" i="42"/>
  <c r="M79" i="42"/>
  <c r="N79" i="42"/>
  <c r="J78" i="42"/>
  <c r="K78" i="42"/>
  <c r="L78" i="42"/>
  <c r="M78" i="42"/>
  <c r="N78" i="42"/>
  <c r="S10" i="62"/>
  <c r="R10" i="62"/>
  <c r="Q10" i="62"/>
  <c r="P10" i="62"/>
  <c r="O10" i="62"/>
  <c r="N10" i="62"/>
  <c r="M10" i="62"/>
  <c r="L10" i="62"/>
  <c r="K10" i="62"/>
  <c r="J10" i="62"/>
  <c r="S4" i="62"/>
  <c r="R4" i="62"/>
  <c r="Q4" i="62"/>
  <c r="P4" i="62"/>
  <c r="O4" i="62"/>
  <c r="N4" i="62"/>
  <c r="M4" i="62"/>
  <c r="L4" i="62"/>
  <c r="K4" i="62"/>
  <c r="J4" i="62"/>
  <c r="C15" i="16"/>
  <c r="D15" i="16"/>
  <c r="Q15" i="62"/>
  <c r="O15" i="62"/>
  <c r="R15" i="62"/>
  <c r="S15" i="62"/>
  <c r="P15" i="62"/>
  <c r="V15" i="62"/>
  <c r="S1" i="62"/>
  <c r="G15" i="16"/>
  <c r="B1" i="42"/>
  <c r="B2" i="42"/>
  <c r="J4" i="42"/>
  <c r="J28" i="42"/>
  <c r="K4" i="42"/>
  <c r="K35" i="42"/>
  <c r="K45" i="42" a="1"/>
  <c r="K45" i="42"/>
  <c r="L4" i="42"/>
  <c r="M4" i="42"/>
  <c r="N4" i="42"/>
  <c r="N49" i="42"/>
  <c r="O4" i="42"/>
  <c r="O20" i="42"/>
  <c r="P4" i="42"/>
  <c r="Q4" i="42"/>
  <c r="Q20" i="42"/>
  <c r="R4" i="42"/>
  <c r="R49" i="42"/>
  <c r="S4" i="42"/>
  <c r="S15" i="42"/>
  <c r="F8" i="42"/>
  <c r="L10" i="42"/>
  <c r="M10" i="42"/>
  <c r="P10" i="42"/>
  <c r="E12" i="42"/>
  <c r="F12" i="42"/>
  <c r="K12" i="42"/>
  <c r="L12" i="42"/>
  <c r="P12" i="42"/>
  <c r="Q12" i="42"/>
  <c r="E13" i="42"/>
  <c r="F13" i="42"/>
  <c r="E15" i="42"/>
  <c r="F15" i="42"/>
  <c r="L15" i="42"/>
  <c r="P15" i="42"/>
  <c r="Q15" i="42"/>
  <c r="E16" i="42"/>
  <c r="F16" i="42"/>
  <c r="E18" i="42"/>
  <c r="F18" i="42"/>
  <c r="E20" i="42"/>
  <c r="F20" i="42"/>
  <c r="P20" i="42"/>
  <c r="C22" i="42"/>
  <c r="C23" i="42"/>
  <c r="E22" i="42"/>
  <c r="F22" i="42"/>
  <c r="L22" i="42"/>
  <c r="P22" i="42"/>
  <c r="E23" i="42"/>
  <c r="F23" i="42"/>
  <c r="C25" i="42"/>
  <c r="C26" i="42"/>
  <c r="E25" i="42"/>
  <c r="F25" i="42"/>
  <c r="L25" i="42"/>
  <c r="M25" i="42"/>
  <c r="P25" i="42"/>
  <c r="E26" i="42"/>
  <c r="F26" i="42"/>
  <c r="C28" i="42"/>
  <c r="C29" i="42"/>
  <c r="E28" i="42"/>
  <c r="F28" i="42"/>
  <c r="L28" i="42"/>
  <c r="M28" i="42"/>
  <c r="P28" i="42"/>
  <c r="Q28" i="42"/>
  <c r="E29" i="42"/>
  <c r="F29" i="42"/>
  <c r="E31" i="42"/>
  <c r="F31" i="42"/>
  <c r="L35" i="42"/>
  <c r="L45" i="42" a="1"/>
  <c r="L45" i="42"/>
  <c r="M35" i="42"/>
  <c r="M45" i="42" a="1"/>
  <c r="M45" i="42"/>
  <c r="P35" i="42"/>
  <c r="J40" i="42"/>
  <c r="K40" i="42"/>
  <c r="L40" i="42"/>
  <c r="M40" i="42"/>
  <c r="J42" i="42"/>
  <c r="K42" i="42"/>
  <c r="L42" i="42"/>
  <c r="M42" i="42"/>
  <c r="N42" i="42"/>
  <c r="O42" i="42"/>
  <c r="L49" i="42"/>
  <c r="M49" i="42"/>
  <c r="P49" i="42"/>
  <c r="Q49" i="42"/>
  <c r="C51" i="42"/>
  <c r="E51" i="42"/>
  <c r="F51" i="42"/>
  <c r="C52" i="42"/>
  <c r="E52" i="42"/>
  <c r="F52" i="42"/>
  <c r="C53" i="42"/>
  <c r="E53" i="42"/>
  <c r="F53" i="42"/>
  <c r="C54" i="42"/>
  <c r="E54" i="42"/>
  <c r="F54" i="42"/>
  <c r="C55" i="42"/>
  <c r="E55" i="42"/>
  <c r="F55" i="42"/>
  <c r="C56" i="42"/>
  <c r="E56" i="42"/>
  <c r="F56" i="42"/>
  <c r="C57" i="42"/>
  <c r="E57" i="42"/>
  <c r="F57" i="42"/>
  <c r="C58" i="42"/>
  <c r="E58" i="42"/>
  <c r="F58" i="42"/>
  <c r="C59" i="42"/>
  <c r="E59" i="42"/>
  <c r="F59" i="42"/>
  <c r="E61" i="42"/>
  <c r="F61" i="42"/>
  <c r="L65" i="42"/>
  <c r="P65" i="42"/>
  <c r="Q65" i="42"/>
  <c r="C67" i="42"/>
  <c r="E67" i="42"/>
  <c r="F67" i="42"/>
  <c r="C68" i="42"/>
  <c r="E68" i="42"/>
  <c r="F68" i="42"/>
  <c r="C69" i="42"/>
  <c r="E69" i="42"/>
  <c r="F69" i="42"/>
  <c r="E71" i="42"/>
  <c r="F71" i="42"/>
  <c r="J75" i="42"/>
  <c r="L75" i="42"/>
  <c r="M75" i="42"/>
  <c r="N75" i="42"/>
  <c r="P75" i="42"/>
  <c r="Q75" i="42"/>
  <c r="E77" i="42"/>
  <c r="F77" i="42"/>
  <c r="L77" i="42"/>
  <c r="M77" i="42"/>
  <c r="N77" i="42"/>
  <c r="E80" i="42"/>
  <c r="F80" i="42"/>
  <c r="L80" i="42"/>
  <c r="E83" i="42"/>
  <c r="F83" i="42"/>
  <c r="L83" i="42"/>
  <c r="M83" i="42"/>
  <c r="Q10" i="42"/>
  <c r="R75" i="42"/>
  <c r="J77" i="42"/>
  <c r="O22" i="42"/>
  <c r="K77" i="42"/>
  <c r="S75" i="42"/>
  <c r="O75" i="42"/>
  <c r="K75" i="42"/>
  <c r="N28" i="42"/>
  <c r="S49" i="42"/>
  <c r="O49" i="42"/>
  <c r="K49" i="42"/>
  <c r="J49" i="42"/>
  <c r="S12" i="42"/>
  <c r="S28" i="42"/>
  <c r="S65" i="42"/>
  <c r="S25" i="42"/>
  <c r="S35" i="42"/>
  <c r="S20" i="42"/>
  <c r="O10" i="42"/>
  <c r="O28" i="42"/>
  <c r="O12" i="42"/>
  <c r="O65" i="42"/>
  <c r="K15" i="42"/>
  <c r="K28" i="42"/>
  <c r="K10" i="42"/>
  <c r="K83" i="42"/>
  <c r="K80" i="42"/>
  <c r="O35" i="42"/>
  <c r="K25" i="42"/>
  <c r="R25" i="42"/>
  <c r="R22" i="42"/>
  <c r="N25" i="42"/>
  <c r="N83" i="42"/>
  <c r="N80" i="42"/>
  <c r="N22" i="42"/>
  <c r="J25" i="42"/>
  <c r="J83" i="42"/>
  <c r="J80" i="42"/>
  <c r="J22" i="42"/>
  <c r="K65" i="42"/>
  <c r="R28" i="42"/>
  <c r="O25" i="42"/>
  <c r="S22" i="42"/>
  <c r="K22" i="42"/>
  <c r="O15" i="42"/>
  <c r="S10" i="42"/>
  <c r="M80" i="42"/>
  <c r="M65" i="42"/>
  <c r="Q35" i="42"/>
  <c r="Q25" i="42"/>
  <c r="Q22" i="42"/>
  <c r="R65" i="42"/>
  <c r="N65" i="42"/>
  <c r="J65" i="42"/>
  <c r="R20" i="42"/>
  <c r="R15" i="42"/>
  <c r="N15" i="42"/>
  <c r="J15" i="42"/>
  <c r="R12" i="42"/>
  <c r="N12" i="42"/>
  <c r="J12" i="42"/>
  <c r="R10" i="42"/>
  <c r="N10" i="42"/>
  <c r="J10" i="42"/>
  <c r="R35" i="42"/>
  <c r="N35" i="42"/>
  <c r="J35" i="42"/>
  <c r="J45" i="42" a="1"/>
  <c r="J45" i="42"/>
  <c r="F61" i="58"/>
  <c r="F60" i="58"/>
  <c r="F59" i="58"/>
  <c r="P56" i="2"/>
  <c r="Q56" i="2"/>
  <c r="R56" i="2"/>
  <c r="S56" i="2"/>
  <c r="T56" i="2"/>
  <c r="O56" i="2"/>
  <c r="F38" i="53"/>
  <c r="F8" i="44"/>
  <c r="F20" i="44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3" i="58"/>
  <c r="K53" i="58"/>
  <c r="L53" i="58"/>
  <c r="N53" i="58"/>
  <c r="O53" i="58"/>
  <c r="P53" i="58"/>
  <c r="Q53" i="58"/>
  <c r="R53" i="58"/>
  <c r="S53" i="58"/>
  <c r="J53" i="58"/>
  <c r="K44" i="58"/>
  <c r="L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S4" i="44"/>
  <c r="R4" i="44"/>
  <c r="Q4" i="44"/>
  <c r="P4" i="44"/>
  <c r="O4" i="44"/>
  <c r="N4" i="44"/>
  <c r="M4" i="44"/>
  <c r="L4" i="44"/>
  <c r="K4" i="44"/>
  <c r="J4" i="44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57" i="58"/>
  <c r="R4" i="58"/>
  <c r="Q4" i="58"/>
  <c r="Q57" i="58"/>
  <c r="P4" i="58"/>
  <c r="P57" i="58"/>
  <c r="O4" i="58"/>
  <c r="O57" i="58"/>
  <c r="N4" i="58"/>
  <c r="M4" i="58"/>
  <c r="M57" i="58"/>
  <c r="L4" i="58"/>
  <c r="L57" i="58"/>
  <c r="K4" i="58"/>
  <c r="K57" i="58"/>
  <c r="J4" i="58"/>
  <c r="J57" i="58"/>
  <c r="J76" i="2"/>
  <c r="K76" i="2"/>
  <c r="L76" i="2"/>
  <c r="M76" i="2"/>
  <c r="N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J78" i="2"/>
  <c r="K78" i="2"/>
  <c r="L78" i="2"/>
  <c r="M78" i="2"/>
  <c r="N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J44" i="42"/>
  <c r="L75" i="2"/>
  <c r="M75" i="2"/>
  <c r="N75" i="2"/>
  <c r="L44" i="42"/>
  <c r="K44" i="42"/>
  <c r="L95" i="2"/>
  <c r="L97" i="2"/>
  <c r="L96" i="2"/>
  <c r="L98" i="2"/>
  <c r="M98" i="2"/>
  <c r="M95" i="2"/>
  <c r="M97" i="2"/>
  <c r="M96" i="2"/>
  <c r="J96" i="2"/>
  <c r="J98" i="2"/>
  <c r="J95" i="2"/>
  <c r="J97" i="2"/>
  <c r="N96" i="2"/>
  <c r="N98" i="2"/>
  <c r="N95" i="2"/>
  <c r="N97" i="2"/>
  <c r="K97" i="2"/>
  <c r="K96" i="2"/>
  <c r="K98" i="2"/>
  <c r="K95" i="2"/>
  <c r="N34" i="58"/>
  <c r="N57" i="58"/>
  <c r="R34" i="58"/>
  <c r="R57" i="58"/>
  <c r="M62" i="2"/>
  <c r="M73" i="2"/>
  <c r="M47" i="2"/>
  <c r="M102" i="2"/>
  <c r="M34" i="2"/>
  <c r="Q62" i="2"/>
  <c r="Q73" i="2"/>
  <c r="Q102" i="2"/>
  <c r="Q34" i="2"/>
  <c r="Q47" i="2"/>
  <c r="J47" i="2"/>
  <c r="J102" i="2"/>
  <c r="J62" i="2"/>
  <c r="J34" i="2"/>
  <c r="J73" i="2"/>
  <c r="L73" i="2"/>
  <c r="L102" i="2"/>
  <c r="L34" i="2"/>
  <c r="L62" i="2"/>
  <c r="L47" i="2"/>
  <c r="P73" i="2"/>
  <c r="P62" i="2"/>
  <c r="P102" i="2"/>
  <c r="P34" i="2"/>
  <c r="P47" i="2"/>
  <c r="T73" i="2"/>
  <c r="T102" i="2"/>
  <c r="T34" i="2"/>
  <c r="T47" i="2"/>
  <c r="T62" i="2"/>
  <c r="N47" i="2"/>
  <c r="N34" i="2"/>
  <c r="N62" i="2"/>
  <c r="N73" i="2"/>
  <c r="N102" i="2"/>
  <c r="R47" i="2"/>
  <c r="R62" i="2"/>
  <c r="R102" i="2"/>
  <c r="R34" i="2"/>
  <c r="R73" i="2"/>
  <c r="K102" i="2"/>
  <c r="K34" i="2"/>
  <c r="K47" i="2"/>
  <c r="K62" i="2"/>
  <c r="K73" i="2"/>
  <c r="O102" i="2"/>
  <c r="O34" i="2"/>
  <c r="O47" i="2"/>
  <c r="O73" i="2"/>
  <c r="O62" i="2"/>
  <c r="S102" i="2"/>
  <c r="S34" i="2"/>
  <c r="S47" i="2"/>
  <c r="S62" i="2"/>
  <c r="S73" i="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S8" i="54"/>
  <c r="U73" i="2"/>
  <c r="N45" i="42" a="1"/>
  <c r="N45" i="42"/>
  <c r="E61" i="58"/>
  <c r="E60" i="58"/>
  <c r="E59" i="58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K15" i="44"/>
  <c r="K16" i="44"/>
  <c r="K14" i="44"/>
  <c r="J15" i="44"/>
  <c r="J16" i="44"/>
  <c r="J14" i="44"/>
  <c r="L15" i="44"/>
  <c r="L16" i="44"/>
  <c r="L14" i="44"/>
  <c r="S41" i="53"/>
  <c r="R22" i="53"/>
  <c r="Q41" i="53"/>
  <c r="P22" i="53"/>
  <c r="O41" i="53"/>
  <c r="N22" i="53"/>
  <c r="M41" i="53"/>
  <c r="L22" i="53"/>
  <c r="K41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S22" i="53"/>
  <c r="Q22" i="53"/>
  <c r="O22" i="53"/>
  <c r="M22" i="53"/>
  <c r="K22" i="53"/>
  <c r="J32" i="53"/>
  <c r="L32" i="53"/>
  <c r="N32" i="53"/>
  <c r="P32" i="53"/>
  <c r="R32" i="53"/>
  <c r="J41" i="53"/>
  <c r="L41" i="53"/>
  <c r="N41" i="53"/>
  <c r="P41" i="53"/>
  <c r="R41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T12" i="2"/>
  <c r="P12" i="2"/>
  <c r="L12" i="2"/>
  <c r="S12" i="2"/>
  <c r="Q12" i="2"/>
  <c r="K12" i="2"/>
  <c r="S71" i="2"/>
  <c r="Q71" i="2"/>
  <c r="O71" i="2"/>
  <c r="M71" i="2"/>
  <c r="K71" i="2"/>
  <c r="M44" i="58"/>
  <c r="M12" i="42"/>
  <c r="M53" i="58"/>
  <c r="M15" i="42"/>
  <c r="K13" i="44"/>
  <c r="L13" i="44"/>
  <c r="J13" i="44"/>
  <c r="W71" i="2"/>
  <c r="W22" i="53"/>
  <c r="W41" i="53"/>
  <c r="W32" i="53"/>
  <c r="W58" i="2"/>
  <c r="W106" i="2"/>
  <c r="P45" i="2"/>
  <c r="S45" i="2"/>
  <c r="Q45" i="2"/>
  <c r="R45" i="2"/>
  <c r="T45" i="2"/>
  <c r="W45" i="2"/>
  <c r="F13" i="44"/>
  <c r="E13" i="44"/>
  <c r="B2" i="55"/>
  <c r="W91" i="2"/>
  <c r="S11" i="54"/>
  <c r="S14" i="54"/>
  <c r="G17" i="16"/>
  <c r="T1" i="55"/>
  <c r="G11" i="16"/>
  <c r="B1" i="55"/>
  <c r="E12" i="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/>
  <c r="C12" i="16"/>
  <c r="D12" i="16"/>
  <c r="C13" i="16"/>
  <c r="D13" i="16"/>
  <c r="C14" i="16"/>
  <c r="D14" i="16"/>
  <c r="C16" i="16"/>
  <c r="D16" i="16"/>
  <c r="C17" i="16"/>
  <c r="D17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1" i="44"/>
  <c r="E41" i="2"/>
  <c r="E40" i="2"/>
  <c r="E39" i="2"/>
  <c r="E38" i="2"/>
  <c r="E37" i="2"/>
  <c r="E36" i="2"/>
  <c r="B2" i="16"/>
  <c r="B1" i="16"/>
  <c r="C9" i="4"/>
  <c r="B2" i="4"/>
  <c r="B1" i="4"/>
  <c r="T1" i="2"/>
  <c r="G13" i="16"/>
  <c r="S1" i="54"/>
  <c r="G10" i="16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L52" i="42"/>
  <c r="M55" i="42"/>
  <c r="M51" i="42"/>
  <c r="J52" i="42"/>
  <c r="M52" i="42"/>
  <c r="L55" i="42"/>
  <c r="L51" i="42"/>
  <c r="N52" i="42"/>
  <c r="N55" i="42"/>
  <c r="K55" i="42"/>
  <c r="K52" i="42"/>
  <c r="J51" i="42"/>
  <c r="J55" i="42"/>
  <c r="N51" i="42"/>
  <c r="K51" i="42"/>
  <c r="M28" i="2"/>
  <c r="J16" i="2"/>
  <c r="K16" i="2"/>
  <c r="K25" i="2"/>
  <c r="K17" i="2"/>
  <c r="K26" i="2"/>
  <c r="L27" i="2"/>
  <c r="D21" i="2"/>
  <c r="E21" i="2"/>
  <c r="D17" i="2"/>
  <c r="E17" i="2"/>
  <c r="E18" i="2"/>
  <c r="D18" i="2"/>
  <c r="E30" i="2"/>
  <c r="D30" i="2"/>
  <c r="S30" i="2"/>
  <c r="R26" i="42"/>
  <c r="R30" i="2"/>
  <c r="Q13" i="42"/>
  <c r="Q18" i="42"/>
  <c r="Q30" i="2"/>
  <c r="P16" i="42"/>
  <c r="T30" i="2"/>
  <c r="S13" i="42"/>
  <c r="S18" i="4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23" i="42"/>
  <c r="Q26" i="42"/>
  <c r="R13" i="42"/>
  <c r="R18" i="42"/>
  <c r="N54" i="42"/>
  <c r="K53" i="42"/>
  <c r="J53" i="42"/>
  <c r="L53" i="42"/>
  <c r="P13" i="42"/>
  <c r="P18" i="42"/>
  <c r="S23" i="42"/>
  <c r="R16" i="42"/>
  <c r="R23" i="42"/>
  <c r="R29" i="42"/>
  <c r="P26" i="42"/>
  <c r="S16" i="42"/>
  <c r="N53" i="42"/>
  <c r="S29" i="42"/>
  <c r="S26" i="42"/>
  <c r="P29" i="42"/>
  <c r="Q29" i="42"/>
  <c r="Q16" i="42"/>
  <c r="M53" i="42"/>
  <c r="K54" i="42"/>
  <c r="M54" i="42"/>
  <c r="J54" i="42"/>
  <c r="Q23" i="42"/>
  <c r="L54" i="42"/>
  <c r="M21" i="2"/>
  <c r="O29" i="2"/>
  <c r="K18" i="2"/>
  <c r="K27" i="2"/>
  <c r="O30" i="2"/>
  <c r="J17" i="2"/>
  <c r="J26" i="2"/>
  <c r="L19" i="2"/>
  <c r="L28" i="2"/>
  <c r="L16" i="2"/>
  <c r="L25" i="2"/>
  <c r="L17" i="2"/>
  <c r="L26" i="2"/>
  <c r="P30" i="2"/>
  <c r="M20" i="2"/>
  <c r="M29" i="2"/>
  <c r="N28" i="2"/>
  <c r="J25" i="2"/>
  <c r="N29" i="2"/>
  <c r="M18" i="42"/>
  <c r="N13" i="42"/>
  <c r="N18" i="42"/>
  <c r="N16" i="42"/>
  <c r="N20" i="42"/>
  <c r="N29" i="42"/>
  <c r="N26" i="42"/>
  <c r="N23" i="42"/>
  <c r="O16" i="42"/>
  <c r="O29" i="42"/>
  <c r="O13" i="42"/>
  <c r="O18" i="42"/>
  <c r="O26" i="42"/>
  <c r="O23" i="42"/>
  <c r="M16" i="2"/>
  <c r="M25" i="2"/>
  <c r="L21" i="2"/>
  <c r="L20" i="2"/>
  <c r="L29" i="2"/>
  <c r="M17" i="2"/>
  <c r="K19" i="2"/>
  <c r="K28" i="2"/>
  <c r="O28" i="2"/>
  <c r="N27" i="2"/>
  <c r="J18" i="2"/>
  <c r="J27" i="2"/>
  <c r="N16" i="2"/>
  <c r="P28" i="2"/>
  <c r="P26" i="2"/>
  <c r="P27" i="2"/>
  <c r="M30" i="2"/>
  <c r="M27" i="2"/>
  <c r="L26" i="42"/>
  <c r="L23" i="42"/>
  <c r="L29" i="42"/>
  <c r="L13" i="42"/>
  <c r="L18" i="42"/>
  <c r="L16" i="42"/>
  <c r="L20" i="42"/>
  <c r="K21" i="2"/>
  <c r="J19" i="2"/>
  <c r="J28" i="2"/>
  <c r="N17" i="2"/>
  <c r="M26" i="2"/>
  <c r="K20" i="2"/>
  <c r="K29" i="2"/>
  <c r="O16" i="2"/>
  <c r="N25" i="2"/>
  <c r="L30" i="2"/>
  <c r="K29" i="42"/>
  <c r="K26" i="42"/>
  <c r="K23" i="42"/>
  <c r="K13" i="42"/>
  <c r="K18" i="42"/>
  <c r="K16" i="42"/>
  <c r="K20" i="42"/>
  <c r="J67" i="42"/>
  <c r="M58" i="42"/>
  <c r="M68" i="42"/>
  <c r="M59" i="42"/>
  <c r="J58" i="42"/>
  <c r="L67" i="42"/>
  <c r="S15" i="44"/>
  <c r="K56" i="42"/>
  <c r="N59" i="42"/>
  <c r="L68" i="42"/>
  <c r="J68" i="42"/>
  <c r="R16" i="44"/>
  <c r="M57" i="42"/>
  <c r="K59" i="42"/>
  <c r="L57" i="42"/>
  <c r="N67" i="42"/>
  <c r="K67" i="42"/>
  <c r="M67" i="42"/>
  <c r="Q15" i="44"/>
  <c r="P16" i="44"/>
  <c r="L59" i="42"/>
  <c r="K69" i="42"/>
  <c r="S16" i="44"/>
  <c r="J59" i="42"/>
  <c r="N57" i="42"/>
  <c r="J57" i="42"/>
  <c r="J69" i="42"/>
  <c r="L58" i="42"/>
  <c r="K58" i="42"/>
  <c r="L56" i="42"/>
  <c r="L69" i="42"/>
  <c r="K57" i="42"/>
  <c r="J56" i="42"/>
  <c r="N69" i="42"/>
  <c r="M56" i="42"/>
  <c r="M69" i="42"/>
  <c r="N56" i="42"/>
  <c r="N68" i="42"/>
  <c r="K68" i="42"/>
  <c r="N58" i="42"/>
  <c r="N16" i="44"/>
  <c r="O16" i="44"/>
  <c r="M15" i="44"/>
  <c r="M16" i="44"/>
  <c r="N15" i="44"/>
  <c r="R15" i="44"/>
  <c r="P15" i="44"/>
  <c r="J21" i="2"/>
  <c r="J30" i="2"/>
  <c r="J20" i="2"/>
  <c r="J29" i="2"/>
  <c r="O17" i="2"/>
  <c r="N26" i="2"/>
  <c r="O27" i="2"/>
  <c r="P25" i="2"/>
  <c r="O25" i="2"/>
  <c r="K30" i="2"/>
  <c r="J61" i="42"/>
  <c r="L61" i="42"/>
  <c r="N71" i="42"/>
  <c r="L71" i="42"/>
  <c r="J23" i="42"/>
  <c r="J16" i="42"/>
  <c r="J20" i="42"/>
  <c r="J29" i="42"/>
  <c r="J13" i="42"/>
  <c r="J18" i="42"/>
  <c r="J26" i="42"/>
  <c r="J71" i="42"/>
  <c r="N61" i="42"/>
  <c r="O15" i="44"/>
  <c r="K71" i="42"/>
  <c r="M61" i="42"/>
  <c r="Q16" i="44"/>
  <c r="K61" i="42"/>
  <c r="M71" i="42"/>
  <c r="R14" i="44"/>
  <c r="S14" i="44"/>
  <c r="P14" i="44"/>
  <c r="M14" i="44"/>
  <c r="N14" i="44"/>
  <c r="Q14" i="44"/>
  <c r="O14" i="44"/>
  <c r="O26" i="2"/>
  <c r="M13" i="44"/>
  <c r="N13" i="44"/>
  <c r="O45" i="42" a="1"/>
  <c r="O45" i="42"/>
  <c r="P45" i="42" a="1"/>
  <c r="P45" i="42"/>
  <c r="Q45" i="42" a="1"/>
  <c r="Q45" i="42"/>
  <c r="R45" i="42" a="1"/>
  <c r="R45" i="42"/>
  <c r="S45" i="42" a="1"/>
  <c r="S45" i="42"/>
  <c r="V77" i="42"/>
  <c r="O81" i="42"/>
  <c r="P81" i="42"/>
  <c r="Q81" i="42"/>
  <c r="R81" i="42"/>
  <c r="S81" i="42"/>
  <c r="O82" i="42"/>
  <c r="P82" i="42"/>
  <c r="Q82" i="42"/>
  <c r="R82" i="42"/>
  <c r="S82" i="42"/>
  <c r="V80" i="42"/>
  <c r="O84" i="42"/>
  <c r="P84" i="42"/>
  <c r="Q84" i="42"/>
  <c r="R84" i="42"/>
  <c r="S84" i="42"/>
  <c r="O85" i="42"/>
  <c r="P85" i="42"/>
  <c r="Q85" i="42"/>
  <c r="R85" i="42"/>
  <c r="S85" i="42"/>
  <c r="O83" i="42"/>
  <c r="P83" i="42"/>
  <c r="Q83" i="42"/>
  <c r="R83" i="42"/>
  <c r="S83" i="42"/>
  <c r="V83" i="42"/>
  <c r="S1" i="42"/>
  <c r="G16" i="16"/>
  <c r="S1" i="16"/>
  <c r="V1" i="58"/>
  <c r="W1" i="55"/>
  <c r="W1" i="2"/>
  <c r="V1" i="44"/>
  <c r="V1" i="62"/>
  <c r="V1" i="53"/>
  <c r="V1" i="54"/>
  <c r="V1" i="4"/>
  <c r="V1" i="42"/>
  <c r="R13" i="44"/>
  <c r="P13" i="44"/>
  <c r="O13" i="44"/>
  <c r="S13" i="44"/>
  <c r="Q13" i="44"/>
  <c r="O20" i="44"/>
  <c r="Q20" i="44"/>
  <c r="R20" i="44"/>
  <c r="P20" i="44"/>
  <c r="S20" i="44"/>
</calcChain>
</file>

<file path=xl/sharedStrings.xml><?xml version="1.0" encoding="utf-8"?>
<sst xmlns="http://schemas.openxmlformats.org/spreadsheetml/2006/main" count="698" uniqueCount="194">
  <si>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</si>
  <si>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</si>
  <si>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</si>
  <si>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</si>
  <si>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</si>
  <si>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</si>
  <si>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</si>
  <si>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</si>
  <si>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</si>
  <si>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</si>
  <si>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</si>
  <si>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</si>
  <si>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</si>
  <si>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</si>
  <si>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</si>
  <si>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</si>
  <si>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</si>
  <si>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</si>
  <si>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</si>
  <si>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</si>
  <si>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</si>
  <si>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</si>
  <si>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</si>
  <si>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</si>
  <si>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</si>
  <si>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</si>
  <si>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</si>
  <si>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</si>
  <si>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</si>
  <si>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</si>
  <si>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</si>
  <si>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</si>
  <si>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</si>
  <si>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</si>
  <si>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</si>
  <si>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</si>
  <si>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</si>
  <si>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</si>
  <si>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</si>
  <si>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</si>
  <si>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</si>
  <si>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</si>
  <si>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</si>
  <si>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</si>
  <si>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</si>
  <si>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</si>
  <si>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</si>
  <si>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</si>
  <si>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</si>
  <si>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</si>
  <si>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</si>
  <si>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</si>
  <si>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</si>
  <si>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</si>
  <si>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</si>
  <si>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</si>
  <si>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</si>
  <si>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</si>
  <si>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</si>
  <si>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</si>
  <si>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</si>
  <si>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</si>
  <si>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</si>
  <si>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</si>
  <si>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</si>
  <si>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</si>
  <si>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</si>
  <si>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</si>
  <si>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</si>
  <si>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</si>
  <si>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</si>
  <si>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</si>
  <si>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</si>
  <si>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</si>
  <si>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</si>
  <si>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</si>
  <si>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</si>
  <si>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</si>
  <si>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</si>
  <si>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</si>
  <si>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</si>
  <si>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</si>
  <si>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</si>
  <si>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</si>
  <si>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</si>
  <si>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</si>
  <si>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</si>
  <si>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</si>
  <si>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</si>
  <si>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</si>
  <si>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</si>
  <si>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</si>
  <si>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</si>
  <si>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</si>
  <si>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</si>
  <si>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</si>
  <si>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</si>
  <si>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</si>
  <si>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</si>
  <si>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</si>
  <si>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</si>
  <si>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</si>
  <si>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</si>
  <si>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</si>
  <si>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</si>
  <si>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</si>
  <si>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</si>
  <si>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</si>
  <si>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</si>
  <si>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</si>
  <si>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</si>
  <si>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</si>
  <si>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</si>
  <si>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</si>
  <si>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</si>
  <si>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</si>
  <si>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</si>
  <si>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</si>
  <si>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</si>
  <si>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</si>
  <si>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</si>
  <si>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</si>
  <si>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</si>
  <si>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</si>
  <si>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</si>
  <si>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</si>
  <si>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</si>
  <si>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</si>
  <si>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</si>
  <si>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</si>
  <si>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</si>
  <si>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</si>
  <si>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</si>
  <si>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</si>
  <si>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</si>
  <si>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</si>
  <si>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</si>
  <si>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</si>
  <si>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</si>
  <si>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</si>
  <si>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</si>
  <si>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</si>
  <si>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</si>
  <si>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</si>
  <si>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</si>
  <si>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</si>
  <si>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</si>
  <si>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</si>
  <si>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</si>
  <si>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</si>
  <si>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</si>
  <si>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</si>
  <si>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</si>
  <si>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</si>
  <si>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</si>
  <si>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</si>
  <si>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</si>
  <si>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</si>
  <si>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</si>
  <si>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</si>
  <si>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</si>
  <si>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Reported opex, total</t>
  </si>
  <si>
    <t>Reported opex, category specific forecasts</t>
  </si>
  <si>
    <t>Calculates the opex forecast</t>
  </si>
  <si>
    <t>Outputs the forecasts needed as a post tax revenue model inputs</t>
  </si>
  <si>
    <t>Customer numbers (#)</t>
  </si>
  <si>
    <t>Circuit Length (km)</t>
  </si>
  <si>
    <t>Ratcheted Maximum Demand (MW)</t>
  </si>
  <si>
    <t>Remove base year opex for categories forecast specifically</t>
  </si>
  <si>
    <t>WPI - DAE</t>
  </si>
  <si>
    <t>WPI - BIS Oxford Economics</t>
  </si>
  <si>
    <t>WPI - average of DAE and BIS Oxford Economics</t>
  </si>
  <si>
    <t>EB RIN and Reset RIN</t>
  </si>
  <si>
    <t>Adjusted base year opex</t>
  </si>
  <si>
    <t>Interpolated</t>
  </si>
  <si>
    <t>Input | Dx/Tx split</t>
  </si>
  <si>
    <t>Dx/Tx split</t>
  </si>
  <si>
    <t>Distribution</t>
  </si>
  <si>
    <t>Transmission</t>
  </si>
  <si>
    <t>Input | Dx Tx split</t>
  </si>
  <si>
    <t>Inputs the split of total opex between distribution and transmission services.</t>
  </si>
  <si>
    <t>Forecast output growth</t>
  </si>
  <si>
    <t>Output weights</t>
  </si>
  <si>
    <t>LSE TLG</t>
  </si>
  <si>
    <t>LSE CD</t>
  </si>
  <si>
    <t>SFA CD</t>
  </si>
  <si>
    <t>MPFP</t>
  </si>
  <si>
    <t>Energy throughput (GWh)</t>
  </si>
  <si>
    <t>Ausgrid</t>
  </si>
  <si>
    <t>RBA statement of monetary policy inflation forecast,  August 2018, Table 5.1</t>
  </si>
  <si>
    <t>Remove DMIA</t>
  </si>
  <si>
    <t>Service classification change - ERW</t>
  </si>
  <si>
    <t>BIS forecasts</t>
  </si>
  <si>
    <t>Demand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</si>
</sst>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4"/>
      <name val="Helvetic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68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206" fontId="90" fillId="51" borderId="27" applyFill="0" applyBorder="0">
      <alignment horizontal="right" indent="2"/>
      <protection locked="0"/>
    </xf>
    <xf numFmtId="188" fontId="91" fillId="50" borderId="28">
      <alignment horizontal="right" vertical="center"/>
      <protection locked="0"/>
    </xf>
    <xf numFmtId="167" fontId="13" fillId="0" borderId="30">
      <alignment horizontal="right" vertical="center"/>
      <protection locked="0"/>
    </xf>
  </cellStyleXfs>
  <cellXfs count="22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2" applyNumberFormat="1" applyFont="1" applyFill="1" applyBorder="1" applyAlignment="1" applyProtection="1">
      <alignment horizontal="center"/>
      <protection locked="0"/>
    </xf>
    <xf numFmtId="0" fontId="4" fillId="41" borderId="3" xfId="0" applyNumberFormat="1" applyFont="1" applyFill="1" applyBorder="1" applyAlignment="1" applyProtection="1">
      <alignment horizontal="left" indent="1"/>
      <protection locked="0"/>
    </xf>
    <xf numFmtId="193" fontId="4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170" fontId="18" fillId="0" borderId="0" xfId="267" applyNumberFormat="1" applyFont="1" applyFill="1" applyBorder="1" applyAlignment="1" applyProtection="1">
      <alignment horizontal="center" vertical="center"/>
    </xf>
    <xf numFmtId="164" fontId="12" fillId="0" borderId="0" xfId="3" applyNumberFormat="1" applyAlignment="1" applyProtection="1"/>
    <xf numFmtId="164" fontId="4" fillId="0" borderId="0" xfId="0" applyNumberFormat="1" applyFont="1" applyBorder="1" applyAlignment="1" applyProtection="1">
      <alignment horizontal="left" indent="2"/>
    </xf>
    <xf numFmtId="198" fontId="4" fillId="0" borderId="0" xfId="0" applyNumberFormat="1" applyFont="1" applyBorder="1" applyAlignment="1" applyProtection="1">
      <alignment horizontal="center"/>
    </xf>
    <xf numFmtId="192" fontId="6" fillId="8" borderId="31" xfId="0" applyNumberFormat="1" applyFont="1" applyFill="1" applyBorder="1" applyAlignment="1" applyProtection="1">
      <alignment horizontal="center"/>
      <protection locked="0"/>
    </xf>
    <xf numFmtId="10" fontId="4" fillId="41" borderId="32" xfId="2" applyNumberFormat="1" applyFont="1" applyFill="1" applyBorder="1" applyAlignment="1" applyProtection="1">
      <alignment horizontal="center"/>
      <protection locked="0"/>
    </xf>
    <xf numFmtId="194" fontId="4" fillId="52" borderId="3" xfId="2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9" xfId="0" applyNumberFormat="1" applyFont="1" applyFill="1" applyBorder="1" applyAlignment="1" applyProtection="1">
      <alignment horizontal="center"/>
    </xf>
  </cellXfs>
  <cellStyles count="268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67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_0dp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2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 Assumptions" xfId="266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264393</xdr:colOff>
      <xdr:row>62</xdr:row>
      <xdr:rowOff>83820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4773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0.199999999999999"/>
  <cols>
    <col min="1" max="1" width="128.42578125" customWidth="1"/>
  </cols>
  <sheetData>
    <row r="1" ht="163.19999999999999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5"/>
  <sheetViews>
    <sheetView showGridLines="0" workbookViewId="0">
      <selection activeCell="A34" sqref="A34:XFD35"/>
    </sheetView>
  </sheetViews>
  <sheetFormatPr defaultColWidth="0" defaultRowHeight="10.199999999999999" zeroHeight="1"/>
  <cols>
    <col min="1" max="2" width="1.42578125" style="8" customWidth="1"/>
    <col min="3" max="3" width="30.85546875" style="8" customWidth="1"/>
    <col min="4" max="4" width="189.7109375" style="8" bestFit="1" customWidth="1"/>
    <col min="5" max="5" width="6.42578125" style="8" customWidth="1"/>
    <col min="6" max="6" width="9.28515625" style="8" hidden="1" customWidth="1"/>
    <col min="7" max="14" width="9.85546875" style="8" hidden="1" customWidth="1"/>
    <col min="15" max="15" width="1.42578125" style="8" hidden="1" customWidth="1"/>
    <col min="16" max="16" width="10.42578125" style="8" hidden="1" customWidth="1"/>
    <col min="17" max="17" width="1.42578125" style="8" hidden="1" customWidth="1"/>
    <col min="18" max="16384" width="10.42578125" style="8" hidden="1"/>
  </cols>
  <sheetData>
    <row r="1" spans="1:47" s="1" customFormat="1" ht="15.75" customHeight="1">
      <c r="A1" s="38"/>
      <c r="B1" s="35" t="s">
        <v>97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40</v>
      </c>
      <c r="C2" s="41"/>
      <c r="D2" s="42"/>
      <c r="E2" s="42"/>
    </row>
    <row r="3" spans="1:47" s="6" customFormat="1" ht="3" customHeight="1"/>
    <row r="4" spans="1:47" customFormat="1" ht="13.2">
      <c r="A4" s="43"/>
      <c r="B4" s="51" t="s">
        <v>65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63</v>
      </c>
      <c r="D7" s="7" t="s">
        <v>64</v>
      </c>
    </row>
    <row r="8" spans="1:47">
      <c r="C8" s="19" t="s">
        <v>35</v>
      </c>
      <c r="D8" s="7" t="s">
        <v>99</v>
      </c>
    </row>
    <row r="9" spans="1:47">
      <c r="C9" s="19" t="s">
        <v>59</v>
      </c>
      <c r="D9" s="7" t="s">
        <v>60</v>
      </c>
    </row>
    <row r="10" spans="1:47">
      <c r="C10" s="19" t="s">
        <v>58</v>
      </c>
      <c r="D10" s="7" t="s">
        <v>49</v>
      </c>
    </row>
    <row r="11" spans="1:47">
      <c r="C11" s="19" t="s">
        <v>62</v>
      </c>
      <c r="D11" s="7" t="s">
        <v>50</v>
      </c>
    </row>
    <row r="12" spans="1:47">
      <c r="C12" s="218" t="s">
        <v>179</v>
      </c>
      <c r="D12" s="7" t="s">
        <v>180</v>
      </c>
    </row>
    <row r="13" spans="1:47">
      <c r="C13" s="19" t="s">
        <v>54</v>
      </c>
      <c r="D13" s="7" t="s">
        <v>163</v>
      </c>
    </row>
    <row r="14" spans="1:47">
      <c r="C14" s="19" t="s">
        <v>53</v>
      </c>
      <c r="D14" s="7" t="s">
        <v>164</v>
      </c>
    </row>
    <row r="15" spans="1:47">
      <c r="C15" s="19" t="s">
        <v>52</v>
      </c>
      <c r="D15" s="7" t="s">
        <v>61</v>
      </c>
    </row>
    <row r="16" spans="1:47">
      <c r="C16" s="19" t="s">
        <v>25</v>
      </c>
      <c r="D16" s="7" t="s">
        <v>51</v>
      </c>
    </row>
    <row r="17" spans="1:47" ht="13.8">
      <c r="C17" s="10"/>
      <c r="D17" s="7"/>
    </row>
    <row r="18" spans="1:47" customFormat="1" ht="13.2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t="13.8" hidden="1">
      <c r="C32" s="10"/>
      <c r="D32" s="7"/>
    </row>
    <row r="33" hidden="1"/>
    <row r="34" hidden="1"/>
    <row r="35" hidden="1"/>
  </sheetData>
  <hyperlinks>
    <hyperlink ref="C13" location="'Calc|Opex Forecast'!A1" display="Calc | Opex Forecast"/>
    <hyperlink ref="C14" location="'Output|Models'!A1" display="Output | Models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  <hyperlink ref="C12" location="'Input|Dx Tx split'!A1" display="Input | Dx Tx split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U1" sqref="U1"/>
    </sheetView>
  </sheetViews>
  <sheetFormatPr defaultColWidth="0" defaultRowHeight="10.199999999999999" zeroHeight="1"/>
  <cols>
    <col min="1" max="2" width="1.42578125" style="29" customWidth="1"/>
    <col min="3" max="3" width="42" style="29" customWidth="1"/>
    <col min="4" max="4" width="27.7109375" style="30" customWidth="1"/>
    <col min="5" max="5" width="15.85546875" style="30" customWidth="1"/>
    <col min="6" max="6" width="10.7109375" style="30" customWidth="1"/>
    <col min="7" max="7" width="16.140625" style="30" bestFit="1" customWidth="1"/>
    <col min="8" max="9" width="3.28515625" style="30" customWidth="1"/>
    <col min="10" max="23" width="10.85546875" style="29" customWidth="1"/>
    <col min="24" max="38" width="10.42578125" style="29" hidden="1" customWidth="1"/>
    <col min="39" max="16384" width="10.42578125" style="29" hidden="1"/>
  </cols>
  <sheetData>
    <row r="1" spans="1:47" s="69" customFormat="1" ht="15.6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8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.2">
      <c r="A4" s="94"/>
      <c r="B4" s="95" t="s">
        <v>95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96</v>
      </c>
      <c r="D6" s="32" t="s">
        <v>7</v>
      </c>
      <c r="E6" s="32"/>
      <c r="F6" s="33"/>
      <c r="G6" s="33" t="s">
        <v>69</v>
      </c>
      <c r="H6" s="33"/>
      <c r="I6" s="29"/>
    </row>
    <row r="7" spans="1:47">
      <c r="C7" s="29" t="s">
        <v>66</v>
      </c>
      <c r="D7" s="30" t="s">
        <v>70</v>
      </c>
      <c r="E7" s="29"/>
      <c r="F7" s="29"/>
      <c r="G7" s="52" t="s">
        <v>188</v>
      </c>
      <c r="H7" s="29"/>
      <c r="I7" s="29"/>
      <c r="S7" s="131" t="str">
        <f>IF(COUNTBLANK($G7),"Check","Ok")</f>
        <v>Ok</v>
      </c>
    </row>
    <row r="8" spans="1:47">
      <c r="C8" s="29" t="s">
        <v>136</v>
      </c>
      <c r="D8" s="30" t="s">
        <v>71</v>
      </c>
      <c r="E8" s="29"/>
      <c r="F8" s="29"/>
      <c r="G8" s="52" t="s">
        <v>137</v>
      </c>
      <c r="H8" s="29"/>
      <c r="I8" s="29"/>
      <c r="S8" s="131" t="str">
        <f>IF(COUNTBLANK($G8),"Check","Ok")</f>
        <v>Ok</v>
      </c>
    </row>
    <row r="9" spans="1:47">
      <c r="C9" s="29" t="s">
        <v>120</v>
      </c>
      <c r="D9" s="30" t="s">
        <v>70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151</v>
      </c>
      <c r="D10" s="30" t="s">
        <v>70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73</v>
      </c>
      <c r="D11" s="30" t="s">
        <v>70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152</v>
      </c>
      <c r="D12" s="30" t="s">
        <v>70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67</v>
      </c>
      <c r="D13" s="30" t="s">
        <v>70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68</v>
      </c>
      <c r="D14" s="30" t="s">
        <v>70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3.2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06" priority="13" operator="equal">
      <formula>"Check"</formula>
    </cfRule>
    <cfRule type="cellIs" dxfId="205" priority="14" operator="equal">
      <formula>"Ok"</formula>
    </cfRule>
  </conditionalFormatting>
  <conditionalFormatting sqref="V1">
    <cfRule type="cellIs" dxfId="204" priority="3" operator="equal">
      <formula>"Check"</formula>
    </cfRule>
    <cfRule type="cellIs" dxfId="203" priority="4" operator="equal">
      <formula>"Ok"</formula>
    </cfRule>
  </conditionalFormatting>
  <conditionalFormatting sqref="S7:S14">
    <cfRule type="cellIs" dxfId="202" priority="5" operator="equal">
      <formula>"Check"</formula>
    </cfRule>
    <cfRule type="cellIs" dxfId="201" priority="6" operator="equal">
      <formula>"Ok"</formula>
    </cfRule>
  </conditionalFormatting>
  <conditionalFormatting sqref="S1">
    <cfRule type="cellIs" dxfId="200" priority="1" operator="equal">
      <formula>"Check"</formula>
    </cfRule>
    <cfRule type="cellIs" dxfId="199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31" workbookViewId="0">
      <selection activeCell="G59" sqref="G59:G62"/>
    </sheetView>
  </sheetViews>
  <sheetFormatPr defaultColWidth="0" defaultRowHeight="11.25" customHeight="1" zeroHeight="1"/>
  <cols>
    <col min="1" max="2" width="1.42578125" style="29" customWidth="1"/>
    <col min="3" max="3" width="11.7109375" style="29" bestFit="1" customWidth="1"/>
    <col min="4" max="4" width="21.42578125" style="30" bestFit="1" customWidth="1"/>
    <col min="5" max="5" width="21.42578125" style="30" customWidth="1"/>
    <col min="6" max="9" width="15" style="30" customWidth="1"/>
    <col min="10" max="10" width="3.28515625" style="30" customWidth="1"/>
    <col min="11" max="24" width="10.85546875" style="29" customWidth="1"/>
    <col min="25" max="39" width="10.42578125" style="29" hidden="1" customWidth="1"/>
    <col min="40" max="16384" width="10.42578125" style="29" hidden="1"/>
  </cols>
  <sheetData>
    <row r="1" spans="1:48" s="69" customFormat="1" ht="15.6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8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.2">
      <c r="A4" s="94"/>
      <c r="B4" s="95" t="s">
        <v>95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1">
      <c r="D6" s="62" t="s">
        <v>100</v>
      </c>
      <c r="E6" s="62" t="s">
        <v>134</v>
      </c>
      <c r="F6" s="62" t="s">
        <v>100</v>
      </c>
      <c r="G6" s="62" t="s">
        <v>134</v>
      </c>
      <c r="H6" s="62"/>
      <c r="I6" s="29"/>
      <c r="J6" s="29"/>
    </row>
    <row r="7" spans="1:48" ht="10.199999999999999">
      <c r="C7" s="67" t="s">
        <v>7</v>
      </c>
      <c r="D7" s="66" t="s">
        <v>98</v>
      </c>
      <c r="E7" s="66" t="s">
        <v>30</v>
      </c>
      <c r="F7" s="66" t="s">
        <v>98</v>
      </c>
      <c r="G7" s="66" t="s">
        <v>30</v>
      </c>
      <c r="H7" s="66"/>
      <c r="I7" s="29"/>
      <c r="J7" s="29"/>
    </row>
    <row r="8" spans="1:48" ht="10.199999999999999">
      <c r="C8" s="67" t="s">
        <v>8</v>
      </c>
      <c r="D8" s="66" t="s">
        <v>85</v>
      </c>
      <c r="E8" s="66" t="s">
        <v>16</v>
      </c>
      <c r="F8" s="66" t="s">
        <v>85</v>
      </c>
      <c r="G8" s="66" t="s">
        <v>16</v>
      </c>
      <c r="H8" s="66"/>
      <c r="I8" s="29"/>
      <c r="J8" s="29"/>
    </row>
    <row r="9" spans="1:48" ht="10.199999999999999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199999999999999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199999999999999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199999999999999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199999999999999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199999999999999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199999999999999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199999999999999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199999999999999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199999999999999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199999999999999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199999999999999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199999999999999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199999999999999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199999999999999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199999999999999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199999999999999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199999999999999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199999999999999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199999999999999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199999999999999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199999999999999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199999999999999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199999999999999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199999999999999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199999999999999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199999999999999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199999999999999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199999999999999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199999999999999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199999999999999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199999999999999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199999999999999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199999999999999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199999999999999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199999999999999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199999999999999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199999999999999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199999999999999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199999999999999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199999999999999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199999999999999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199999999999999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199999999999999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199999999999999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199999999999999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 ht="10.199999999999999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3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199999999999999">
      <c r="C56" s="64">
        <v>43465</v>
      </c>
      <c r="D56" s="29"/>
      <c r="E56" s="29"/>
      <c r="F56" s="63">
        <v>114.04636568836877</v>
      </c>
      <c r="G56" s="117">
        <f t="shared" si="1"/>
        <v>1.7362762608106763E-2</v>
      </c>
      <c r="H56" s="187" t="s">
        <v>192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199999999999999">
      <c r="C57" s="64">
        <v>43555</v>
      </c>
      <c r="D57" s="29"/>
      <c r="E57" s="29"/>
      <c r="F57" s="63">
        <v>114.59536146894393</v>
      </c>
      <c r="G57" s="117">
        <f t="shared" si="1"/>
        <v>1.7720794573214294E-2</v>
      </c>
      <c r="H57" s="187" t="s">
        <v>192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199999999999999">
      <c r="C58" s="64">
        <v>43646</v>
      </c>
      <c r="D58" s="29"/>
      <c r="E58" s="29"/>
      <c r="F58" s="63">
        <v>115.1470000024492</v>
      </c>
      <c r="G58" s="117">
        <f t="shared" si="1"/>
        <v>1.9000000021674346E-2</v>
      </c>
      <c r="H58" s="187" t="s">
        <v>192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199999999999999">
      <c r="C59" s="64">
        <v>43738</v>
      </c>
      <c r="D59" s="29"/>
      <c r="E59" s="29"/>
      <c r="F59" s="63">
        <f>AVERAGE(F58,F60)</f>
        <v>115.87970445940313</v>
      </c>
      <c r="G59" s="117">
        <f t="shared" si="1"/>
        <v>2.0966559113684058E-2</v>
      </c>
      <c r="H59" s="213" t="s">
        <v>174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199999999999999">
      <c r="C60" s="64">
        <v>43830</v>
      </c>
      <c r="D60" s="29"/>
      <c r="E60" s="29"/>
      <c r="F60" s="63">
        <f>F56*1.0225</f>
        <v>116.61240891635705</v>
      </c>
      <c r="G60" s="117">
        <f t="shared" si="1"/>
        <v>2.2499999999999964E-2</v>
      </c>
      <c r="H60" s="187" t="s">
        <v>189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199999999999999">
      <c r="C61" s="64">
        <v>43921</v>
      </c>
      <c r="D61" s="29"/>
      <c r="E61" s="29"/>
      <c r="F61" s="63">
        <f>AVERAGE(F60,F62)</f>
        <v>117.17510820943068</v>
      </c>
      <c r="G61" s="117">
        <f t="shared" si="1"/>
        <v>2.2511790245418162E-2</v>
      </c>
      <c r="H61" s="213" t="s">
        <v>174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199999999999999">
      <c r="C62" s="64">
        <v>44012</v>
      </c>
      <c r="D62" s="29"/>
      <c r="E62" s="29"/>
      <c r="F62" s="63">
        <f>F58*1.0225</f>
        <v>117.73780750250431</v>
      </c>
      <c r="G62" s="117">
        <f t="shared" si="1"/>
        <v>2.2499999999999964E-2</v>
      </c>
      <c r="H62" s="187" t="s">
        <v>189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199999999999999">
      <c r="C63" s="64">
        <v>44104</v>
      </c>
      <c r="D63" s="29"/>
      <c r="E63" s="29"/>
      <c r="F63" s="63"/>
      <c r="G63" s="117" t="str">
        <f t="shared" si="1"/>
        <v/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199999999999999">
      <c r="C64" s="64">
        <v>44196</v>
      </c>
      <c r="D64" s="29"/>
      <c r="E64" s="29"/>
      <c r="F64" s="63"/>
      <c r="G64" s="117" t="str">
        <f t="shared" si="1"/>
        <v/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199999999999999">
      <c r="F65" s="29"/>
      <c r="G65" s="29"/>
      <c r="H65" s="29"/>
      <c r="I65" s="29"/>
      <c r="J65" s="29"/>
      <c r="T65" s="132"/>
    </row>
    <row r="66" spans="1:48" s="103" customFormat="1" ht="13.2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t="10.199999999999999" hidden="1">
      <c r="H67" s="32"/>
      <c r="I67" s="32"/>
    </row>
    <row r="68" spans="1:48" ht="10.199999999999999" hidden="1">
      <c r="H68" s="32"/>
      <c r="I68" s="32"/>
    </row>
    <row r="69" spans="1:48" s="30" customFormat="1" ht="10.199999999999999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t="10.199999999999999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t="10.199999999999999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t="10.199999999999999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t="10.199999999999999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t="10.199999999999999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t="10.199999999999999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.199999999999999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8" priority="11" operator="equal">
      <formula>"Check"</formula>
    </cfRule>
    <cfRule type="cellIs" dxfId="197" priority="12" operator="equal">
      <formula>"Ok"</formula>
    </cfRule>
  </conditionalFormatting>
  <conditionalFormatting sqref="W1">
    <cfRule type="cellIs" dxfId="196" priority="7" operator="equal">
      <formula>"Check"</formula>
    </cfRule>
    <cfRule type="cellIs" dxfId="195" priority="8" operator="equal">
      <formula>"Ok"</formula>
    </cfRule>
  </conditionalFormatting>
  <conditionalFormatting sqref="T1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X51:X57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X58:X62 T9:T64">
    <cfRule type="cellIs" dxfId="190" priority="1" operator="equal">
      <formula>"Check"</formula>
    </cfRule>
    <cfRule type="cellIs" dxfId="189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37" workbookViewId="0">
      <selection activeCell="M59" sqref="M59"/>
    </sheetView>
  </sheetViews>
  <sheetFormatPr defaultColWidth="0" defaultRowHeight="10.199999999999999" zeroHeight="1"/>
  <cols>
    <col min="1" max="2" width="1.7109375" style="103" customWidth="1"/>
    <col min="3" max="3" width="49.85546875" style="103" bestFit="1" customWidth="1"/>
    <col min="4" max="6" width="13.28515625" style="103" customWidth="1"/>
    <col min="7" max="9" width="3.28515625" style="103" customWidth="1"/>
    <col min="10" max="23" width="10.85546875" style="103" customWidth="1"/>
    <col min="24" max="16384" width="9.28515625" style="103" hidden="1"/>
  </cols>
  <sheetData>
    <row r="1" spans="1:23" ht="15.6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84</v>
      </c>
      <c r="S1" s="76" t="str">
        <f>IF(COUNTA($W$37:$W$260)=COUNTIF($W$37:$W$260,"OK"),"OK","Check")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8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120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.2">
      <c r="A8" s="94"/>
      <c r="B8" s="95" t="s">
        <v>44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55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75</v>
      </c>
      <c r="D13" s="30" t="s">
        <v>71</v>
      </c>
      <c r="E13" s="170" t="s">
        <v>15</v>
      </c>
      <c r="F13" s="170">
        <v>41791</v>
      </c>
      <c r="G13" s="32"/>
      <c r="H13" s="32"/>
      <c r="I13" s="30"/>
      <c r="J13" s="164"/>
      <c r="K13" s="164"/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75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0</v>
      </c>
      <c r="K15" s="129">
        <f t="shared" ref="K15:S15" si="1">K13</f>
        <v>0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108</v>
      </c>
      <c r="D19" s="30" t="s">
        <v>71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71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71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71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71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71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71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71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71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158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.2">
      <c r="A31" s="94"/>
      <c r="B31" s="95" t="s">
        <v>59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76</v>
      </c>
      <c r="N33" s="164" t="s">
        <v>76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78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55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75</v>
      </c>
      <c r="D37" s="30" t="s">
        <v>77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10">
        <v>426.3881331369995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113</v>
      </c>
      <c r="D38" s="30" t="s">
        <v>77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>
        <v>0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190</v>
      </c>
      <c r="D39" s="30" t="s">
        <v>77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>
        <v>0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77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77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113</v>
      </c>
      <c r="D42" s="30" t="s">
        <v>77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75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426.3881331369995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114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108</v>
      </c>
      <c r="D48" s="30" t="s">
        <v>77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210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/>
      <c r="D49" s="30" t="s">
        <v>77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77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77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158</v>
      </c>
      <c r="D53" s="140" t="s">
        <v>30</v>
      </c>
      <c r="E53" s="130" t="s">
        <v>15</v>
      </c>
      <c r="F53" s="162" t="s">
        <v>103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3.2">
      <c r="A55" s="94"/>
      <c r="B55" s="95" t="s">
        <v>115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116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IF(YEAR(J$4)=BaseYear,J$4,"")</f>
        <v/>
      </c>
      <c r="K57" s="159" t="str">
        <f t="shared" si="12"/>
        <v/>
      </c>
      <c r="L57" s="159" t="str">
        <f t="shared" si="12"/>
        <v/>
      </c>
      <c r="M57" s="159">
        <f t="shared" si="12"/>
        <v>43252</v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191</v>
      </c>
      <c r="D59" s="30" t="s">
        <v>34</v>
      </c>
      <c r="E59" s="30" t="str">
        <f>$E$53</f>
        <v>$millions</v>
      </c>
      <c r="F59" s="161" t="str">
        <f t="shared" ref="F59:F61" si="13">$F$53</f>
        <v>nominal</v>
      </c>
      <c r="G59" s="32"/>
      <c r="H59" s="32"/>
      <c r="I59" s="32"/>
      <c r="J59" s="164"/>
      <c r="K59" s="164"/>
      <c r="L59" s="164"/>
      <c r="M59" s="210">
        <v>6.1070584000000094</v>
      </c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/>
      <c r="D60" s="30" t="s">
        <v>34</v>
      </c>
      <c r="E60" s="30" t="str">
        <f t="shared" ref="E60:E63" si="14">$E$53</f>
        <v>$millions</v>
      </c>
      <c r="F60" s="161" t="str">
        <f t="shared" si="13"/>
        <v>nominal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/>
      <c r="D61" s="30" t="s">
        <v>34</v>
      </c>
      <c r="E61" s="30" t="str">
        <f t="shared" si="14"/>
        <v>$millions</v>
      </c>
      <c r="F61" s="161" t="str">
        <f t="shared" si="13"/>
        <v>nominal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s="102" customFormat="1">
      <c r="A62" s="196"/>
      <c r="B62" s="196"/>
      <c r="C62" s="197"/>
      <c r="D62" s="105"/>
      <c r="E62" s="105"/>
      <c r="F62" s="198"/>
      <c r="G62" s="199"/>
      <c r="H62" s="199"/>
      <c r="I62" s="199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104"/>
      <c r="U62" s="165"/>
      <c r="V62" s="165"/>
      <c r="W62" s="196"/>
    </row>
    <row r="63" spans="1:23">
      <c r="A63" s="29"/>
      <c r="B63" s="29"/>
      <c r="C63" s="61" t="s">
        <v>159</v>
      </c>
      <c r="D63" s="30" t="s">
        <v>34</v>
      </c>
      <c r="E63" s="30" t="str">
        <f t="shared" si="14"/>
        <v>$millions</v>
      </c>
      <c r="F63" s="170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>
      <c r="A65" s="29"/>
      <c r="B65" s="29"/>
      <c r="C65" s="61" t="s">
        <v>91</v>
      </c>
      <c r="D65" s="30" t="s">
        <v>34</v>
      </c>
      <c r="E65" s="30" t="s">
        <v>31</v>
      </c>
      <c r="F65" s="32"/>
      <c r="G65" s="32"/>
      <c r="H65" s="32"/>
      <c r="I65" s="3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24"/>
      <c r="U65" s="142"/>
      <c r="V65" s="142"/>
      <c r="W65" s="29"/>
    </row>
    <row r="66" spans="1:23">
      <c r="A66" s="29"/>
      <c r="B66" s="29"/>
      <c r="C66" s="111"/>
      <c r="D66" s="30"/>
      <c r="E66" s="30"/>
      <c r="F66" s="30"/>
      <c r="G66" s="32"/>
      <c r="H66" s="32"/>
      <c r="I66" s="3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13.2">
      <c r="A67" s="94"/>
      <c r="B67" s="95" t="s">
        <v>21</v>
      </c>
      <c r="C67" s="94"/>
      <c r="D67" s="94"/>
      <c r="E67" s="94"/>
      <c r="F67" s="96"/>
      <c r="G67" s="96"/>
      <c r="H67" s="96"/>
      <c r="I67" s="96"/>
      <c r="J67" s="97"/>
      <c r="K67" s="98"/>
      <c r="L67" s="97"/>
      <c r="M67" s="98"/>
      <c r="N67" s="97"/>
      <c r="O67" s="97"/>
      <c r="P67" s="97"/>
      <c r="Q67" s="97"/>
      <c r="R67" s="97"/>
      <c r="S67" s="97"/>
      <c r="T67" s="97"/>
      <c r="U67" s="97"/>
      <c r="V67" s="98"/>
      <c r="W67" s="98"/>
    </row>
    <row r="68" spans="1:23" hidden="1"/>
    <row r="69" spans="1:23" hidden="1"/>
  </sheetData>
  <conditionalFormatting sqref="W37:W42 W48:W51">
    <cfRule type="cellIs" dxfId="188" priority="38" operator="equal">
      <formula>"Check"</formula>
    </cfRule>
    <cfRule type="cellIs" dxfId="187" priority="39" operator="equal">
      <formula>"Ok"</formula>
    </cfRule>
  </conditionalFormatting>
  <conditionalFormatting sqref="W53">
    <cfRule type="cellIs" dxfId="186" priority="36" operator="equal">
      <formula>"Check"</formula>
    </cfRule>
    <cfRule type="cellIs" dxfId="185" priority="37" operator="equal">
      <formula>"Ok"</formula>
    </cfRule>
  </conditionalFormatting>
  <conditionalFormatting sqref="W15">
    <cfRule type="cellIs" dxfId="184" priority="34" operator="equal">
      <formula>"Check"</formula>
    </cfRule>
    <cfRule type="cellIs" dxfId="183" priority="35" operator="equal">
      <formula>"Ok"</formula>
    </cfRule>
  </conditionalFormatting>
  <conditionalFormatting sqref="V1">
    <cfRule type="cellIs" dxfId="182" priority="32" operator="equal">
      <formula>"Check"</formula>
    </cfRule>
    <cfRule type="cellIs" dxfId="181" priority="33" operator="equal">
      <formula>"Ok"</formula>
    </cfRule>
  </conditionalFormatting>
  <conditionalFormatting sqref="S1">
    <cfRule type="cellIs" dxfId="180" priority="30" operator="equal">
      <formula>"Check"</formula>
    </cfRule>
    <cfRule type="cellIs" dxfId="179" priority="31" operator="equal">
      <formula>"Ok"</formula>
    </cfRule>
  </conditionalFormatting>
  <conditionalFormatting sqref="J15:S15">
    <cfRule type="cellIs" dxfId="178" priority="29" operator="equal">
      <formula>0</formula>
    </cfRule>
  </conditionalFormatting>
  <conditionalFormatting sqref="J53:S53">
    <cfRule type="cellIs" dxfId="177" priority="28" operator="equal">
      <formula>0</formula>
    </cfRule>
  </conditionalFormatting>
  <conditionalFormatting sqref="W45:W47">
    <cfRule type="cellIs" dxfId="176" priority="26" operator="equal">
      <formula>"Check"</formula>
    </cfRule>
    <cfRule type="cellIs" dxfId="175" priority="27" operator="equal">
      <formula>"Ok"</formula>
    </cfRule>
  </conditionalFormatting>
  <conditionalFormatting sqref="J49:S49 J33:S33 J48:L48 N48:S48 J51:S51 J50:K50 O50:S50 J40:S42 J38:L39 N37:S39">
    <cfRule type="expression" dxfId="174" priority="24">
      <formula>J$34=J$4</formula>
    </cfRule>
  </conditionalFormatting>
  <conditionalFormatting sqref="O13:S13 J20:S27 O19:S19">
    <cfRule type="expression" dxfId="173" priority="23">
      <formula>J$10=J$4</formula>
    </cfRule>
  </conditionalFormatting>
  <conditionalFormatting sqref="J37:K37">
    <cfRule type="expression" dxfId="172" priority="20">
      <formula>J$10=J$4</formula>
    </cfRule>
  </conditionalFormatting>
  <conditionalFormatting sqref="W44">
    <cfRule type="cellIs" dxfId="171" priority="18" operator="equal">
      <formula>"Check"</formula>
    </cfRule>
    <cfRule type="cellIs" dxfId="170" priority="19" operator="equal">
      <formula>"Ok"</formula>
    </cfRule>
  </conditionalFormatting>
  <conditionalFormatting sqref="J44:S44">
    <cfRule type="cellIs" dxfId="169" priority="16" operator="equal">
      <formula>0</formula>
    </cfRule>
  </conditionalFormatting>
  <conditionalFormatting sqref="J59:L59 J63:S63 J65:M65 J61:S61 J60:M60 O60:S60 O65:S65 N59:S59">
    <cfRule type="expression" dxfId="168" priority="15">
      <formula>J$57=J$4</formula>
    </cfRule>
  </conditionalFormatting>
  <conditionalFormatting sqref="W29">
    <cfRule type="cellIs" dxfId="167" priority="11" operator="equal">
      <formula>"Check"</formula>
    </cfRule>
    <cfRule type="cellIs" dxfId="166" priority="12" operator="equal">
      <formula>"Ok"</formula>
    </cfRule>
  </conditionalFormatting>
  <conditionalFormatting sqref="J29:S29">
    <cfRule type="cellIs" dxfId="165" priority="10" operator="equal">
      <formula>0</formula>
    </cfRule>
  </conditionalFormatting>
  <conditionalFormatting sqref="J13:N13">
    <cfRule type="expression" dxfId="164" priority="9">
      <formula>J$10=J$4</formula>
    </cfRule>
  </conditionalFormatting>
  <conditionalFormatting sqref="L37">
    <cfRule type="expression" dxfId="163" priority="7">
      <formula>L$10=L$4</formula>
    </cfRule>
  </conditionalFormatting>
  <conditionalFormatting sqref="N60">
    <cfRule type="expression" dxfId="162" priority="6">
      <formula>N$57=N$4</formula>
    </cfRule>
  </conditionalFormatting>
  <conditionalFormatting sqref="N65">
    <cfRule type="expression" dxfId="161" priority="5">
      <formula>N$57=N$4</formula>
    </cfRule>
  </conditionalFormatting>
  <conditionalFormatting sqref="J19:N19">
    <cfRule type="expression" dxfId="160" priority="4">
      <formula>J$10=J$4</formula>
    </cfRule>
  </conditionalFormatting>
  <conditionalFormatting sqref="L50:N50">
    <cfRule type="expression" dxfId="159" priority="2">
      <formula>L$34=L$4</formula>
    </cfRule>
  </conditionalFormatting>
  <conditionalFormatting sqref="M38:M39">
    <cfRule type="expression" dxfId="158" priority="1">
      <formula>M$34=M$4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'Lookup|Tables'!$H$41:$H$60</xm:f>
          </x14:formula1>
          <xm:sqref>F15 F29 F13 F62:F64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6"/>
  <sheetViews>
    <sheetView showGridLines="0" topLeftCell="D73" workbookViewId="0">
      <selection activeCell="T105" sqref="T105"/>
    </sheetView>
  </sheetViews>
  <sheetFormatPr defaultColWidth="0" defaultRowHeight="10.199999999999999" zeroHeight="1" outlineLevelRow="1"/>
  <cols>
    <col min="1" max="2" width="1.42578125" style="29" customWidth="1"/>
    <col min="3" max="3" width="57.42578125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10" width="10.85546875" style="30" customWidth="1"/>
    <col min="11" max="23" width="10.85546875" style="29" customWidth="1"/>
    <col min="24" max="16384" width="10.42578125" style="29" hidden="1"/>
  </cols>
  <sheetData>
    <row r="1" spans="1:50" s="69" customFormat="1" ht="15.6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IF(COUNTIF(W5:W107,"Check")=0,"Ok","Check")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8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120</v>
      </c>
      <c r="K3" s="224"/>
      <c r="L3" s="224"/>
      <c r="M3" s="224"/>
      <c r="N3" s="181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.2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101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1.9000000021674346E-2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102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1.0873182247634485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1.0711348837437134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1.060285451219606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1.0401716350718087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1.0190000000216743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0.91969395640136076</v>
      </c>
      <c r="K21" s="22">
        <f t="shared" ref="K21" si="14">IF(AND($C21&gt;K$14,ISNONTEXT($C21)),L21/(1+L$12),IF(AND($C21=K$14,K$14=K$4),1,IF(AND($C21&lt;K$14,K$14=K$4),J21*(1+K$12),0)))</f>
        <v>0.93358923808447847</v>
      </c>
      <c r="L21" s="22">
        <f t="shared" ref="L21" si="15">IF(AND($C21&gt;L$14,ISNONTEXT($C21)),M21/(1+M$12),IF(AND($C21=L$14,L$14=L$4),1,IF(AND($C21&lt;L$14,L$14=L$4),K21*(1+L$12),0)))</f>
        <v>0.94314224424162196</v>
      </c>
      <c r="M21" s="22">
        <f t="shared" ref="M21" si="16">IF(AND($C21&gt;M$14,ISNONTEXT($C21)),N21/(1+N$12),IF(AND($C21=M$14,M$14=M$4),1,IF(AND($C21&lt;M$14,M$14=M$4),L21*(1+M$12),0)))</f>
        <v>0.96137980145071411</v>
      </c>
      <c r="N21" s="22">
        <f t="shared" ref="N21" si="17">IF(AND($C21&gt;N$14,ISNONTEXT($C21)),O21/(1+O$12),IF(AND($C21=N$14,N$14=N$4),1,IF(AND($C21&lt;N$14,N$14=N$4),M21*(1+N$12),0)))</f>
        <v>0.98135426887019606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45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0.92838993744810894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0.94241660316970466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0.9520599358533014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0.97046993461289555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0.99063326658768935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1.1035908476613185</v>
      </c>
      <c r="K30" s="22">
        <f t="shared" si="27"/>
        <v>1.0791962195423117</v>
      </c>
      <c r="L30" s="22">
        <f t="shared" si="27"/>
        <v>1.0656963608492167</v>
      </c>
      <c r="M30" s="22">
        <f t="shared" si="27"/>
        <v>1.0501803899511493</v>
      </c>
      <c r="N30" s="22">
        <f t="shared" si="27"/>
        <v>1.0295313963938728</v>
      </c>
      <c r="O30" s="22">
        <f t="shared" si="27"/>
        <v>1.0094552986743268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.2">
      <c r="A32" s="94"/>
      <c r="B32" s="95" t="s">
        <v>79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82</v>
      </c>
      <c r="D34" s="32" t="s">
        <v>7</v>
      </c>
      <c r="E34" s="32" t="s">
        <v>8</v>
      </c>
      <c r="J34" s="163" t="str">
        <f t="shared" ref="J34:T34" si="28">IF(YEAR(J$4)&gt;BaseYear,IF(YEAR(J$4)&lt;=FPLastYear,J$4,""),"")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>
        <f t="shared" si="28"/>
        <v>43617</v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169</v>
      </c>
      <c r="D36" s="30" t="s">
        <v>104</v>
      </c>
      <c r="E36" s="30" t="str">
        <f t="shared" ref="E36:E43" si="29">percent</f>
        <v>Per cent</v>
      </c>
      <c r="J36" s="203"/>
      <c r="K36" s="152"/>
      <c r="L36" s="152"/>
      <c r="M36" s="152"/>
      <c r="N36" s="152"/>
      <c r="O36" s="222">
        <v>-8.370514636413251E-4</v>
      </c>
      <c r="P36" s="222">
        <v>-1.9998746507710052E-5</v>
      </c>
      <c r="Q36" s="222">
        <v>5.8343016719275553E-4</v>
      </c>
      <c r="R36" s="222">
        <v>5.6862862819597737E-3</v>
      </c>
      <c r="S36" s="222">
        <v>8.3088127500947628E-3</v>
      </c>
      <c r="T36" s="222">
        <v>8.3577443916023064E-3</v>
      </c>
    </row>
    <row r="37" spans="3:23" ht="11.25" customHeight="1" outlineLevel="1">
      <c r="C37" s="61" t="s">
        <v>170</v>
      </c>
      <c r="D37" s="30" t="s">
        <v>104</v>
      </c>
      <c r="E37" s="30" t="str">
        <f t="shared" si="29"/>
        <v>Per cent</v>
      </c>
      <c r="J37" s="203"/>
      <c r="K37" s="152"/>
      <c r="L37" s="152"/>
      <c r="M37" s="152"/>
      <c r="N37" s="152"/>
      <c r="O37" s="60">
        <v>7.1354154012862776E-3</v>
      </c>
      <c r="P37" s="60">
        <v>6.6108220893245839E-3</v>
      </c>
      <c r="Q37" s="60">
        <v>1.2161170436326883E-2</v>
      </c>
      <c r="R37" s="60">
        <v>1.5293660751109073E-2</v>
      </c>
      <c r="S37" s="60">
        <v>1.7389624574322991E-2</v>
      </c>
      <c r="T37" s="60">
        <v>1.4407582991720146E-2</v>
      </c>
    </row>
    <row r="38" spans="3:23" ht="11.25" customHeight="1" outlineLevel="1">
      <c r="C38" s="61" t="s">
        <v>171</v>
      </c>
      <c r="D38" s="30" t="s">
        <v>104</v>
      </c>
      <c r="E38" s="30" t="str">
        <f t="shared" si="29"/>
        <v>Per cent</v>
      </c>
      <c r="J38" s="203"/>
      <c r="K38" s="152"/>
      <c r="L38" s="152"/>
      <c r="M38" s="152"/>
      <c r="N38" s="152"/>
      <c r="O38" s="60">
        <f t="shared" ref="O38:T38" si="30">AVERAGE(O36:O37)</f>
        <v>3.1491819688224763E-3</v>
      </c>
      <c r="P38" s="60">
        <f t="shared" si="30"/>
        <v>3.2954116714084369E-3</v>
      </c>
      <c r="Q38" s="60">
        <f t="shared" si="30"/>
        <v>6.3723003017598194E-3</v>
      </c>
      <c r="R38" s="60">
        <f t="shared" si="30"/>
        <v>1.0489973516534423E-2</v>
      </c>
      <c r="S38" s="60">
        <f t="shared" si="30"/>
        <v>1.2849218662208877E-2</v>
      </c>
      <c r="T38" s="60">
        <f t="shared" si="30"/>
        <v>1.1382663691661226E-2</v>
      </c>
    </row>
    <row r="39" spans="3:23" ht="11.25" customHeight="1" outlineLevel="1">
      <c r="C39" s="61"/>
      <c r="D39" s="30" t="s">
        <v>104</v>
      </c>
      <c r="E39" s="30" t="str">
        <f t="shared" si="29"/>
        <v>Per cent</v>
      </c>
      <c r="J39" s="203"/>
      <c r="K39" s="152"/>
      <c r="L39" s="152"/>
      <c r="M39" s="152"/>
      <c r="N39" s="152"/>
      <c r="O39" s="152"/>
      <c r="P39" s="60"/>
      <c r="Q39" s="60"/>
      <c r="R39" s="60"/>
      <c r="S39" s="60"/>
      <c r="T39" s="208"/>
      <c r="U39" s="147"/>
    </row>
    <row r="40" spans="3:23" ht="11.25" customHeight="1" outlineLevel="1">
      <c r="C40" s="61"/>
      <c r="D40" s="30" t="s">
        <v>104</v>
      </c>
      <c r="E40" s="30" t="str">
        <f t="shared" si="29"/>
        <v>Per cent</v>
      </c>
      <c r="J40" s="203"/>
      <c r="K40" s="152"/>
      <c r="L40" s="152"/>
      <c r="M40" s="152"/>
      <c r="N40" s="152"/>
      <c r="O40" s="152"/>
      <c r="P40" s="60"/>
      <c r="Q40" s="60"/>
      <c r="R40" s="60"/>
      <c r="S40" s="60"/>
      <c r="T40" s="208"/>
    </row>
    <row r="41" spans="3:23" ht="11.25" customHeight="1" outlineLevel="1">
      <c r="C41" s="61"/>
      <c r="D41" s="30" t="s">
        <v>104</v>
      </c>
      <c r="E41" s="30" t="str">
        <f t="shared" si="29"/>
        <v>Per cent</v>
      </c>
      <c r="J41" s="203"/>
      <c r="K41" s="152"/>
      <c r="L41" s="152"/>
      <c r="M41" s="152"/>
      <c r="N41" s="152"/>
      <c r="O41" s="152"/>
      <c r="P41" s="60"/>
      <c r="Q41" s="60"/>
      <c r="R41" s="60"/>
      <c r="S41" s="60"/>
      <c r="T41" s="208"/>
    </row>
    <row r="42" spans="3:23" ht="11.25" customHeight="1" outlineLevel="1">
      <c r="C42" s="61"/>
      <c r="D42" s="30" t="s">
        <v>104</v>
      </c>
      <c r="E42" s="30" t="str">
        <f t="shared" si="29"/>
        <v>Per cent</v>
      </c>
      <c r="J42" s="203"/>
      <c r="K42" s="152"/>
      <c r="L42" s="152"/>
      <c r="M42" s="152"/>
      <c r="N42" s="152"/>
      <c r="O42" s="152"/>
      <c r="P42" s="60"/>
      <c r="Q42" s="60"/>
      <c r="R42" s="60"/>
      <c r="S42" s="60"/>
      <c r="T42" s="208"/>
    </row>
    <row r="43" spans="3:23" ht="11.25" customHeight="1" outlineLevel="1">
      <c r="C43" s="61" t="s">
        <v>83</v>
      </c>
      <c r="D43" s="30" t="s">
        <v>104</v>
      </c>
      <c r="E43" s="30" t="str">
        <f t="shared" si="29"/>
        <v>Per cent</v>
      </c>
      <c r="J43" s="203"/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39</v>
      </c>
      <c r="D45" s="30" t="s">
        <v>101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>Ok</v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42</v>
      </c>
      <c r="D47" s="32" t="s">
        <v>7</v>
      </c>
      <c r="E47" s="32" t="s">
        <v>8</v>
      </c>
      <c r="J47" s="163" t="str">
        <f t="shared" ref="J47:T47" si="32">IF(YEAR(J$4)&gt;BaseYear,IF(YEAR(J$4)&lt;=FPLastYear,J$4,""),"")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>
        <f t="shared" si="32"/>
        <v>43617</v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104</v>
      </c>
      <c r="E49" s="30" t="str">
        <f t="shared" ref="E49:E56" si="34">percent</f>
        <v>Per cent</v>
      </c>
      <c r="J49" s="203"/>
      <c r="K49" s="152"/>
      <c r="L49" s="152"/>
      <c r="M49" s="152"/>
      <c r="N49" s="152"/>
      <c r="O49" s="60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3"/>
        <v>WPI - BIS Oxford Economics</v>
      </c>
      <c r="D50" s="30" t="s">
        <v>104</v>
      </c>
      <c r="E50" s="30" t="str">
        <f t="shared" si="34"/>
        <v>Per cent</v>
      </c>
      <c r="J50" s="203"/>
      <c r="K50" s="152"/>
      <c r="L50" s="152"/>
      <c r="M50" s="152"/>
      <c r="N50" s="152"/>
      <c r="O50" s="60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3"/>
        <v>WPI - average of DAE and BIS Oxford Economics</v>
      </c>
      <c r="D51" s="30" t="s">
        <v>104</v>
      </c>
      <c r="E51" s="30" t="str">
        <f t="shared" si="34"/>
        <v>Per cent</v>
      </c>
      <c r="J51" s="203"/>
      <c r="K51" s="152"/>
      <c r="L51" s="152"/>
      <c r="M51" s="152"/>
      <c r="N51" s="152"/>
      <c r="O51" s="60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104</v>
      </c>
      <c r="E52" s="30" t="str">
        <f t="shared" si="34"/>
        <v>Per cent</v>
      </c>
      <c r="J52" s="203"/>
      <c r="K52" s="152"/>
      <c r="L52" s="152"/>
      <c r="M52" s="152"/>
      <c r="N52" s="152"/>
      <c r="O52" s="60"/>
      <c r="P52" s="60"/>
      <c r="Q52" s="60"/>
      <c r="R52" s="60"/>
      <c r="S52" s="60"/>
      <c r="T52" s="208"/>
      <c r="U52" s="147"/>
    </row>
    <row r="53" spans="1:50" ht="11.25" customHeight="1" outlineLevel="1">
      <c r="C53" s="148">
        <f t="shared" si="33"/>
        <v>0</v>
      </c>
      <c r="D53" s="30" t="s">
        <v>104</v>
      </c>
      <c r="E53" s="30" t="str">
        <f t="shared" si="34"/>
        <v>Per cent</v>
      </c>
      <c r="J53" s="203"/>
      <c r="K53" s="152"/>
      <c r="L53" s="152"/>
      <c r="M53" s="152"/>
      <c r="N53" s="152"/>
      <c r="O53" s="60"/>
      <c r="P53" s="60"/>
      <c r="Q53" s="60"/>
      <c r="R53" s="60"/>
      <c r="S53" s="60"/>
      <c r="T53" s="208"/>
    </row>
    <row r="54" spans="1:50" ht="11.25" customHeight="1" outlineLevel="1">
      <c r="C54" s="148">
        <f t="shared" si="33"/>
        <v>0</v>
      </c>
      <c r="D54" s="30" t="s">
        <v>104</v>
      </c>
      <c r="E54" s="30" t="str">
        <f t="shared" si="34"/>
        <v>Per cent</v>
      </c>
      <c r="J54" s="203"/>
      <c r="K54" s="152"/>
      <c r="L54" s="152"/>
      <c r="M54" s="152"/>
      <c r="N54" s="152"/>
      <c r="O54" s="60"/>
      <c r="P54" s="60"/>
      <c r="Q54" s="60"/>
      <c r="R54" s="60"/>
      <c r="S54" s="60"/>
      <c r="T54" s="208"/>
    </row>
    <row r="55" spans="1:50" ht="11.25" customHeight="1" outlineLevel="1">
      <c r="C55" s="148">
        <f t="shared" si="33"/>
        <v>0</v>
      </c>
      <c r="D55" s="30" t="s">
        <v>104</v>
      </c>
      <c r="E55" s="30" t="str">
        <f t="shared" si="34"/>
        <v>Per cent</v>
      </c>
      <c r="J55" s="203"/>
      <c r="K55" s="152"/>
      <c r="L55" s="152"/>
      <c r="M55" s="152"/>
      <c r="N55" s="152"/>
      <c r="O55" s="60"/>
      <c r="P55" s="60"/>
      <c r="Q55" s="60"/>
      <c r="R55" s="60"/>
      <c r="S55" s="60"/>
      <c r="T55" s="208"/>
    </row>
    <row r="56" spans="1:50" ht="11.25" customHeight="1" outlineLevel="1">
      <c r="C56" s="148" t="str">
        <f t="shared" si="33"/>
        <v>CPI</v>
      </c>
      <c r="D56" s="30" t="s">
        <v>104</v>
      </c>
      <c r="E56" s="30" t="str">
        <f t="shared" si="34"/>
        <v>Per cent</v>
      </c>
      <c r="J56" s="203"/>
      <c r="K56" s="152"/>
      <c r="L56" s="152"/>
      <c r="M56" s="152"/>
      <c r="N56" s="152"/>
      <c r="O56" s="60">
        <f>1-O51</f>
        <v>0.40300000000000002</v>
      </c>
      <c r="P56" s="60">
        <f t="shared" ref="P56:T56" si="35">1-P51</f>
        <v>0.40300000000000002</v>
      </c>
      <c r="Q56" s="60">
        <f t="shared" si="35"/>
        <v>0.40300000000000002</v>
      </c>
      <c r="R56" s="60">
        <f t="shared" si="35"/>
        <v>0.40300000000000002</v>
      </c>
      <c r="S56" s="60">
        <f t="shared" si="35"/>
        <v>0.40300000000000002</v>
      </c>
      <c r="T56" s="60">
        <f t="shared" si="35"/>
        <v>0.40300000000000002</v>
      </c>
    </row>
    <row r="57" spans="1:50" ht="11.25" customHeight="1" outlineLevel="1"/>
    <row r="58" spans="1:50" outlineLevel="1">
      <c r="C58" s="29" t="s">
        <v>39</v>
      </c>
      <c r="D58" s="30" t="s">
        <v>101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>Ok</v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.2">
      <c r="A60" s="94"/>
      <c r="B60" s="95" t="s">
        <v>86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87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IF(YEAR(J$4)&gt;=BaseYear,IF(YEAR(J$4)&lt;=FPLastYear,J$4,""),"")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>
        <f t="shared" si="37"/>
        <v>43252</v>
      </c>
      <c r="O62" s="163">
        <f t="shared" si="37"/>
        <v>43617</v>
      </c>
      <c r="P62" s="163">
        <f t="shared" si="37"/>
        <v>43983</v>
      </c>
      <c r="Q62" s="163">
        <f t="shared" si="37"/>
        <v>44348</v>
      </c>
      <c r="R62" s="163">
        <f t="shared" si="37"/>
        <v>44713</v>
      </c>
      <c r="S62" s="163">
        <f t="shared" si="37"/>
        <v>45078</v>
      </c>
      <c r="T62" s="163">
        <f t="shared" si="37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165</v>
      </c>
      <c r="D64" s="30" t="s">
        <v>104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211">
        <v>1727294</v>
      </c>
      <c r="O64" s="211">
        <v>1748633.1734508257</v>
      </c>
      <c r="P64" s="211">
        <v>1767115.3140498404</v>
      </c>
      <c r="Q64" s="211">
        <v>1782641.5064755075</v>
      </c>
      <c r="R64" s="211">
        <v>1798441.4480268057</v>
      </c>
      <c r="S64" s="211">
        <v>1815410.8805744464</v>
      </c>
      <c r="T64" s="211">
        <v>1832380.3131220874</v>
      </c>
    </row>
    <row r="65" spans="3:23" outlineLevel="1">
      <c r="C65" s="61" t="s">
        <v>166</v>
      </c>
      <c r="D65" s="30" t="s">
        <v>172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5">
        <v>41847</v>
      </c>
      <c r="O65" s="195">
        <v>41982.679287267463</v>
      </c>
      <c r="P65" s="195">
        <v>42160.838899527756</v>
      </c>
      <c r="Q65" s="195">
        <v>42344.294975753197</v>
      </c>
      <c r="R65" s="195">
        <v>42584.728051978636</v>
      </c>
      <c r="S65" s="195">
        <v>42834.024128204073</v>
      </c>
      <c r="T65" s="195">
        <v>43056.11620442952</v>
      </c>
    </row>
    <row r="66" spans="3:23" outlineLevel="1">
      <c r="C66" s="61" t="s">
        <v>167</v>
      </c>
      <c r="D66" s="30" t="s">
        <v>104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211">
        <f>O66</f>
        <v>6555</v>
      </c>
      <c r="O66" s="211">
        <v>6555</v>
      </c>
      <c r="P66" s="211">
        <v>6555</v>
      </c>
      <c r="Q66" s="211">
        <v>6555</v>
      </c>
      <c r="R66" s="211">
        <v>6555</v>
      </c>
      <c r="S66" s="211">
        <v>6555</v>
      </c>
      <c r="T66" s="211">
        <v>6555</v>
      </c>
    </row>
    <row r="67" spans="3:23" outlineLevel="1">
      <c r="C67" s="61" t="s">
        <v>187</v>
      </c>
      <c r="D67" s="30" t="s">
        <v>104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>
        <v>25459.184617732728</v>
      </c>
      <c r="O67" s="194">
        <v>25274.063002463765</v>
      </c>
      <c r="P67" s="194">
        <v>25491.53194169957</v>
      </c>
      <c r="Q67" s="194">
        <v>25873.970225063724</v>
      </c>
      <c r="R67" s="194">
        <v>26251.515694444344</v>
      </c>
      <c r="S67" s="194">
        <v>26689.096697220484</v>
      </c>
      <c r="T67" s="194">
        <v>26844.116170845133</v>
      </c>
    </row>
    <row r="68" spans="3:23" outlineLevel="1">
      <c r="C68" s="61"/>
      <c r="D68" s="30" t="s">
        <v>104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104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39</v>
      </c>
      <c r="D71" s="30" t="s">
        <v>101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>Ok</v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>Ok</v>
      </c>
      <c r="S71" s="132" t="str">
        <f t="shared" si="38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90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IF(YEAR(J$4)&gt;=BaseYear,IF(YEAR(J$4)&lt;=FPLastYear,J$4,""),"")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>
        <f t="shared" si="39"/>
        <v>43252</v>
      </c>
      <c r="O73" s="163">
        <f t="shared" si="39"/>
        <v>43617</v>
      </c>
      <c r="P73" s="163">
        <f t="shared" si="39"/>
        <v>43983</v>
      </c>
      <c r="Q73" s="163">
        <f t="shared" si="39"/>
        <v>44348</v>
      </c>
      <c r="R73" s="163">
        <f t="shared" si="39"/>
        <v>44713</v>
      </c>
      <c r="S73" s="163">
        <f t="shared" si="39"/>
        <v>45078</v>
      </c>
      <c r="T73" s="163">
        <f t="shared" si="39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101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>
        <f t="shared" ref="O75:T75" si="41">IF(ISBLANK(N64),"",IF(ISBLANK(O64),"",LN(O64)-LN(N64)))</f>
        <v>1.2278416937755665E-2</v>
      </c>
      <c r="P75" s="117">
        <f t="shared" si="41"/>
        <v>1.0514011979285698E-2</v>
      </c>
      <c r="Q75" s="117">
        <f t="shared" si="41"/>
        <v>8.7478056786469693E-3</v>
      </c>
      <c r="R75" s="117">
        <f t="shared" si="41"/>
        <v>8.8241709421890135E-3</v>
      </c>
      <c r="S75" s="117">
        <f t="shared" si="41"/>
        <v>9.3913949588255718E-3</v>
      </c>
      <c r="T75" s="117">
        <f t="shared" si="41"/>
        <v>9.3040166277305048E-3</v>
      </c>
    </row>
    <row r="76" spans="3:23" outlineLevel="1">
      <c r="C76" s="148" t="str">
        <f t="shared" ref="C76:C80" si="42">C65</f>
        <v>Circuit Length (km)</v>
      </c>
      <c r="D76" s="30" t="s">
        <v>101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 t="str">
        <f t="shared" si="43"/>
        <v/>
      </c>
      <c r="N76" s="117" t="str">
        <f t="shared" si="43"/>
        <v/>
      </c>
      <c r="O76" s="117">
        <f t="shared" si="43"/>
        <v>3.2370255235463219E-3</v>
      </c>
      <c r="P76" s="117">
        <f t="shared" si="43"/>
        <v>4.2346667297774587E-3</v>
      </c>
      <c r="Q76" s="117">
        <f t="shared" si="43"/>
        <v>4.341898675811251E-3</v>
      </c>
      <c r="R76" s="117">
        <f t="shared" si="43"/>
        <v>5.6619918603466601E-3</v>
      </c>
      <c r="S76" s="117">
        <f t="shared" si="43"/>
        <v>5.8370504761366959E-3</v>
      </c>
      <c r="T76" s="117">
        <f t="shared" si="43"/>
        <v>5.1715498508091429E-3</v>
      </c>
    </row>
    <row r="77" spans="3:23" outlineLevel="1">
      <c r="C77" s="148" t="str">
        <f t="shared" si="42"/>
        <v>Ratcheted Maximum Demand (MW)</v>
      </c>
      <c r="D77" s="30" t="s">
        <v>101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117">
        <f t="shared" si="44"/>
        <v>0</v>
      </c>
      <c r="P77" s="117">
        <f t="shared" si="44"/>
        <v>0</v>
      </c>
      <c r="Q77" s="117">
        <f t="shared" si="44"/>
        <v>0</v>
      </c>
      <c r="R77" s="117">
        <f t="shared" si="44"/>
        <v>0</v>
      </c>
      <c r="S77" s="117">
        <f t="shared" si="44"/>
        <v>0</v>
      </c>
      <c r="T77" s="117">
        <f t="shared" si="44"/>
        <v>0</v>
      </c>
    </row>
    <row r="78" spans="3:23" outlineLevel="1">
      <c r="C78" s="148" t="str">
        <f t="shared" si="42"/>
        <v>Energy throughput (GWh)</v>
      </c>
      <c r="D78" s="30" t="s">
        <v>101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>
        <f t="shared" si="45"/>
        <v>-7.2978744932576944E-3</v>
      </c>
      <c r="P78" s="117">
        <f t="shared" si="45"/>
        <v>8.5676241846162071E-3</v>
      </c>
      <c r="Q78" s="117">
        <f t="shared" si="45"/>
        <v>1.4891136432693131E-2</v>
      </c>
      <c r="R78" s="117">
        <f t="shared" si="45"/>
        <v>1.4486275383038816E-2</v>
      </c>
      <c r="S78" s="117">
        <f t="shared" si="45"/>
        <v>1.6531390491744347E-2</v>
      </c>
      <c r="T78" s="117">
        <f t="shared" si="45"/>
        <v>5.7915413114137948E-3</v>
      </c>
    </row>
    <row r="79" spans="3:23" outlineLevel="1">
      <c r="C79" s="148">
        <f t="shared" si="42"/>
        <v>0</v>
      </c>
      <c r="D79" s="30" t="s">
        <v>101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101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182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21" t="s">
        <v>185</v>
      </c>
      <c r="K82" s="221" t="s">
        <v>184</v>
      </c>
      <c r="L82" s="221" t="s">
        <v>183</v>
      </c>
      <c r="M82" s="221" t="s">
        <v>186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104</v>
      </c>
      <c r="E84" s="30" t="s">
        <v>18</v>
      </c>
      <c r="F84" s="30" t="s">
        <v>36</v>
      </c>
      <c r="G84" s="32"/>
      <c r="H84" s="32"/>
      <c r="J84" s="60">
        <v>0.70799999999999996</v>
      </c>
      <c r="K84" s="60">
        <v>0.67559523809523814</v>
      </c>
      <c r="L84" s="60">
        <v>0.51478083588175327</v>
      </c>
      <c r="M84" s="60">
        <v>0.31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8">C65</f>
        <v>Circuit Length (km)</v>
      </c>
      <c r="D85" s="30" t="s">
        <v>104</v>
      </c>
      <c r="E85" s="30" t="s">
        <v>18</v>
      </c>
      <c r="F85" s="30" t="s">
        <v>36</v>
      </c>
      <c r="G85" s="32"/>
      <c r="H85" s="32"/>
      <c r="J85" s="60">
        <v>0.16800000000000001</v>
      </c>
      <c r="K85" s="60">
        <v>0.11805555555555555</v>
      </c>
      <c r="L85" s="60">
        <v>0.13863404689092762</v>
      </c>
      <c r="M85" s="60">
        <v>0.28999999999999998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8"/>
        <v>Ratcheted Maximum Demand (MW)</v>
      </c>
      <c r="D86" s="30" t="s">
        <v>104</v>
      </c>
      <c r="E86" s="30" t="s">
        <v>18</v>
      </c>
      <c r="F86" s="30" t="s">
        <v>36</v>
      </c>
      <c r="G86" s="32"/>
      <c r="H86" s="32"/>
      <c r="J86" s="60">
        <v>0.124</v>
      </c>
      <c r="K86" s="60">
        <v>0.20634920634920634</v>
      </c>
      <c r="L86" s="60">
        <v>0.34658511722731905</v>
      </c>
      <c r="M86" s="60">
        <v>0.28000000000000003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8"/>
        <v>Energy throughput (GWh)</v>
      </c>
      <c r="D87" s="30" t="s">
        <v>104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8"/>
        <v>0</v>
      </c>
      <c r="D88" s="30" t="s">
        <v>104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8"/>
        <v>0</v>
      </c>
      <c r="D89" s="30" t="s">
        <v>104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39</v>
      </c>
      <c r="D91" s="30" t="s">
        <v>101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181</v>
      </c>
      <c r="D93" s="32" t="s">
        <v>7</v>
      </c>
      <c r="E93" s="32" t="s">
        <v>8</v>
      </c>
      <c r="F93" s="32" t="s">
        <v>22</v>
      </c>
      <c r="J93" s="163" t="str">
        <f t="shared" ref="J93:T93" si="49">IF(YEAR(J$4)&gt;BaseYear,IF(YEAR(J$4)&lt;=FPLastYear,J$4,""),"")</f>
        <v/>
      </c>
      <c r="K93" s="163" t="str">
        <f t="shared" si="49"/>
        <v/>
      </c>
      <c r="L93" s="163" t="str">
        <f t="shared" si="49"/>
        <v/>
      </c>
      <c r="M93" s="163" t="str">
        <f t="shared" si="49"/>
        <v/>
      </c>
      <c r="N93" s="163" t="str">
        <f t="shared" si="49"/>
        <v/>
      </c>
      <c r="O93" s="163">
        <f t="shared" si="49"/>
        <v>43617</v>
      </c>
      <c r="P93" s="163">
        <f t="shared" si="49"/>
        <v>43983</v>
      </c>
      <c r="Q93" s="163">
        <f t="shared" si="49"/>
        <v>44348</v>
      </c>
      <c r="R93" s="163">
        <f t="shared" si="49"/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101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>
        <f t="shared" si="50"/>
        <v>9.2369394798867931E-3</v>
      </c>
      <c r="P95" s="117">
        <f t="shared" si="50"/>
        <v>8.1553444919368872E-3</v>
      </c>
      <c r="Q95" s="117">
        <f t="shared" si="50"/>
        <v>6.9228853980183441E-3</v>
      </c>
      <c r="R95" s="117">
        <f t="shared" si="50"/>
        <v>7.1987276596080594E-3</v>
      </c>
      <c r="S95" s="117">
        <f t="shared" si="50"/>
        <v>7.6297321108394689E-3</v>
      </c>
      <c r="T95" s="117">
        <f>IF(T$93=T$4,SUMPRODUCT(T$75:T$80,$J$84:$J$89),"")</f>
        <v>7.4560641473691326E-3</v>
      </c>
      <c r="U95" s="24"/>
      <c r="W95" s="132"/>
    </row>
    <row r="96" spans="3:23" outlineLevel="1">
      <c r="C96" s="148" t="str">
        <v>LSE CD</v>
      </c>
      <c r="D96" s="30" t="s">
        <v>101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>
        <f t="shared" si="51"/>
        <v>8.6773888610254171E-3</v>
      </c>
      <c r="P96" s="117">
        <f t="shared" si="51"/>
        <v>7.6031423598582129E-3</v>
      </c>
      <c r="Q96" s="117">
        <f t="shared" si="51"/>
        <v>6.4225611206152038E-3</v>
      </c>
      <c r="R96" s="117">
        <f t="shared" si="51"/>
        <v>6.6299974633055271E-3</v>
      </c>
      <c r="S96" s="117">
        <f t="shared" si="51"/>
        <v>7.0338779500203185E-3</v>
      </c>
      <c r="T96" s="117">
        <f>IF(T$93=T$4,SUMPRODUCT(T$75:T$80,$K$84:$K$89),"")</f>
        <v>6.8962795195741684E-3</v>
      </c>
      <c r="U96" s="24"/>
      <c r="W96" s="132"/>
    </row>
    <row r="97" spans="1:50" outlineLevel="1">
      <c r="C97" s="148" t="str">
        <v>LSE TLG</v>
      </c>
      <c r="D97" s="30" t="s">
        <v>101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>
        <f t="shared" si="52"/>
        <v>6.7694556827409894E-3</v>
      </c>
      <c r="P97" s="117">
        <f t="shared" si="52"/>
        <v>5.9994808611508786E-3</v>
      </c>
      <c r="Q97" s="117">
        <f t="shared" si="52"/>
        <v>5.1051377040031085E-3</v>
      </c>
      <c r="R97" s="117">
        <f t="shared" si="52"/>
        <v>5.3274589386468878E-3</v>
      </c>
      <c r="S97" s="117">
        <f t="shared" si="52"/>
        <v>5.6437240764133575E-3</v>
      </c>
      <c r="T97" s="117">
        <f>IF(T$93=T$4,SUMPRODUCT(T$75:T$80,$L$84:$L$89),"")</f>
        <v>5.5064823411966847E-3</v>
      </c>
      <c r="U97" s="24"/>
      <c r="W97" s="132"/>
    </row>
    <row r="98" spans="1:50" outlineLevel="1">
      <c r="C98" s="148" t="str">
        <v>MPFP</v>
      </c>
      <c r="D98" s="30" t="s">
        <v>101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>
        <f t="shared" si="53"/>
        <v>3.8693017133417662E-3</v>
      </c>
      <c r="P98" s="117">
        <f t="shared" si="53"/>
        <v>5.5155119673679738E-3</v>
      </c>
      <c r="Q98" s="117">
        <f t="shared" si="53"/>
        <v>5.7579067482889986E-3</v>
      </c>
      <c r="R98" s="117">
        <f t="shared" si="53"/>
        <v>6.1158236775437835E-3</v>
      </c>
      <c r="S98" s="117">
        <f t="shared" si="53"/>
        <v>6.5878439343248904E-3</v>
      </c>
      <c r="T98" s="117">
        <f>IF(T$93=T$4,SUMPRODUCT(T$75:T$80,$M$84:$M$89),"")</f>
        <v>5.0789795687007627E-3</v>
      </c>
      <c r="U98" s="24"/>
      <c r="W98" s="132"/>
    </row>
    <row r="99" spans="1:50" outlineLevel="1"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24"/>
      <c r="W99" s="132"/>
    </row>
    <row r="100" spans="1:50" s="103" customFormat="1" ht="13.2">
      <c r="A100" s="94"/>
      <c r="B100" s="95" t="s">
        <v>80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46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IF(YEAR(J$4)&gt;BaseYear,IF(YEAR(J$4)&lt;=FPLastYear,J$4,""),"")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>
        <f t="shared" si="54"/>
        <v>43617</v>
      </c>
      <c r="P102" s="163">
        <f t="shared" si="54"/>
        <v>43983</v>
      </c>
      <c r="Q102" s="163">
        <f t="shared" si="54"/>
        <v>44348</v>
      </c>
      <c r="R102" s="163">
        <f t="shared" si="54"/>
        <v>44713</v>
      </c>
      <c r="S102" s="163">
        <f t="shared" si="54"/>
        <v>45078</v>
      </c>
      <c r="T102" s="163">
        <f t="shared" si="54"/>
        <v>45444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46</v>
      </c>
      <c r="D104" s="30" t="s">
        <v>104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193"/>
      <c r="N104" s="193"/>
      <c r="O104" s="168">
        <v>0</v>
      </c>
      <c r="P104" s="168">
        <v>0</v>
      </c>
      <c r="Q104" s="168">
        <v>0.01</v>
      </c>
      <c r="R104" s="168">
        <v>0.01</v>
      </c>
      <c r="S104" s="168">
        <v>0.01</v>
      </c>
      <c r="T104" s="168">
        <v>0.01</v>
      </c>
    </row>
    <row r="105" spans="1:50" outlineLevel="1">
      <c r="C105" s="111"/>
      <c r="G105" s="32"/>
      <c r="H105" s="32"/>
      <c r="J105" s="167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outlineLevel="1">
      <c r="C106" s="29" t="s">
        <v>39</v>
      </c>
      <c r="D106" s="30" t="s">
        <v>101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>Ok</v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3.2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mergeCells count="2">
    <mergeCell ref="K3:M3"/>
    <mergeCell ref="O3:T3"/>
  </mergeCells>
  <conditionalFormatting sqref="W1 W91:W99">
    <cfRule type="cellIs" dxfId="157" priority="119" operator="equal">
      <formula>"Check"</formula>
    </cfRule>
    <cfRule type="cellIs" dxfId="156" priority="120" operator="equal">
      <formula>"Ok"</formula>
    </cfRule>
  </conditionalFormatting>
  <conditionalFormatting sqref="T1">
    <cfRule type="cellIs" dxfId="155" priority="83" operator="equal">
      <formula>"Check"</formula>
    </cfRule>
    <cfRule type="cellIs" dxfId="154" priority="84" operator="equal">
      <formula>"Ok"</formula>
    </cfRule>
  </conditionalFormatting>
  <conditionalFormatting sqref="W58">
    <cfRule type="cellIs" dxfId="153" priority="71" operator="equal">
      <formula>"Check"</formula>
    </cfRule>
    <cfRule type="cellIs" dxfId="152" priority="72" operator="equal">
      <formula>"Ok"</formula>
    </cfRule>
  </conditionalFormatting>
  <conditionalFormatting sqref="J58:T58 J99:T99">
    <cfRule type="cellIs" dxfId="151" priority="63" operator="equal">
      <formula>"Check"</formula>
    </cfRule>
    <cfRule type="cellIs" dxfId="150" priority="64" operator="equal">
      <formula>"Ok"</formula>
    </cfRule>
  </conditionalFormatting>
  <conditionalFormatting sqref="J34:T34">
    <cfRule type="expression" dxfId="149" priority="54">
      <formula>J$34=J$4</formula>
    </cfRule>
  </conditionalFormatting>
  <conditionalFormatting sqref="J43:N43 J39:O42 J36:N38">
    <cfRule type="expression" dxfId="148" priority="52">
      <formula>J$34=J$4</formula>
    </cfRule>
  </conditionalFormatting>
  <conditionalFormatting sqref="J49:N56 P52:T55">
    <cfRule type="expression" dxfId="147" priority="51">
      <formula>J$47=J$4</formula>
    </cfRule>
  </conditionalFormatting>
  <conditionalFormatting sqref="W106">
    <cfRule type="cellIs" dxfId="146" priority="45" operator="equal">
      <formula>"Check"</formula>
    </cfRule>
    <cfRule type="cellIs" dxfId="145" priority="46" operator="equal">
      <formula>"Ok"</formula>
    </cfRule>
  </conditionalFormatting>
  <conditionalFormatting sqref="J106:T106">
    <cfRule type="cellIs" dxfId="144" priority="43" operator="equal">
      <formula>"Check"</formula>
    </cfRule>
    <cfRule type="cellIs" dxfId="143" priority="44" operator="equal">
      <formula>"Ok"</formula>
    </cfRule>
  </conditionalFormatting>
  <conditionalFormatting sqref="W45">
    <cfRule type="cellIs" dxfId="142" priority="41" operator="equal">
      <formula>"Check"</formula>
    </cfRule>
    <cfRule type="cellIs" dxfId="141" priority="42" operator="equal">
      <formula>"Ok"</formula>
    </cfRule>
  </conditionalFormatting>
  <conditionalFormatting sqref="J45:T45">
    <cfRule type="cellIs" dxfId="140" priority="39" operator="equal">
      <formula>"Check"</formula>
    </cfRule>
    <cfRule type="cellIs" dxfId="139" priority="40" operator="equal">
      <formula>"Ok"</formula>
    </cfRule>
  </conditionalFormatting>
  <conditionalFormatting sqref="W71">
    <cfRule type="cellIs" dxfId="138" priority="37" operator="equal">
      <formula>"Check"</formula>
    </cfRule>
    <cfRule type="cellIs" dxfId="137" priority="38" operator="equal">
      <formula>"Ok"</formula>
    </cfRule>
  </conditionalFormatting>
  <conditionalFormatting sqref="J71:T71">
    <cfRule type="cellIs" dxfId="136" priority="35" operator="equal">
      <formula>"Check"</formula>
    </cfRule>
    <cfRule type="cellIs" dxfId="135" priority="36" operator="equal">
      <formula>"Ok"</formula>
    </cfRule>
  </conditionalFormatting>
  <conditionalFormatting sqref="K84:M89">
    <cfRule type="expression" dxfId="134" priority="32">
      <formula>K$82=K$4</formula>
    </cfRule>
  </conditionalFormatting>
  <conditionalFormatting sqref="J91:T92 J94:T94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J62:T62">
    <cfRule type="expression" dxfId="131" priority="29">
      <formula>J$62=J$4</formula>
    </cfRule>
  </conditionalFormatting>
  <conditionalFormatting sqref="J64:M66 J67:T69">
    <cfRule type="expression" dxfId="130" priority="27">
      <formula>J$62=J$4</formula>
    </cfRule>
  </conditionalFormatting>
  <conditionalFormatting sqref="J47:T47">
    <cfRule type="expression" dxfId="129" priority="24">
      <formula>J$34=J$4</formula>
    </cfRule>
  </conditionalFormatting>
  <conditionalFormatting sqref="J73:M73 O73:T73">
    <cfRule type="expression" dxfId="128" priority="23">
      <formula>J$34=J$4</formula>
    </cfRule>
  </conditionalFormatting>
  <conditionalFormatting sqref="J102:T102">
    <cfRule type="expression" dxfId="127" priority="22">
      <formula>J$34=J$4</formula>
    </cfRule>
  </conditionalFormatting>
  <conditionalFormatting sqref="J25:T30">
    <cfRule type="cellIs" dxfId="126" priority="20" operator="equal">
      <formula>0</formula>
    </cfRule>
  </conditionalFormatting>
  <conditionalFormatting sqref="J16:T21">
    <cfRule type="cellIs" dxfId="125" priority="19" operator="equal">
      <formula>0</formula>
    </cfRule>
  </conditionalFormatting>
  <conditionalFormatting sqref="O43 P39:T43">
    <cfRule type="expression" dxfId="124" priority="16">
      <formula>O$34=O$4</formula>
    </cfRule>
  </conditionalFormatting>
  <conditionalFormatting sqref="N73">
    <cfRule type="expression" dxfId="123" priority="9">
      <formula>N$62=N$4</formula>
    </cfRule>
  </conditionalFormatting>
  <conditionalFormatting sqref="O52:O55">
    <cfRule type="expression" dxfId="122" priority="8">
      <formula>O$47=O$4</formula>
    </cfRule>
  </conditionalFormatting>
  <conditionalFormatting sqref="J93:T93">
    <cfRule type="expression" dxfId="121" priority="5">
      <formula>J$93=J$4</formula>
    </cfRule>
  </conditionalFormatting>
  <conditionalFormatting sqref="J104:T104">
    <cfRule type="expression" dxfId="120" priority="186">
      <formula>J$102=J$4</formula>
    </cfRule>
  </conditionalFormatting>
  <conditionalFormatting sqref="O38:T38">
    <cfRule type="expression" dxfId="119" priority="4">
      <formula>O$34=O$4</formula>
    </cfRule>
  </conditionalFormatting>
  <conditionalFormatting sqref="O36">
    <cfRule type="expression" dxfId="118" priority="3">
      <formula>O$34=O$4</formula>
    </cfRule>
  </conditionalFormatting>
  <conditionalFormatting sqref="P36:T36">
    <cfRule type="expression" dxfId="117" priority="2">
      <formula>P$34=P$4</formula>
    </cfRule>
  </conditionalFormatting>
  <conditionalFormatting sqref="N65:T65">
    <cfRule type="expression" dxfId="116" priority="1">
      <formula>N$62=N$4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topLeftCell="A19" workbookViewId="0">
      <selection activeCell="O38" sqref="O38"/>
    </sheetView>
  </sheetViews>
  <sheetFormatPr defaultColWidth="0" defaultRowHeight="10.199999999999999" zeroHeight="1" outlineLevelRow="1"/>
  <cols>
    <col min="1" max="2" width="1.42578125" style="29" customWidth="1"/>
    <col min="3" max="3" width="48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23" width="10.85546875" style="29" customWidth="1"/>
    <col min="24" max="47" width="10.42578125" style="29" hidden="1" customWidth="1"/>
    <col min="48" max="16384" width="0" style="29" hidden="1"/>
  </cols>
  <sheetData>
    <row r="1" spans="1:47" s="69" customFormat="1" ht="15.6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IF(COUNTA($W$8:$W$236)=COUNTIF($W$8:$W$236,"OK"),"OK","Check")</f>
        <v>OK</v>
      </c>
      <c r="U1" s="186" t="s">
        <v>24</v>
      </c>
      <c r="V1" s="76" t="str">
        <f>'Check|List'!$S$1</f>
        <v>Ok</v>
      </c>
    </row>
    <row r="2" spans="1:47" s="77" customFormat="1" ht="13.8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120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.2">
      <c r="A8" s="94"/>
      <c r="B8" s="95" t="s">
        <v>48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212" t="s">
        <v>193</v>
      </c>
      <c r="D12" s="30" t="s">
        <v>34</v>
      </c>
      <c r="E12" s="150" t="s">
        <v>15</v>
      </c>
      <c r="F12" s="170">
        <v>43617</v>
      </c>
      <c r="G12" s="32"/>
      <c r="H12" s="32"/>
      <c r="J12" s="152"/>
      <c r="K12" s="152"/>
      <c r="L12" s="152"/>
      <c r="M12" s="152"/>
      <c r="N12" s="152"/>
      <c r="O12" s="169">
        <v>1.3411185142118862</v>
      </c>
      <c r="P12" s="169">
        <v>1.7726741984126984</v>
      </c>
      <c r="Q12" s="169">
        <v>2.3688524353925517</v>
      </c>
      <c r="R12" s="169">
        <v>2.1895219687491783</v>
      </c>
      <c r="S12" s="169">
        <v>2.5362784965215726</v>
      </c>
    </row>
    <row r="13" spans="1:47" outlineLevel="1">
      <c r="C13" s="61"/>
      <c r="D13" s="30" t="s">
        <v>71</v>
      </c>
      <c r="E13" s="150" t="s">
        <v>15</v>
      </c>
      <c r="F13" s="170">
        <v>43617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</row>
    <row r="14" spans="1:47" outlineLevel="1">
      <c r="C14" s="212"/>
      <c r="D14" s="30" t="s">
        <v>71</v>
      </c>
      <c r="E14" s="150" t="s">
        <v>15</v>
      </c>
      <c r="F14" s="170">
        <v>43617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</row>
    <row r="15" spans="1:47" outlineLevel="1">
      <c r="C15" s="212"/>
      <c r="D15" s="30" t="s">
        <v>71</v>
      </c>
      <c r="E15" s="150" t="s">
        <v>15</v>
      </c>
      <c r="F15" s="170">
        <v>43617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</row>
    <row r="16" spans="1:47" outlineLevel="1">
      <c r="C16" s="212"/>
      <c r="D16" s="30" t="s">
        <v>71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71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71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71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71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39</v>
      </c>
      <c r="D22" s="30" t="s">
        <v>101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.2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112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71</v>
      </c>
      <c r="E28" s="150" t="s">
        <v>15</v>
      </c>
      <c r="F28" s="170">
        <v>42522</v>
      </c>
      <c r="G28" s="32"/>
      <c r="H28" s="32"/>
      <c r="J28" s="152"/>
      <c r="K28" s="152"/>
      <c r="L28" s="152"/>
      <c r="M28" s="152"/>
      <c r="N28" s="169"/>
      <c r="O28" s="169"/>
      <c r="P28" s="169"/>
      <c r="Q28" s="169"/>
      <c r="R28" s="169"/>
      <c r="S28" s="169"/>
    </row>
    <row r="29" spans="1:47" outlineLevel="1">
      <c r="C29" s="61"/>
      <c r="D29" s="30" t="s">
        <v>71</v>
      </c>
      <c r="E29" s="150" t="s">
        <v>15</v>
      </c>
      <c r="F29" s="170">
        <v>42522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</row>
    <row r="30" spans="1:47" outlineLevel="1">
      <c r="C30" s="61"/>
      <c r="D30" s="30" t="s">
        <v>71</v>
      </c>
      <c r="E30" s="150" t="s">
        <v>15</v>
      </c>
      <c r="F30" s="170">
        <v>42522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39</v>
      </c>
      <c r="D32" s="30" t="s">
        <v>101</v>
      </c>
      <c r="E32" s="30" t="s">
        <v>28</v>
      </c>
      <c r="F32" s="30" t="s">
        <v>36</v>
      </c>
      <c r="J32" s="132" t="str">
        <f t="shared" ref="J32:S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 t="shared" si="3"/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.2">
      <c r="A34" s="94"/>
      <c r="B34" s="95" t="s">
        <v>43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177</v>
      </c>
      <c r="D38" s="30" t="s">
        <v>74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223">
        <v>6.8186781395619702</v>
      </c>
      <c r="P38" s="223">
        <v>6.8955674581362087</v>
      </c>
      <c r="Q38" s="223">
        <v>6.9231330099269801</v>
      </c>
      <c r="R38" s="223">
        <v>6.9123373733544762</v>
      </c>
      <c r="S38" s="223">
        <v>6.8852628759734609</v>
      </c>
    </row>
    <row r="39" spans="1:47" outlineLevel="1">
      <c r="C39" s="111" t="s">
        <v>178</v>
      </c>
      <c r="D39" s="30" t="s">
        <v>74</v>
      </c>
      <c r="E39" s="30" t="s">
        <v>15</v>
      </c>
      <c r="F39" s="209">
        <f>DATE(PPLastYear,MONTH('Input|General'!$G$9),1)</f>
        <v>43617</v>
      </c>
      <c r="G39" s="32"/>
      <c r="H39" s="32"/>
      <c r="J39" s="169"/>
      <c r="K39" s="169"/>
      <c r="L39" s="169"/>
      <c r="M39" s="169"/>
      <c r="N39" s="169"/>
      <c r="O39" s="223">
        <v>0.94245138237035542</v>
      </c>
      <c r="P39" s="223">
        <v>0.94892575732537976</v>
      </c>
      <c r="Q39" s="223">
        <v>0.95203741072834069</v>
      </c>
      <c r="R39" s="223">
        <v>0.94382972952483435</v>
      </c>
      <c r="S39" s="223">
        <v>0.94459396899556236</v>
      </c>
    </row>
    <row r="40" spans="1:47" outlineLevel="1">
      <c r="G40" s="32"/>
      <c r="H40" s="32"/>
    </row>
    <row r="41" spans="1:47" outlineLevel="1">
      <c r="C41" s="29" t="s">
        <v>39</v>
      </c>
      <c r="D41" s="30" t="s">
        <v>101</v>
      </c>
      <c r="E41" s="30" t="s">
        <v>28</v>
      </c>
      <c r="F41" s="30" t="s">
        <v>36</v>
      </c>
      <c r="J41" s="132" t="str">
        <f t="shared" ref="J41:S41" si="5">IF(J36=J4,IF(ISBLANK(J38),"Check","Ok"),"")</f>
        <v/>
      </c>
      <c r="K41" s="132" t="str">
        <f t="shared" si="5"/>
        <v/>
      </c>
      <c r="L41" s="132" t="str">
        <f t="shared" si="5"/>
        <v/>
      </c>
      <c r="M41" s="132" t="str">
        <f t="shared" si="5"/>
        <v/>
      </c>
      <c r="N41" s="132" t="str">
        <f t="shared" si="5"/>
        <v/>
      </c>
      <c r="O41" s="132" t="str">
        <f t="shared" si="5"/>
        <v>Ok</v>
      </c>
      <c r="P41" s="132" t="str">
        <f t="shared" si="5"/>
        <v>Ok</v>
      </c>
      <c r="Q41" s="132" t="str">
        <f t="shared" si="5"/>
        <v>Ok</v>
      </c>
      <c r="R41" s="132" t="str">
        <f t="shared" si="5"/>
        <v>Ok</v>
      </c>
      <c r="S41" s="132" t="str">
        <f t="shared" si="5"/>
        <v>Ok</v>
      </c>
      <c r="T41" s="132"/>
      <c r="U41" s="24"/>
      <c r="W41" s="131" t="str">
        <f>IF(COUNTIF(J41:T41,"Check")=0,"Ok","Check")</f>
        <v>Ok</v>
      </c>
    </row>
    <row r="42" spans="1:47">
      <c r="G42" s="32"/>
      <c r="H42" s="32"/>
    </row>
    <row r="43" spans="1:47" s="103" customFormat="1" ht="13.2">
      <c r="A43" s="94"/>
      <c r="B43" s="95" t="s">
        <v>21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</sheetData>
  <mergeCells count="1">
    <mergeCell ref="N3:S3"/>
  </mergeCells>
  <conditionalFormatting sqref="S1">
    <cfRule type="cellIs" dxfId="115" priority="32" operator="equal">
      <formula>"Check"</formula>
    </cfRule>
    <cfRule type="cellIs" dxfId="114" priority="33" operator="equal">
      <formula>"Ok"</formula>
    </cfRule>
  </conditionalFormatting>
  <conditionalFormatting sqref="V1">
    <cfRule type="cellIs" dxfId="113" priority="34" operator="equal">
      <formula>"Check"</formula>
    </cfRule>
    <cfRule type="cellIs" dxfId="112" priority="35" operator="equal">
      <formula>"Ok"</formula>
    </cfRule>
  </conditionalFormatting>
  <conditionalFormatting sqref="J10:S10">
    <cfRule type="expression" dxfId="111" priority="30">
      <formula>J$10=J$4</formula>
    </cfRule>
  </conditionalFormatting>
  <conditionalFormatting sqref="J12:N20">
    <cfRule type="expression" dxfId="110" priority="29">
      <formula>J$10=J$4</formula>
    </cfRule>
  </conditionalFormatting>
  <conditionalFormatting sqref="W22">
    <cfRule type="cellIs" dxfId="109" priority="25" operator="equal">
      <formula>"Check"</formula>
    </cfRule>
    <cfRule type="cellIs" dxfId="108" priority="26" operator="equal">
      <formula>"Ok"</formula>
    </cfRule>
  </conditionalFormatting>
  <conditionalFormatting sqref="J22:T22">
    <cfRule type="cellIs" dxfId="107" priority="23" operator="equal">
      <formula>"Check"</formula>
    </cfRule>
    <cfRule type="cellIs" dxfId="106" priority="24" operator="equal">
      <formula>"Ok"</formula>
    </cfRule>
  </conditionalFormatting>
  <conditionalFormatting sqref="W32">
    <cfRule type="cellIs" dxfId="105" priority="21" operator="equal">
      <formula>"Check"</formula>
    </cfRule>
    <cfRule type="cellIs" dxfId="104" priority="22" operator="equal">
      <formula>"Ok"</formula>
    </cfRule>
  </conditionalFormatting>
  <conditionalFormatting sqref="J32:T32">
    <cfRule type="cellIs" dxfId="103" priority="19" operator="equal">
      <formula>"Check"</formula>
    </cfRule>
    <cfRule type="cellIs" dxfId="102" priority="20" operator="equal">
      <formula>"Ok"</formula>
    </cfRule>
  </conditionalFormatting>
  <conditionalFormatting sqref="J28:M30 O29:S30">
    <cfRule type="expression" dxfId="101" priority="18">
      <formula>J$26=J$4</formula>
    </cfRule>
  </conditionalFormatting>
  <conditionalFormatting sqref="W41">
    <cfRule type="cellIs" dxfId="100" priority="16" operator="equal">
      <formula>"Check"</formula>
    </cfRule>
    <cfRule type="cellIs" dxfId="99" priority="17" operator="equal">
      <formula>"Ok"</formula>
    </cfRule>
  </conditionalFormatting>
  <conditionalFormatting sqref="J41:T41">
    <cfRule type="cellIs" dxfId="98" priority="14" operator="equal">
      <formula>"Check"</formula>
    </cfRule>
    <cfRule type="cellIs" dxfId="97" priority="15" operator="equal">
      <formula>"Ok"</formula>
    </cfRule>
  </conditionalFormatting>
  <conditionalFormatting sqref="O28:S28">
    <cfRule type="expression" dxfId="96" priority="13">
      <formula>O$10=O$4</formula>
    </cfRule>
  </conditionalFormatting>
  <conditionalFormatting sqref="N28:N30">
    <cfRule type="expression" dxfId="95" priority="12">
      <formula>N$10=N$4</formula>
    </cfRule>
  </conditionalFormatting>
  <conditionalFormatting sqref="J38:N39">
    <cfRule type="expression" dxfId="94" priority="9">
      <formula>J$36=J$4</formula>
    </cfRule>
  </conditionalFormatting>
  <conditionalFormatting sqref="J26:S26">
    <cfRule type="expression" dxfId="93" priority="8">
      <formula>J$10=J$4</formula>
    </cfRule>
  </conditionalFormatting>
  <conditionalFormatting sqref="J36:S36">
    <cfRule type="expression" dxfId="92" priority="7">
      <formula>J$10=J$4</formula>
    </cfRule>
  </conditionalFormatting>
  <conditionalFormatting sqref="O14:S16">
    <cfRule type="expression" dxfId="91" priority="4">
      <formula>O$10=O$4</formula>
    </cfRule>
  </conditionalFormatting>
  <conditionalFormatting sqref="O13:S13">
    <cfRule type="expression" dxfId="90" priority="3">
      <formula>O$10=O$4</formula>
    </cfRule>
  </conditionalFormatting>
  <conditionalFormatting sqref="O17:S20">
    <cfRule type="expression" dxfId="89" priority="2">
      <formula>O$10=O$4</formula>
    </cfRule>
  </conditionalFormatting>
  <conditionalFormatting sqref="O12:S12">
    <cfRule type="expression" dxfId="88" priority="1">
      <formula>O$10=O$4</formula>
    </cfRule>
  </conditionalFormatting>
  <dataValidations count="2">
    <dataValidation type="list" allowBlank="1" showInputMessage="1" showErrorMessage="1" sqref="F23 F31 F33 F42">
      <formula1>"Real 2010,Real 2011,Real 2012,Real 2013,Real 2014,Real 2015,Nominal"</formula1>
    </dataValidation>
    <dataValidation type="list" allowBlank="1" showInputMessage="1" showErrorMessage="1" sqref="U28:U31 I38:I39 U23 I23 U12:U21 I28:I31 U33 I33 U42 I42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E12:E21 E28:E30 E38:E39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F38:F39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AU43"/>
  <sheetViews>
    <sheetView workbookViewId="0">
      <selection activeCell="N13" sqref="N13"/>
    </sheetView>
  </sheetViews>
  <sheetFormatPr defaultColWidth="0" defaultRowHeight="11.25" customHeight="1" zeroHeight="1" outlineLevelRow="1"/>
  <cols>
    <col min="1" max="2" width="1.42578125" style="29" customWidth="1"/>
    <col min="3" max="3" width="48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23" width="10.85546875" style="29" customWidth="1"/>
    <col min="24" max="47" width="10.42578125" style="29" hidden="1" customWidth="1"/>
    <col min="48" max="16384" width="0" style="29" hidden="1"/>
  </cols>
  <sheetData>
    <row r="1" spans="1:47" s="69" customFormat="1" ht="15.6">
      <c r="B1" s="70" t="s">
        <v>97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Ok</v>
      </c>
    </row>
    <row r="2" spans="1:47" s="77" customFormat="1" ht="13.8" thickBot="1">
      <c r="B2" s="78" t="s">
        <v>62</v>
      </c>
      <c r="C2" s="78"/>
      <c r="D2" s="78"/>
      <c r="E2" s="78"/>
      <c r="F2" s="79"/>
      <c r="G2" s="79"/>
      <c r="H2" s="79"/>
      <c r="I2" s="79"/>
    </row>
    <row r="3" spans="1:47" s="80" customFormat="1" ht="10.199999999999999">
      <c r="C3" s="81"/>
      <c r="D3" s="216"/>
      <c r="E3" s="216"/>
      <c r="F3" s="216"/>
      <c r="G3" s="216"/>
      <c r="H3" s="216"/>
      <c r="I3" s="216"/>
      <c r="J3" s="158" t="s">
        <v>120</v>
      </c>
      <c r="K3" s="171"/>
      <c r="L3" s="171"/>
      <c r="M3" s="216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93" customFormat="1" ht="10.199999999999999">
      <c r="A4" s="83"/>
      <c r="B4" s="83"/>
      <c r="C4" s="83"/>
      <c r="D4" s="83" t="s">
        <v>7</v>
      </c>
      <c r="E4" s="83" t="s">
        <v>8</v>
      </c>
      <c r="F4" s="86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  <c r="X4" s="89"/>
      <c r="Y4" s="89"/>
      <c r="Z4" s="89"/>
      <c r="AA4" s="89"/>
      <c r="AB4" s="90"/>
      <c r="AC4" s="91"/>
      <c r="AD4" s="9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.2">
      <c r="A8" s="94"/>
      <c r="B8" s="95" t="s">
        <v>175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ht="10.199999999999999" outlineLevel="1">
      <c r="G9" s="32"/>
      <c r="H9" s="32"/>
    </row>
    <row r="10" spans="1:47" ht="10.199999999999999" outlineLevel="1">
      <c r="C10" s="67" t="s">
        <v>176</v>
      </c>
      <c r="D10" s="32" t="s">
        <v>7</v>
      </c>
      <c r="E10" s="32" t="s">
        <v>8</v>
      </c>
      <c r="F10" s="32"/>
      <c r="G10" s="32"/>
      <c r="H10" s="32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ht="10.199999999999999" outlineLevel="1">
      <c r="G11" s="32"/>
      <c r="H11" s="32"/>
    </row>
    <row r="12" spans="1:47" ht="10.199999999999999" outlineLevel="1">
      <c r="C12" s="111" t="s">
        <v>177</v>
      </c>
      <c r="D12" s="30" t="s">
        <v>71</v>
      </c>
      <c r="E12" s="30" t="s">
        <v>31</v>
      </c>
      <c r="F12" s="32"/>
      <c r="G12" s="32"/>
      <c r="H12" s="32"/>
      <c r="O12" s="60">
        <v>0.92302757544235181</v>
      </c>
      <c r="P12" s="60">
        <v>0.92302757544235181</v>
      </c>
      <c r="Q12" s="60">
        <v>0.92302757544235181</v>
      </c>
      <c r="R12" s="60">
        <v>0.92302757544235181</v>
      </c>
      <c r="S12" s="60">
        <v>0.92302757544235181</v>
      </c>
    </row>
    <row r="13" spans="1:47" ht="10.199999999999999" outlineLevel="1">
      <c r="C13" s="111" t="s">
        <v>178</v>
      </c>
      <c r="D13" s="30" t="s">
        <v>71</v>
      </c>
      <c r="E13" s="30" t="s">
        <v>31</v>
      </c>
      <c r="F13" s="32"/>
      <c r="G13" s="32"/>
      <c r="H13" s="32"/>
      <c r="O13" s="60">
        <v>7.6972424557648383E-2</v>
      </c>
      <c r="P13" s="60">
        <v>7.6972424557648383E-2</v>
      </c>
      <c r="Q13" s="60">
        <v>7.6972424557648383E-2</v>
      </c>
      <c r="R13" s="60">
        <v>7.6972424557648383E-2</v>
      </c>
      <c r="S13" s="60">
        <v>7.6972424557648383E-2</v>
      </c>
    </row>
    <row r="14" spans="1:47" ht="10.199999999999999" outlineLevel="1">
      <c r="G14" s="32"/>
      <c r="H14" s="32"/>
    </row>
    <row r="15" spans="1:47" ht="10.199999999999999" outlineLevel="1">
      <c r="C15" s="29" t="s">
        <v>39</v>
      </c>
      <c r="D15" s="30" t="s">
        <v>101</v>
      </c>
      <c r="E15" s="30" t="s">
        <v>28</v>
      </c>
      <c r="F15" s="30" t="s">
        <v>36</v>
      </c>
      <c r="J15" s="30"/>
      <c r="N15" s="217"/>
      <c r="O15" s="131" t="str">
        <f>IF(SUM(O12:O13)=1,"Ok","Check")</f>
        <v>Ok</v>
      </c>
      <c r="P15" s="131" t="str">
        <f t="shared" ref="P15:S15" si="1">IF(SUM(P12:P13)=1,"Ok","Check")</f>
        <v>Ok</v>
      </c>
      <c r="Q15" s="131" t="str">
        <f t="shared" si="1"/>
        <v>Ok</v>
      </c>
      <c r="R15" s="131" t="str">
        <f t="shared" si="1"/>
        <v>Ok</v>
      </c>
      <c r="S15" s="131" t="str">
        <f t="shared" si="1"/>
        <v>Ok</v>
      </c>
      <c r="U15" s="217"/>
      <c r="V15" s="131" t="str">
        <f>IF(COUNTIF(K15:T15,"Check")=0,"Ok","Check")</f>
        <v>Ok</v>
      </c>
    </row>
    <row r="16" spans="1:47" ht="10.199999999999999">
      <c r="J16" s="30"/>
    </row>
    <row r="17" spans="1:47" s="103" customFormat="1" ht="13.2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t="10.199999999999999" hidden="1">
      <c r="G18" s="32"/>
      <c r="H18" s="32"/>
    </row>
    <row r="19" spans="1:47" s="30" customFormat="1" ht="10.199999999999999" hidden="1">
      <c r="A19" s="29"/>
      <c r="B19" s="29"/>
      <c r="C19" s="29"/>
      <c r="G19" s="32"/>
      <c r="H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s="30" customFormat="1" ht="10.199999999999999" hidden="1">
      <c r="A20" s="29"/>
      <c r="B20" s="29"/>
      <c r="C20" s="29"/>
      <c r="G20" s="32"/>
      <c r="H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s="30" customFormat="1" ht="10.199999999999999" hidden="1">
      <c r="A21" s="29"/>
      <c r="B21" s="29"/>
      <c r="C21" s="29"/>
      <c r="G21" s="32"/>
      <c r="H21" s="3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s="30" customFormat="1" ht="10.199999999999999" hidden="1">
      <c r="A22" s="29"/>
      <c r="B22" s="29"/>
      <c r="C22" s="29"/>
      <c r="G22" s="32"/>
      <c r="H22" s="3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s="30" customFormat="1" ht="10.199999999999999" hidden="1">
      <c r="A23" s="29"/>
      <c r="B23" s="29"/>
      <c r="C23" s="29"/>
      <c r="G23" s="32"/>
      <c r="H23" s="3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s="30" customFormat="1" ht="10.199999999999999" hidden="1">
      <c r="A24" s="29"/>
      <c r="B24" s="29"/>
      <c r="C24" s="29"/>
      <c r="G24" s="32"/>
      <c r="H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s="30" customFormat="1" ht="10.199999999999999" hidden="1">
      <c r="A25" s="29"/>
      <c r="B25" s="29"/>
      <c r="C25" s="29"/>
      <c r="G25" s="32"/>
      <c r="H25" s="32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s="30" customFormat="1" ht="10.199999999999999" hidden="1">
      <c r="A26" s="29"/>
      <c r="B26" s="29"/>
      <c r="C26" s="29"/>
      <c r="G26" s="32"/>
      <c r="H26" s="3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30" customFormat="1" ht="10.199999999999999" hidden="1">
      <c r="A27" s="29"/>
      <c r="B27" s="29"/>
      <c r="C27" s="29"/>
      <c r="G27" s="32"/>
      <c r="H27" s="3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1.25" hidden="1" customHeight="1"/>
    <row r="29" spans="1:47" ht="11.25" hidden="1" customHeight="1"/>
    <row r="30" spans="1:47" ht="11.25" hidden="1" customHeight="1"/>
    <row r="31" spans="1:47" ht="11.25" hidden="1" customHeight="1"/>
    <row r="32" spans="1:47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</sheetData>
  <mergeCells count="1">
    <mergeCell ref="N3:S3"/>
  </mergeCells>
  <conditionalFormatting sqref="S1">
    <cfRule type="cellIs" dxfId="87" priority="8" operator="equal">
      <formula>"Check"</formula>
    </cfRule>
    <cfRule type="cellIs" dxfId="86" priority="9" operator="equal">
      <formula>"Ok"</formula>
    </cfRule>
  </conditionalFormatting>
  <conditionalFormatting sqref="V15">
    <cfRule type="cellIs" dxfId="85" priority="6" operator="equal">
      <formula>"Check"</formula>
    </cfRule>
    <cfRule type="cellIs" dxfId="84" priority="7" operator="equal">
      <formula>"Ok"</formula>
    </cfRule>
  </conditionalFormatting>
  <conditionalFormatting sqref="O15:S15">
    <cfRule type="cellIs" dxfId="83" priority="4" operator="equal">
      <formula>"Check"</formula>
    </cfRule>
    <cfRule type="cellIs" dxfId="82" priority="5" operator="equal">
      <formula>"Ok"</formula>
    </cfRule>
  </conditionalFormatting>
  <conditionalFormatting sqref="V1">
    <cfRule type="cellIs" dxfId="81" priority="2" operator="equal">
      <formula>"Check"</formula>
    </cfRule>
    <cfRule type="cellIs" dxfId="80" priority="3" operator="equal">
      <formula>"Ok"</formula>
    </cfRule>
  </conditionalFormatting>
  <conditionalFormatting sqref="J10:S10">
    <cfRule type="expression" dxfId="79" priority="1">
      <formula>J$10=J$4</formula>
    </cfRule>
  </conditionalFormatting>
  <dataValidations disablePrompts="1" count="2">
    <dataValidation type="list" allowBlank="1" showInputMessage="1" showErrorMessage="1" sqref="U12:U14 I12:I14">
      <formula1>#REF!</formula1>
    </dataValidation>
    <dataValidation type="list" allowBlank="1" showInputMessage="1" showErrorMessage="1" sqref="F14">
      <formula1>"Real 2010,Real 2011,Real 2012,Real 2013,Real 2014,Real 2015,Nominal"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8"/>
  <sheetViews>
    <sheetView showGridLines="0" topLeftCell="E55" zoomScaleNormal="100" workbookViewId="0">
      <selection activeCell="M77" sqref="M77"/>
    </sheetView>
  </sheetViews>
  <sheetFormatPr defaultColWidth="0" defaultRowHeight="10.199999999999999" zeroHeight="1" outlineLevelRow="1"/>
  <cols>
    <col min="1" max="2" width="1.42578125" style="29" customWidth="1"/>
    <col min="3" max="3" width="76.42578125" style="29" bestFit="1" customWidth="1"/>
    <col min="4" max="4" width="27.7109375" style="30" customWidth="1"/>
    <col min="5" max="5" width="15.85546875" style="30" customWidth="1"/>
    <col min="6" max="6" width="13.42578125" style="30" bestFit="1" customWidth="1"/>
    <col min="7" max="9" width="3.42578125" style="30" customWidth="1"/>
    <col min="10" max="10" width="16.42578125" style="29" bestFit="1" customWidth="1"/>
    <col min="11" max="14" width="13.42578125" style="29" bestFit="1" customWidth="1"/>
    <col min="15" max="15" width="14" style="29" bestFit="1" customWidth="1"/>
    <col min="16" max="16" width="13.42578125" style="29" bestFit="1" customWidth="1"/>
    <col min="17" max="17" width="14" style="29" bestFit="1" customWidth="1"/>
    <col min="18" max="18" width="17" style="29" bestFit="1" customWidth="1"/>
    <col min="19" max="19" width="14" style="29" bestFit="1" customWidth="1"/>
    <col min="20" max="23" width="10.85546875" style="29" customWidth="1"/>
    <col min="24" max="38" width="10.42578125" style="29" hidden="1" customWidth="1"/>
    <col min="39" max="16384" width="10.42578125" style="29" hidden="1"/>
  </cols>
  <sheetData>
    <row r="1" spans="1:47" s="69" customFormat="1" ht="15.6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Ok</v>
      </c>
    </row>
    <row r="2" spans="1:47" s="77" customFormat="1" ht="13.8" thickBot="1">
      <c r="B2" s="78" t="str">
        <f>Index!$C$13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215"/>
      <c r="E3" s="215"/>
      <c r="F3" s="215"/>
      <c r="G3" s="215"/>
      <c r="H3" s="215"/>
      <c r="I3" s="215"/>
      <c r="J3" s="171" t="s">
        <v>120</v>
      </c>
      <c r="K3" s="171"/>
      <c r="L3" s="171"/>
      <c r="M3" s="215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.2">
      <c r="A8" s="94"/>
      <c r="B8" s="95" t="s">
        <v>88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161</v>
      </c>
      <c r="D12" s="108" t="s">
        <v>94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426.3881331369995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161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438.97997011431164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47" outlineLevel="1">
      <c r="C15" s="106" t="s">
        <v>162</v>
      </c>
      <c r="D15" s="108" t="s">
        <v>94</v>
      </c>
      <c r="E15" s="30" t="str">
        <f>'Input|Reported opex'!E60</f>
        <v>$millions</v>
      </c>
      <c r="F15" s="161" t="str">
        <f>'Input|Reported opex'!F53</f>
        <v>nominal</v>
      </c>
      <c r="J15" s="109">
        <f>IF(YEAR(J$4)=BaseYear,'Input|Reported opex'!J53,0)</f>
        <v>0</v>
      </c>
      <c r="K15" s="109">
        <f>IF(YEAR(K$4)=BaseYear,'Input|Reported opex'!K53,0)</f>
        <v>0</v>
      </c>
      <c r="L15" s="109">
        <f>IF(YEAR(L$4)=BaseYear,'Input|Reported opex'!L53,0)</f>
        <v>0</v>
      </c>
      <c r="M15" s="109">
        <f>IF(YEAR(M$4)=BaseYear,'Input|Reported opex'!M53,0)</f>
        <v>0</v>
      </c>
      <c r="N15" s="109">
        <f>IF(YEAR(N$4)=BaseYear,'Input|Reported opex'!N53,0)</f>
        <v>0</v>
      </c>
      <c r="O15" s="109">
        <f>IF(YEAR(O$4)=BaseYear,'Input|Reported opex'!O53,0)</f>
        <v>0</v>
      </c>
      <c r="P15" s="109">
        <f>IF(YEAR(P$4)=BaseYear,'Input|Reported opex'!P53,0)</f>
        <v>0</v>
      </c>
      <c r="Q15" s="109">
        <f>IF(YEAR(Q$4)=BaseYear,'Input|Reported opex'!Q53,0)</f>
        <v>0</v>
      </c>
      <c r="R15" s="109">
        <f>IF(YEAR(R$4)=BaseYear,'Input|Reported opex'!R53,0)</f>
        <v>0</v>
      </c>
      <c r="S15" s="109">
        <f>IF(YEAR(S$4)=BaseYear,'Input|Reported opex'!S53,0)</f>
        <v>0</v>
      </c>
    </row>
    <row r="16" spans="1:47" outlineLevel="1">
      <c r="C16" s="106" t="s">
        <v>162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3:19" outlineLevel="1">
      <c r="C18" s="113" t="s">
        <v>138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438.97997011431164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outlineLevel="1">
      <c r="C20" s="123" t="s">
        <v>168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>-J16</f>
        <v>0</v>
      </c>
      <c r="K20" s="115">
        <f t="shared" ref="K20:N20" si="2">-K16</f>
        <v>0</v>
      </c>
      <c r="L20" s="115">
        <f t="shared" si="2"/>
        <v>0</v>
      </c>
      <c r="M20" s="115">
        <f t="shared" si="2"/>
        <v>0</v>
      </c>
      <c r="N20" s="115">
        <f t="shared" si="2"/>
        <v>0</v>
      </c>
      <c r="O20" s="115">
        <f>IF(YEAR(O$4)=PPLastYear,SUM($J16:$S16)-SUM(#REF!)+SUM(#REF!),0)</f>
        <v>0</v>
      </c>
      <c r="P20" s="115">
        <f>IF(YEAR(P$4)=PPLastYear,SUM($J16:$S16)-SUM(#REF!)+SUM(#REF!),0)</f>
        <v>0</v>
      </c>
      <c r="Q20" s="115">
        <f>IF(YEAR(Q$4)=PPLastYear,SUM($J16:$S16)-SUM(#REF!)+SUM(#REF!),0)</f>
        <v>0</v>
      </c>
      <c r="R20" s="115">
        <f>IF(YEAR(R$4)=PPLastYear,SUM($J16:$S16)-SUM(#REF!)+SUM(#REF!),0)</f>
        <v>0</v>
      </c>
      <c r="S20" s="115">
        <f>IF(YEAR(S$4)=PPLastYear,SUM($J16:$S16)-SUM(#REF!)+SUM(#REF!),0)</f>
        <v>0</v>
      </c>
    </row>
    <row r="21" spans="3:19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outlineLevel="1">
      <c r="C22" s="123" t="str">
        <f>'Input|Reported opex'!$C$59</f>
        <v>Service classification change - ERW</v>
      </c>
      <c r="D22" s="108" t="s">
        <v>94</v>
      </c>
      <c r="E22" s="110" t="str">
        <f>'Input|Reported opex'!E59</f>
        <v>$millions</v>
      </c>
      <c r="F22" s="161" t="str">
        <f>'Input|Reported opex'!F59</f>
        <v>nominal</v>
      </c>
      <c r="J22" s="109">
        <f>IF(YEAR(J$4)=BaseYear,'Input|Reported opex'!J59,0)</f>
        <v>0</v>
      </c>
      <c r="K22" s="109">
        <f>IF(YEAR(K$4)=BaseYear,'Input|Reported opex'!K59,0)</f>
        <v>0</v>
      </c>
      <c r="L22" s="109">
        <f>IF(YEAR(L$4)=BaseYear,'Input|Reported opex'!L59,0)</f>
        <v>0</v>
      </c>
      <c r="M22" s="109">
        <f>IF(YEAR(M$4)=BaseYear,'Input|Reported opex'!M59,0)</f>
        <v>6.1070584000000094</v>
      </c>
      <c r="N22" s="109">
        <f>IF(YEAR(N$4)=BaseYear,'Input|Reported opex'!N59,0)</f>
        <v>0</v>
      </c>
      <c r="O22" s="109">
        <f>IF(YEAR(O$4)=BaseYear,'Input|Reported opex'!O59,0)</f>
        <v>0</v>
      </c>
      <c r="P22" s="109">
        <f>IF(YEAR(P$4)=BaseYear,'Input|Reported opex'!P59,0)</f>
        <v>0</v>
      </c>
      <c r="Q22" s="109">
        <f>IF(YEAR(Q$4)=BaseYear,'Input|Reported opex'!Q59,0)</f>
        <v>0</v>
      </c>
      <c r="R22" s="109">
        <f>IF(YEAR(R$4)=BaseYear,'Input|Reported opex'!R59,0)</f>
        <v>0</v>
      </c>
      <c r="S22" s="109">
        <f>IF(YEAR(S$4)=BaseYear,'Input|Reported opex'!S59,0)</f>
        <v>0</v>
      </c>
    </row>
    <row r="23" spans="3:19" outlineLevel="1">
      <c r="C23" s="123" t="str">
        <f>C22</f>
        <v>Service classification change - ERW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6.2874083624109405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outlineLevel="1">
      <c r="C25" s="123">
        <f>'Input|Reported opex'!$C$60</f>
        <v>0</v>
      </c>
      <c r="D25" s="108" t="s">
        <v>94</v>
      </c>
      <c r="E25" s="30" t="str">
        <f>'Input|Reported opex'!$E$60</f>
        <v>$millions</v>
      </c>
      <c r="F25" s="161" t="str">
        <f>'Input|Reported opex'!$F$60</f>
        <v>nominal</v>
      </c>
      <c r="J25" s="109">
        <f>IF(YEAR(J$4)=BaseYear,'Input|Reported opex'!J60,0)</f>
        <v>0</v>
      </c>
      <c r="K25" s="109">
        <f>IF(YEAR(K$4)=BaseYear,'Input|Reported opex'!K60,0)</f>
        <v>0</v>
      </c>
      <c r="L25" s="109">
        <f>IF(YEAR(L$4)=BaseYear,'Input|Reported opex'!L60,0)</f>
        <v>0</v>
      </c>
      <c r="M25" s="109">
        <f>IF(YEAR(M$4)=BaseYear,'Input|Reported opex'!M60,0)</f>
        <v>0</v>
      </c>
      <c r="N25" s="109">
        <f>IF(YEAR(N$4)=BaseYear,'Input|Reported opex'!N60,0)</f>
        <v>0</v>
      </c>
      <c r="O25" s="109">
        <f>IF(YEAR(O$4)=BaseYear,'Input|Reported opex'!O60,0)</f>
        <v>0</v>
      </c>
      <c r="P25" s="109">
        <f>IF(YEAR(P$4)=BaseYear,'Input|Reported opex'!P60,0)</f>
        <v>0</v>
      </c>
      <c r="Q25" s="109">
        <f>IF(YEAR(Q$4)=BaseYear,'Input|Reported opex'!Q60,0)</f>
        <v>0</v>
      </c>
      <c r="R25" s="109">
        <f>IF(YEAR(R$4)=BaseYear,'Input|Reported opex'!R60,0)</f>
        <v>0</v>
      </c>
      <c r="S25" s="109">
        <f>IF(YEAR(S$4)=BaseYear,'Input|Reported opex'!S60,0)</f>
        <v>0</v>
      </c>
    </row>
    <row r="26" spans="3:19" outlineLevel="1">
      <c r="C26" s="123">
        <f>C25</f>
        <v>0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outlineLevel="1">
      <c r="C28" s="123">
        <f>'Input|Reported opex'!$C$61</f>
        <v>0</v>
      </c>
      <c r="D28" s="108" t="s">
        <v>94</v>
      </c>
      <c r="E28" s="30" t="str">
        <f>'Input|Reported opex'!$E$61</f>
        <v>$millions</v>
      </c>
      <c r="F28" s="161" t="str">
        <f>'Input|Reported opex'!$F$61</f>
        <v>nominal</v>
      </c>
      <c r="J28" s="109">
        <f>IF(YEAR(J$4)=BaseYear,'Input|Reported opex'!J61,0)</f>
        <v>0</v>
      </c>
      <c r="K28" s="109">
        <f>IF(YEAR(K$4)=BaseYear,'Input|Reported opex'!K61,0)</f>
        <v>0</v>
      </c>
      <c r="L28" s="109">
        <f>IF(YEAR(L$4)=BaseYear,'Input|Reported opex'!L61,0)</f>
        <v>0</v>
      </c>
      <c r="M28" s="109">
        <f>IF(YEAR(M$4)=BaseYear,'Input|Reported opex'!M61,0)</f>
        <v>0</v>
      </c>
      <c r="N28" s="109">
        <f>IF(YEAR(N$4)=BaseYear,'Input|Reported opex'!N61,0)</f>
        <v>0</v>
      </c>
      <c r="O28" s="109">
        <f>IF(YEAR(O$4)=BaseYear,'Input|Reported opex'!O61,0)</f>
        <v>0</v>
      </c>
      <c r="P28" s="109">
        <f>IF(YEAR(P$4)=BaseYear,'Input|Reported opex'!P61,0)</f>
        <v>0</v>
      </c>
      <c r="Q28" s="109">
        <f>IF(YEAR(Q$4)=BaseYear,'Input|Reported opex'!Q61,0)</f>
        <v>0</v>
      </c>
      <c r="R28" s="109">
        <f>IF(YEAR(R$4)=BaseYear,'Input|Reported opex'!R61,0)</f>
        <v>0</v>
      </c>
      <c r="S28" s="109">
        <f>IF(YEAR(S$4)=BaseYear,'Input|Reported opex'!S61,0)</f>
        <v>0</v>
      </c>
    </row>
    <row r="29" spans="3:19" outlineLevel="1">
      <c r="C29" s="123">
        <f>C28</f>
        <v>0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>
      <c r="C31" s="177" t="s">
        <v>173</v>
      </c>
      <c r="D31" s="112" t="s">
        <v>101</v>
      </c>
      <c r="E31" s="112" t="str">
        <f>$E$8</f>
        <v>$millions</v>
      </c>
      <c r="F31" s="178">
        <f>$F$8</f>
        <v>43617</v>
      </c>
      <c r="J31" s="107"/>
      <c r="K31" s="107"/>
      <c r="L31" s="107"/>
      <c r="M31" s="176">
        <f>SUM(M13,M16,M20,M23,M26,M29)</f>
        <v>445.26737847672257</v>
      </c>
    </row>
    <row r="32" spans="3:19">
      <c r="J32" s="107"/>
      <c r="K32" s="107"/>
      <c r="L32" s="107"/>
      <c r="M32" s="176"/>
    </row>
    <row r="33" spans="1:47" s="103" customFormat="1" ht="13.2">
      <c r="A33" s="94"/>
      <c r="B33" s="95" t="s">
        <v>89</v>
      </c>
      <c r="C33" s="94"/>
      <c r="D33" s="94"/>
      <c r="E33" s="94"/>
      <c r="F33" s="96"/>
      <c r="G33" s="96"/>
      <c r="H33" s="96"/>
      <c r="I33" s="96"/>
      <c r="J33" s="97"/>
      <c r="K33" s="98"/>
      <c r="L33" s="97"/>
      <c r="M33" s="98"/>
      <c r="N33" s="97"/>
      <c r="O33" s="97"/>
      <c r="P33" s="97"/>
      <c r="Q33" s="97"/>
      <c r="R33" s="97"/>
      <c r="S33" s="97"/>
      <c r="T33" s="97"/>
      <c r="U33" s="97"/>
      <c r="V33" s="98"/>
      <c r="W33" s="98"/>
      <c r="X33" s="99"/>
      <c r="Y33" s="99"/>
      <c r="Z33" s="99"/>
      <c r="AA33" s="99"/>
      <c r="AB33" s="100"/>
      <c r="AC33" s="101"/>
      <c r="AD33" s="101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1:47" outlineLevel="1"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47" outlineLevel="1">
      <c r="C35" s="67" t="s">
        <v>41</v>
      </c>
      <c r="D35" s="32" t="s">
        <v>7</v>
      </c>
      <c r="E35" s="32" t="s">
        <v>8</v>
      </c>
      <c r="F35" s="32" t="s">
        <v>22</v>
      </c>
      <c r="J35" s="163" t="str">
        <f>IF(YEAR(J$4)&gt;BaseYear,IF(YEAR(J$4)&lt;='Input|General'!$G$14,J$4,""),"")</f>
        <v/>
      </c>
      <c r="K35" s="163" t="str">
        <f>IF(YEAR(K$4)&gt;BaseYear,IF(YEAR(K$4)&lt;='Input|General'!$G$14,K$4,""),"")</f>
        <v/>
      </c>
      <c r="L35" s="163" t="str">
        <f>IF(YEAR(L$4)&gt;BaseYear,IF(YEAR(L$4)&lt;='Input|General'!$G$14,L$4,""),"")</f>
        <v/>
      </c>
      <c r="M35" s="163" t="str">
        <f>IF(YEAR(M$4)&gt;BaseYear,IF(YEAR(M$4)&lt;='Input|General'!$G$14,M$4,""),"")</f>
        <v/>
      </c>
      <c r="N35" s="163">
        <f>IF(YEAR(N$4)&gt;BaseYear,IF(YEAR(N$4)&lt;='Input|General'!$G$14,N$4,""),"")</f>
        <v>43617</v>
      </c>
      <c r="O35" s="163">
        <f>IF(YEAR(O$4)&gt;BaseYear,IF(YEAR(O$4)&lt;='Input|General'!$G$14,O$4,""),"")</f>
        <v>43983</v>
      </c>
      <c r="P35" s="163">
        <f>IF(YEAR(P$4)&gt;BaseYear,IF(YEAR(P$4)&lt;='Input|General'!$G$14,P$4,""),"")</f>
        <v>44348</v>
      </c>
      <c r="Q35" s="163">
        <f>IF(YEAR(Q$4)&gt;BaseYear,IF(YEAR(Q$4)&lt;='Input|General'!$G$14,Q$4,""),"")</f>
        <v>44713</v>
      </c>
      <c r="R35" s="163">
        <f>IF(YEAR(R$4)&gt;BaseYear,IF(YEAR(R$4)&lt;='Input|General'!$G$14,R$4,""),"")</f>
        <v>45078</v>
      </c>
      <c r="S35" s="163">
        <f>IF(YEAR(S$4)&gt;BaseYear,IF(YEAR(S$4)&lt;='Input|General'!$G$14,S$4,""),"")</f>
        <v>45444</v>
      </c>
    </row>
    <row r="36" spans="1:47" outlineLevel="1">
      <c r="C36" s="6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47" outlineLevel="1">
      <c r="B37" s="67"/>
      <c r="C37" s="116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47" outlineLevel="1">
      <c r="C38" s="111" t="s">
        <v>109</v>
      </c>
      <c r="D38" s="110" t="s">
        <v>30</v>
      </c>
      <c r="E38" s="30" t="s">
        <v>31</v>
      </c>
      <c r="F38" s="30" t="s">
        <v>36</v>
      </c>
      <c r="J38" s="117">
        <f>IF(J35=J4,AVERAGE('Input|Rate of change'!K95:K98),0)</f>
        <v>0</v>
      </c>
      <c r="K38" s="117">
        <f>IF(K35=K4,AVERAGE('Input|Rate of change'!L95:L98),0)</f>
        <v>0</v>
      </c>
      <c r="L38" s="117">
        <f>IF(L35=L4,AVERAGE('Input|Rate of change'!M95:M98),0)</f>
        <v>0</v>
      </c>
      <c r="M38" s="117">
        <f>IF(M35=M4,AVERAGE('Input|Rate of change'!N95:N98),0)</f>
        <v>0</v>
      </c>
      <c r="N38" s="117">
        <f>IF(N35=N4,AVERAGE('Input|Rate of change'!O95:O98),0)</f>
        <v>7.138271434248741E-3</v>
      </c>
      <c r="O38" s="117">
        <f>IF(O35=O4,AVERAGE('Input|Rate of change'!P95:P98),0)</f>
        <v>6.8183699200784886E-3</v>
      </c>
      <c r="P38" s="117">
        <f>IF(P35=P4,AVERAGE('Input|Rate of change'!Q95:Q98),0)</f>
        <v>6.0521227427314146E-3</v>
      </c>
      <c r="Q38" s="117">
        <f>IF(Q35=Q4,AVERAGE('Input|Rate of change'!R95:R98),0)</f>
        <v>6.318001934776064E-3</v>
      </c>
      <c r="R38" s="117">
        <f>IF(R35=R4,AVERAGE('Input|Rate of change'!S95:S98),0)</f>
        <v>6.7237945178995088E-3</v>
      </c>
      <c r="S38" s="117">
        <f>IF(S35=S4,AVERAGE('Input|Rate of change'!T95:T98),0)</f>
        <v>6.2344513942101873E-3</v>
      </c>
    </row>
    <row r="39" spans="1:47" outlineLevel="1"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47" outlineLevel="1">
      <c r="C40" s="111" t="s">
        <v>82</v>
      </c>
      <c r="D40" s="110" t="s">
        <v>30</v>
      </c>
      <c r="E40" s="30" t="s">
        <v>31</v>
      </c>
      <c r="F40" s="30" t="s">
        <v>36</v>
      </c>
      <c r="J40" s="117">
        <f>SUMPRODUCT('Input|Rate of change'!K36:K43,'Input|Rate of change'!K49:K56)</f>
        <v>0</v>
      </c>
      <c r="K40" s="117">
        <f>SUMPRODUCT('Input|Rate of change'!L36:L43,'Input|Rate of change'!L49:L56)</f>
        <v>0</v>
      </c>
      <c r="L40" s="117">
        <f>SUMPRODUCT('Input|Rate of change'!M36:M43,'Input|Rate of change'!M49:M56)</f>
        <v>0</v>
      </c>
      <c r="M40" s="117">
        <f>SUMPRODUCT('Input|Rate of change'!N36:N43,'Input|Rate of change'!N49:N56)</f>
        <v>0</v>
      </c>
      <c r="N40" s="117">
        <f>SUMPRODUCT('Input|Rate of change'!O36:O43,'Input|Rate of change'!O49:O56)</f>
        <v>1.8800616353870183E-3</v>
      </c>
      <c r="O40" s="117">
        <f>SUMPRODUCT('Input|Rate of change'!P36:P43,'Input|Rate of change'!P49:P56)</f>
        <v>1.9673607678308367E-3</v>
      </c>
      <c r="P40" s="117">
        <f>SUMPRODUCT('Input|Rate of change'!Q36:Q43,'Input|Rate of change'!Q49:Q56)</f>
        <v>3.8042632801506119E-3</v>
      </c>
      <c r="Q40" s="117">
        <f>SUMPRODUCT('Input|Rate of change'!R36:R43,'Input|Rate of change'!R49:R56)</f>
        <v>6.2625141893710504E-3</v>
      </c>
      <c r="R40" s="117">
        <f>SUMPRODUCT('Input|Rate of change'!S36:S43,'Input|Rate of change'!S49:S56)</f>
        <v>7.6709835413386997E-3</v>
      </c>
      <c r="S40" s="117">
        <f>SUMPRODUCT('Input|Rate of change'!T36:T43,'Input|Rate of change'!T49:T56)</f>
        <v>6.7954502239217516E-3</v>
      </c>
    </row>
    <row r="41" spans="1:47" outlineLevel="1">
      <c r="C41" s="111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47" outlineLevel="1">
      <c r="C42" s="111" t="s">
        <v>105</v>
      </c>
      <c r="D42" s="110" t="s">
        <v>30</v>
      </c>
      <c r="E42" s="30" t="s">
        <v>31</v>
      </c>
      <c r="F42" s="30" t="s">
        <v>36</v>
      </c>
      <c r="J42" s="117">
        <f>'Input|Rate of change'!K104</f>
        <v>0</v>
      </c>
      <c r="K42" s="117">
        <f>'Input|Rate of change'!L104</f>
        <v>0</v>
      </c>
      <c r="L42" s="117">
        <f>'Input|Rate of change'!M104</f>
        <v>0</v>
      </c>
      <c r="M42" s="117">
        <f>'Input|Rate of change'!N104</f>
        <v>0</v>
      </c>
      <c r="N42" s="117">
        <f>'Input|Rate of change'!O104</f>
        <v>0</v>
      </c>
      <c r="O42" s="117">
        <f>'Input|Rate of change'!P104</f>
        <v>0</v>
      </c>
      <c r="P42" s="117">
        <f>'Input|Rate of change'!Q104</f>
        <v>0.01</v>
      </c>
      <c r="Q42" s="117">
        <f>'Input|Rate of change'!R104</f>
        <v>0.01</v>
      </c>
      <c r="R42" s="117">
        <f>'Input|Rate of change'!S104</f>
        <v>0.01</v>
      </c>
      <c r="S42" s="117">
        <f>'Input|Rate of change'!T104</f>
        <v>0.01</v>
      </c>
    </row>
    <row r="43" spans="1:47" outlineLevel="1">
      <c r="C43" s="111"/>
      <c r="J43" s="172"/>
      <c r="K43" s="172"/>
      <c r="L43" s="172"/>
      <c r="M43" s="172"/>
      <c r="N43" s="172"/>
      <c r="O43" s="172"/>
      <c r="P43" s="172"/>
      <c r="Q43" s="172"/>
      <c r="R43" s="172"/>
      <c r="S43" s="172"/>
    </row>
    <row r="44" spans="1:47" outlineLevel="1">
      <c r="C44" s="118" t="s">
        <v>139</v>
      </c>
      <c r="D44" s="114" t="s">
        <v>30</v>
      </c>
      <c r="E44" s="114" t="s">
        <v>31</v>
      </c>
      <c r="F44" s="114" t="s">
        <v>36</v>
      </c>
      <c r="J44" s="143">
        <f>(1+J38)*(1+J40)*(1-J42)-1</f>
        <v>0</v>
      </c>
      <c r="K44" s="143">
        <f t="shared" ref="K44:S44" si="3">(1+K38)*(1+K40)*(1-K42)-1</f>
        <v>0</v>
      </c>
      <c r="L44" s="143">
        <f t="shared" si="3"/>
        <v>0</v>
      </c>
      <c r="M44" s="143">
        <f t="shared" si="3"/>
        <v>0</v>
      </c>
      <c r="N44" s="143">
        <f t="shared" si="3"/>
        <v>9.0317534599022586E-3</v>
      </c>
      <c r="O44" s="143">
        <f t="shared" si="3"/>
        <v>8.7991448813906636E-3</v>
      </c>
      <c r="P44" s="143">
        <f t="shared" si="3"/>
        <v>-2.1938420771261402E-4</v>
      </c>
      <c r="Q44" s="143">
        <f t="shared" si="3"/>
        <v>2.4938818739030921E-3</v>
      </c>
      <c r="R44" s="143">
        <f t="shared" si="3"/>
        <v>4.3018926145572678E-3</v>
      </c>
      <c r="S44" s="143">
        <f t="shared" si="3"/>
        <v>2.9415448470322403E-3</v>
      </c>
    </row>
    <row r="45" spans="1:47" outlineLevel="1">
      <c r="C45" s="124" t="s">
        <v>140</v>
      </c>
      <c r="D45" s="110" t="s">
        <v>30</v>
      </c>
      <c r="E45" s="30" t="s">
        <v>31</v>
      </c>
      <c r="F45" s="30" t="s">
        <v>36</v>
      </c>
      <c r="J45" s="117" t="str">
        <f t="array" ref="J45">IF(J$35=J$4,PRODUCT(1+$J44:J44)-1,"")</f>
        <v/>
      </c>
      <c r="K45" s="117" t="str">
        <f t="array" ref="K45">IF(K$35=K$4,PRODUCT(1+$J44:K44)-1,"")</f>
        <v/>
      </c>
      <c r="L45" s="117" t="str">
        <f t="array" ref="L45">IF(L$35=L$4,PRODUCT(1+$J44:L44)-1,"")</f>
        <v/>
      </c>
      <c r="M45" s="117" t="str">
        <f t="array" ref="M45">IF(M$35=M$4,PRODUCT(1+$J44:M44)-1,"")</f>
        <v/>
      </c>
      <c r="N45" s="117">
        <f t="array" ref="N45">IF(N$35=N$4,PRODUCT(1+$J44:N44)-1,"")</f>
        <v>9.0317534599022586E-3</v>
      </c>
      <c r="O45" s="117">
        <f t="array" ref="O45">IF(O$35=O$4,PRODUCT(1+$J44:O44)-1,"")</f>
        <v>1.7910370048519697E-2</v>
      </c>
      <c r="P45" s="117">
        <f t="array" ref="P45">IF(P$35=P$4,PRODUCT(1+$J44:P44)-1,"")</f>
        <v>1.7687056588464145E-2</v>
      </c>
      <c r="Q45" s="117">
        <f t="array" ref="Q45">IF(Q$35=Q$4,PRODUCT(1+$J44:Q44)-1,"")</f>
        <v>2.0225047892195924E-2</v>
      </c>
      <c r="R45" s="117">
        <f t="array" ref="R45">IF(R$35=R$4,PRODUCT(1+$J44:R44)-1,"")</f>
        <v>2.4613946490909644E-2</v>
      </c>
      <c r="S45" s="117">
        <f t="array" ref="S45">IF(S$35=S$4,PRODUCT(1+$J44:S44)-1,"")</f>
        <v>2.7627894365407357E-2</v>
      </c>
    </row>
    <row r="46" spans="1:47">
      <c r="J46" s="107"/>
      <c r="K46" s="107"/>
      <c r="L46" s="107"/>
      <c r="M46" s="107"/>
      <c r="N46" s="107"/>
      <c r="O46" s="119"/>
      <c r="P46" s="119"/>
      <c r="Q46" s="119"/>
      <c r="R46" s="119"/>
      <c r="S46" s="119"/>
    </row>
    <row r="47" spans="1:47" s="103" customFormat="1" ht="13.2">
      <c r="A47" s="94"/>
      <c r="B47" s="95" t="s">
        <v>92</v>
      </c>
      <c r="C47" s="94"/>
      <c r="D47" s="94"/>
      <c r="E47" s="94"/>
      <c r="F47" s="96"/>
      <c r="G47" s="96"/>
      <c r="H47" s="96"/>
      <c r="I47" s="96"/>
      <c r="J47" s="97"/>
      <c r="K47" s="98"/>
      <c r="L47" s="97"/>
      <c r="M47" s="98"/>
      <c r="N47" s="97"/>
      <c r="O47" s="97"/>
      <c r="P47" s="97"/>
      <c r="Q47" s="97"/>
      <c r="R47" s="97"/>
      <c r="S47" s="97"/>
      <c r="T47" s="97"/>
      <c r="U47" s="97"/>
      <c r="V47" s="98"/>
      <c r="W47" s="98"/>
      <c r="X47" s="99"/>
      <c r="Y47" s="99"/>
      <c r="Z47" s="99"/>
      <c r="AA47" s="99"/>
      <c r="AB47" s="100"/>
      <c r="AC47" s="101"/>
      <c r="AD47" s="101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1:47" outlineLevel="1">
      <c r="C48" s="106"/>
      <c r="J48" s="107"/>
      <c r="K48" s="107"/>
      <c r="L48" s="107"/>
    </row>
    <row r="49" spans="1:47" outlineLevel="1">
      <c r="C49" s="67" t="s">
        <v>106</v>
      </c>
      <c r="D49" s="32" t="s">
        <v>7</v>
      </c>
      <c r="E49" s="32" t="s">
        <v>8</v>
      </c>
      <c r="F49" s="32" t="s">
        <v>22</v>
      </c>
      <c r="J49" s="163" t="str">
        <f>IF(YEAR(J$4)&gt;='Input|General'!$G$13,IF(YEAR(J$4)&lt;='Input|General'!$G$14,J$4,""),"")</f>
        <v/>
      </c>
      <c r="K49" s="163" t="str">
        <f>IF(YEAR(K$4)&gt;='Input|General'!$G$13,IF(YEAR(K$4)&lt;='Input|General'!$G$14,K$4,""),"")</f>
        <v/>
      </c>
      <c r="L49" s="163" t="str">
        <f>IF(YEAR(L$4)&gt;='Input|General'!$G$13,IF(YEAR(L$4)&lt;='Input|General'!$G$14,L$4,""),"")</f>
        <v/>
      </c>
      <c r="M49" s="163" t="str">
        <f>IF(YEAR(M$4)&gt;='Input|General'!$G$13,IF(YEAR(M$4)&lt;='Input|General'!$G$14,M$4,""),"")</f>
        <v/>
      </c>
      <c r="N49" s="163" t="str">
        <f>IF(YEAR(N$4)&gt;='Input|General'!$G$13,IF(YEAR(N$4)&lt;='Input|General'!$G$14,N$4,""),"")</f>
        <v/>
      </c>
      <c r="O49" s="163">
        <f>IF(YEAR(O$4)&gt;='Input|General'!$G$13,IF(YEAR(O$4)&lt;='Input|General'!$G$14,O$4,""),"")</f>
        <v>43983</v>
      </c>
      <c r="P49" s="163">
        <f>IF(YEAR(P$4)&gt;='Input|General'!$G$13,IF(YEAR(P$4)&lt;='Input|General'!$G$14,P$4,""),"")</f>
        <v>44348</v>
      </c>
      <c r="Q49" s="163">
        <f>IF(YEAR(Q$4)&gt;='Input|General'!$G$13,IF(YEAR(Q$4)&lt;='Input|General'!$G$14,Q$4,""),"")</f>
        <v>44713</v>
      </c>
      <c r="R49" s="163">
        <f>IF(YEAR(R$4)&gt;='Input|General'!$G$13,IF(YEAR(R$4)&lt;='Input|General'!$G$14,R$4,""),"")</f>
        <v>45078</v>
      </c>
      <c r="S49" s="163">
        <f>IF(YEAR(S$4)&gt;='Input|General'!$G$13,IF(YEAR(S$4)&lt;='Input|General'!$G$14,S$4,""),"")</f>
        <v>45444</v>
      </c>
    </row>
    <row r="50" spans="1:47" outlineLevel="1">
      <c r="C50" s="67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47" outlineLevel="1">
      <c r="C51" s="121" t="str">
        <f>'Input|Step changes'!C12</f>
        <v>Demand Management</v>
      </c>
      <c r="D51" s="110" t="s">
        <v>30</v>
      </c>
      <c r="E51" s="30" t="str">
        <f t="shared" ref="E51:E69" si="4">$E$8</f>
        <v>$millions</v>
      </c>
      <c r="F51" s="161">
        <f t="shared" ref="F51:F61" si="5">$F$8</f>
        <v>43617</v>
      </c>
      <c r="J51" s="127">
        <f>'Input|Step changes'!J12*IF('Input|Step changes'!$F12="nominal",LOOKUP($F51,Nominal_to_Real,'Input|Rate of change'!N$25:N$30),INDEX('Input|Rate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K51" s="127">
        <f>'Input|Step changes'!K12*IF('Input|Step changes'!$F12="nominal",LOOKUP($F51,Nominal_to_Real,'Input|Rate of change'!O$25:O$30),INDEX('Input|Rate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L51" s="127">
        <f>'Input|Step changes'!L12*IF('Input|Step changes'!$F12="nominal",LOOKUP($F51,Nominal_to_Real,'Input|Rate of change'!P$25:P$30),INDEX('Input|Rate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M51" s="127">
        <f>'Input|Step changes'!M12*IF('Input|Step changes'!$F12="nominal",LOOKUP($F51,Nominal_to_Real,'Input|Rate of change'!Q$25:Q$30),INDEX('Input|Rate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N51" s="127">
        <f>'Input|Step changes'!N12*IF('Input|Step changes'!$F12="nominal",LOOKUP($F51,Nominal_to_Real,'Input|Rate of change'!R$25:R$30),INDEX('Input|Rate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O51" s="127">
        <f>'Input|Step changes'!O12*IF('Input|Step changes'!$F12="nominal",LOOKUP($F51,Nominal_to_Real,'Input|Rate of change'!S$25:S$30),INDEX('Input|Rate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1.3411185142118864</v>
      </c>
      <c r="P51" s="127">
        <f>'Input|Step changes'!P12*IF('Input|Step changes'!$F12="nominal",LOOKUP($F51,Nominal_to_Real,'Input|Rate of change'!T$25:T$30),INDEX('Input|Rate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1.7726741984126984</v>
      </c>
      <c r="Q51" s="127">
        <f>'Input|Step changes'!Q12*IF('Input|Step changes'!$F12="nominal",LOOKUP($F51,Nominal_to_Real,'Input|Rate of change'!U$25:U$30),INDEX('Input|Rate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2.3688524353925517</v>
      </c>
      <c r="R51" s="127">
        <f>'Input|Step changes'!R12*IF('Input|Step changes'!$F12="nominal",LOOKUP($F51,Nominal_to_Real,'Input|Rate of change'!V$25:V$30),INDEX('Input|Rate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2.1895219687491783</v>
      </c>
      <c r="S51" s="127">
        <f>'Input|Step changes'!S12*IF('Input|Step changes'!$F12="nominal",LOOKUP($F51,Nominal_to_Real,'Input|Rate of change'!W$25:W$30),INDEX('Input|Rate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2.5362784965215726</v>
      </c>
    </row>
    <row r="52" spans="1:47" outlineLevel="1">
      <c r="C52" s="121">
        <f>'Input|Step changes'!C13</f>
        <v>0</v>
      </c>
      <c r="D52" s="110" t="s">
        <v>30</v>
      </c>
      <c r="E52" s="30" t="str">
        <f t="shared" si="4"/>
        <v>$millions</v>
      </c>
      <c r="F52" s="161">
        <f t="shared" si="5"/>
        <v>43617</v>
      </c>
      <c r="J52" s="127">
        <f>'Input|Step changes'!J13*IF('Input|Step changes'!$F13="nominal",LOOKUP($F52,Nominal_to_Real,'Input|Rate of change'!N$25:N$30),INDEX('Input|Rate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K52" s="127">
        <f>'Input|Step changes'!K13*IF('Input|Step changes'!$F13="nominal",LOOKUP($F52,Nominal_to_Real,'Input|Rate of change'!O$25:O$30),INDEX('Input|Rate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L52" s="127">
        <f>'Input|Step changes'!L13*IF('Input|Step changes'!$F13="nominal",LOOKUP($F52,Nominal_to_Real,'Input|Rate of change'!P$25:P$30),INDEX('Input|Rate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M52" s="127">
        <f>'Input|Step changes'!M13*IF('Input|Step changes'!$F13="nominal",LOOKUP($F52,Nominal_to_Real,'Input|Rate of change'!Q$25:Q$30),INDEX('Input|Rate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N52" s="127">
        <f>'Input|Step changes'!N13*IF('Input|Step changes'!$F13="nominal",LOOKUP($F52,Nominal_to_Real,'Input|Rate of change'!R$25:R$30),INDEX('Input|Rate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O52" s="127">
        <f>'Input|Step changes'!O13*IF('Input|Step changes'!$F13="nominal",LOOKUP($F52,Nominal_to_Real,'Input|Rate of change'!S$25:S$30),INDEX('Input|Rate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P52" s="127">
        <f>'Input|Step changes'!P13*IF('Input|Step changes'!$F13="nominal",LOOKUP($F52,Nominal_to_Real,'Input|Rate of change'!T$25:T$30),INDEX('Input|Rate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Q52" s="127">
        <f>'Input|Step changes'!Q13*IF('Input|Step changes'!$F13="nominal",LOOKUP($F52,Nominal_to_Real,'Input|Rate of change'!U$25:U$30),INDEX('Input|Rate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R52" s="127">
        <f>'Input|Step changes'!R13*IF('Input|Step changes'!$F13="nominal",LOOKUP($F52,Nominal_to_Real,'Input|Rate of change'!V$25:V$30),INDEX('Input|Rate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S52" s="127">
        <f>'Input|Step changes'!S13*IF('Input|Step changes'!$F13="nominal",LOOKUP($F52,Nominal_to_Real,'Input|Rate of change'!W$25:W$30),INDEX('Input|Rate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</row>
    <row r="53" spans="1:47" outlineLevel="1">
      <c r="C53" s="121">
        <f>'Input|Step changes'!C14</f>
        <v>0</v>
      </c>
      <c r="D53" s="110" t="s">
        <v>30</v>
      </c>
      <c r="E53" s="30" t="str">
        <f t="shared" si="4"/>
        <v>$millions</v>
      </c>
      <c r="F53" s="161">
        <f t="shared" si="5"/>
        <v>43617</v>
      </c>
      <c r="J53" s="127">
        <f>'Input|Step changes'!J14*IF('Input|Step changes'!$F14="nominal",LOOKUP($F53,Nominal_to_Real,'Input|Rate of change'!N$25:N$30),INDEX('Input|Rate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K53" s="127">
        <f>'Input|Step changes'!K14*IF('Input|Step changes'!$F14="nominal",LOOKUP($F53,Nominal_to_Real,'Input|Rate of change'!O$25:O$30),INDEX('Input|Rate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L53" s="127">
        <f>'Input|Step changes'!L14*IF('Input|Step changes'!$F14="nominal",LOOKUP($F53,Nominal_to_Real,'Input|Rate of change'!P$25:P$30),INDEX('Input|Rate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M53" s="127">
        <f>'Input|Step changes'!M14*IF('Input|Step changes'!$F14="nominal",LOOKUP($F53,Nominal_to_Real,'Input|Rate of change'!Q$25:Q$30),INDEX('Input|Rate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N53" s="127">
        <f>'Input|Step changes'!N14*IF('Input|Step changes'!$F14="nominal",LOOKUP($F53,Nominal_to_Real,'Input|Rate of change'!R$25:R$30),INDEX('Input|Rate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O53" s="127">
        <f>'Input|Step changes'!O14*IF('Input|Step changes'!$F14="nominal",LOOKUP($F53,Nominal_to_Real,'Input|Rate of change'!S$25:S$30),INDEX('Input|Rate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P53" s="127">
        <f>'Input|Step changes'!P14*IF('Input|Step changes'!$F14="nominal",LOOKUP($F53,Nominal_to_Real,'Input|Rate of change'!T$25:T$30),INDEX('Input|Rate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Q53" s="127">
        <f>'Input|Step changes'!Q14*IF('Input|Step changes'!$F14="nominal",LOOKUP($F53,Nominal_to_Real,'Input|Rate of change'!U$25:U$30),INDEX('Input|Rate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R53" s="127">
        <f>'Input|Step changes'!R14*IF('Input|Step changes'!$F14="nominal",LOOKUP($F53,Nominal_to_Real,'Input|Rate of change'!V$25:V$30),INDEX('Input|Rate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S53" s="127">
        <f>'Input|Step changes'!S14*IF('Input|Step changes'!$F14="nominal",LOOKUP($F53,Nominal_to_Real,'Input|Rate of change'!W$25:W$30),INDEX('Input|Rate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</row>
    <row r="54" spans="1:47" outlineLevel="1">
      <c r="C54" s="121">
        <f>'Input|Step changes'!C15</f>
        <v>0</v>
      </c>
      <c r="D54" s="110" t="s">
        <v>30</v>
      </c>
      <c r="E54" s="30" t="str">
        <f t="shared" si="4"/>
        <v>$millions</v>
      </c>
      <c r="F54" s="161">
        <f t="shared" si="5"/>
        <v>43617</v>
      </c>
      <c r="J54" s="127">
        <f>'Input|Step changes'!J15*IF('Input|Step changes'!$F15="nominal",LOOKUP($F54,Nominal_to_Real,'Input|Rate of change'!N$25:N$30),INDEX('Input|Rate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K54" s="127">
        <f>'Input|Step changes'!K15*IF('Input|Step changes'!$F15="nominal",LOOKUP($F54,Nominal_to_Real,'Input|Rate of change'!O$25:O$30),INDEX('Input|Rate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L54" s="127">
        <f>'Input|Step changes'!L15*IF('Input|Step changes'!$F15="nominal",LOOKUP($F54,Nominal_to_Real,'Input|Rate of change'!P$25:P$30),INDEX('Input|Rate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M54" s="127">
        <f>'Input|Step changes'!M15*IF('Input|Step changes'!$F15="nominal",LOOKUP($F54,Nominal_to_Real,'Input|Rate of change'!Q$25:Q$30),INDEX('Input|Rate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N54" s="127">
        <f>'Input|Step changes'!N15*IF('Input|Step changes'!$F15="nominal",LOOKUP($F54,Nominal_to_Real,'Input|Rate of change'!R$25:R$30),INDEX('Input|Rate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O54" s="127">
        <f>'Input|Step changes'!O15*IF('Input|Step changes'!$F15="nominal",LOOKUP($F54,Nominal_to_Real,'Input|Rate of change'!S$25:S$30),INDEX('Input|Rate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P54" s="127">
        <f>'Input|Step changes'!P15*IF('Input|Step changes'!$F15="nominal",LOOKUP($F54,Nominal_to_Real,'Input|Rate of change'!T$25:T$30),INDEX('Input|Rate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Q54" s="127">
        <f>'Input|Step changes'!Q15*IF('Input|Step changes'!$F15="nominal",LOOKUP($F54,Nominal_to_Real,'Input|Rate of change'!U$25:U$30),INDEX('Input|Rate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R54" s="127">
        <f>'Input|Step changes'!R15*IF('Input|Step changes'!$F15="nominal",LOOKUP($F54,Nominal_to_Real,'Input|Rate of change'!V$25:V$30),INDEX('Input|Rate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S54" s="127">
        <f>'Input|Step changes'!S15*IF('Input|Step changes'!$F15="nominal",LOOKUP($F54,Nominal_to_Real,'Input|Rate of change'!W$25:W$30),INDEX('Input|Rate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</row>
    <row r="55" spans="1:47" outlineLevel="1">
      <c r="C55" s="121">
        <f>'Input|Step changes'!C16</f>
        <v>0</v>
      </c>
      <c r="D55" s="110" t="s">
        <v>30</v>
      </c>
      <c r="E55" s="30" t="str">
        <f t="shared" si="4"/>
        <v>$millions</v>
      </c>
      <c r="F55" s="161">
        <f t="shared" si="5"/>
        <v>43617</v>
      </c>
      <c r="J55" s="127">
        <f>'Input|Step changes'!J16*IF('Input|Step changes'!$F16="nominal",LOOKUP($F55,Nominal_to_Real,'Input|Rate of change'!N$25:N$30),INDEX('Input|Rate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K55" s="127">
        <f>'Input|Step changes'!K16*IF('Input|Step changes'!$F16="nominal",LOOKUP($F55,Nominal_to_Real,'Input|Rate of change'!O$25:O$30),INDEX('Input|Rate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L55" s="127">
        <f>'Input|Step changes'!L16*IF('Input|Step changes'!$F16="nominal",LOOKUP($F55,Nominal_to_Real,'Input|Rate of change'!P$25:P$30),INDEX('Input|Rate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M55" s="127">
        <f>'Input|Step changes'!M16*IF('Input|Step changes'!$F16="nominal",LOOKUP($F55,Nominal_to_Real,'Input|Rate of change'!Q$25:Q$30),INDEX('Input|Rate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N55" s="127">
        <f>'Input|Step changes'!N16*IF('Input|Step changes'!$F16="nominal",LOOKUP($F55,Nominal_to_Real,'Input|Rate of change'!R$25:R$30),INDEX('Input|Rate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O55" s="127">
        <f>'Input|Step changes'!O16*IF('Input|Step changes'!$F16="nominal",LOOKUP($F55,Nominal_to_Real,'Input|Rate of change'!S$25:S$30),INDEX('Input|Rate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P55" s="127">
        <f>'Input|Step changes'!P16*IF('Input|Step changes'!$F16="nominal",LOOKUP($F55,Nominal_to_Real,'Input|Rate of change'!T$25:T$30),INDEX('Input|Rate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Q55" s="127">
        <f>'Input|Step changes'!Q16*IF('Input|Step changes'!$F16="nominal",LOOKUP($F55,Nominal_to_Real,'Input|Rate of change'!U$25:U$30),INDEX('Input|Rate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R55" s="127">
        <f>'Input|Step changes'!R16*IF('Input|Step changes'!$F16="nominal",LOOKUP($F55,Nominal_to_Real,'Input|Rate of change'!V$25:V$30),INDEX('Input|Rate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S55" s="127">
        <f>'Input|Step changes'!S16*IF('Input|Step changes'!$F16="nominal",LOOKUP($F55,Nominal_to_Real,'Input|Rate of change'!W$25:W$30),INDEX('Input|Rate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</row>
    <row r="56" spans="1:47" outlineLevel="1">
      <c r="C56" s="121">
        <f>'Input|Step changes'!C17</f>
        <v>0</v>
      </c>
      <c r="D56" s="110" t="s">
        <v>30</v>
      </c>
      <c r="E56" s="30" t="str">
        <f t="shared" si="4"/>
        <v>$millions</v>
      </c>
      <c r="F56" s="161">
        <f t="shared" si="5"/>
        <v>43617</v>
      </c>
      <c r="J56" s="127">
        <f>'Input|Step changes'!J17*IF('Input|Step changes'!$F17="nominal",LOOKUP($F56,Nominal_to_Real,'Input|Rate of change'!N$25:N$30),INDEX('Input|Rate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K56" s="127">
        <f>'Input|Step changes'!K17*IF('Input|Step changes'!$F17="nominal",LOOKUP($F56,Nominal_to_Real,'Input|Rate of change'!O$25:O$30),INDEX('Input|Rate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L56" s="127">
        <f>'Input|Step changes'!L17*IF('Input|Step changes'!$F17="nominal",LOOKUP($F56,Nominal_to_Real,'Input|Rate of change'!P$25:P$30),INDEX('Input|Rate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M56" s="127">
        <f>'Input|Step changes'!M17*IF('Input|Step changes'!$F17="nominal",LOOKUP($F56,Nominal_to_Real,'Input|Rate of change'!Q$25:Q$30),INDEX('Input|Rate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N56" s="127">
        <f>'Input|Step changes'!N17*IF('Input|Step changes'!$F17="nominal",LOOKUP($F56,Nominal_to_Real,'Input|Rate of change'!R$25:R$30),INDEX('Input|Rate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O56" s="127">
        <f>'Input|Step changes'!O17*IF('Input|Step changes'!$F17="nominal",LOOKUP($F56,Nominal_to_Real,'Input|Rate of change'!S$25:S$30),INDEX('Input|Rate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P56" s="127">
        <f>'Input|Step changes'!P17*IF('Input|Step changes'!$F17="nominal",LOOKUP($F56,Nominal_to_Real,'Input|Rate of change'!T$25:T$30),INDEX('Input|Rate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Q56" s="127">
        <f>'Input|Step changes'!Q17*IF('Input|Step changes'!$F17="nominal",LOOKUP($F56,Nominal_to_Real,'Input|Rate of change'!U$25:U$30),INDEX('Input|Rate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R56" s="127">
        <f>'Input|Step changes'!R17*IF('Input|Step changes'!$F17="nominal",LOOKUP($F56,Nominal_to_Real,'Input|Rate of change'!V$25:V$30),INDEX('Input|Rate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S56" s="127">
        <f>'Input|Step changes'!S17*IF('Input|Step changes'!$F17="nominal",LOOKUP($F56,Nominal_to_Real,'Input|Rate of change'!W$25:W$30),INDEX('Input|Rate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</row>
    <row r="57" spans="1:47" outlineLevel="1">
      <c r="C57" s="121">
        <f>'Input|Step changes'!C18</f>
        <v>0</v>
      </c>
      <c r="D57" s="110" t="s">
        <v>30</v>
      </c>
      <c r="E57" s="30" t="str">
        <f t="shared" si="4"/>
        <v>$millions</v>
      </c>
      <c r="F57" s="161">
        <f t="shared" si="5"/>
        <v>43617</v>
      </c>
      <c r="J57" s="127">
        <f>'Input|Step changes'!J18*IF('Input|Step changes'!$F18="nominal",LOOKUP($F57,Nominal_to_Real,'Input|Rate of change'!N$25:N$30),INDEX('Input|Rate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K57" s="127">
        <f>'Input|Step changes'!K18*IF('Input|Step changes'!$F18="nominal",LOOKUP($F57,Nominal_to_Real,'Input|Rate of change'!O$25:O$30),INDEX('Input|Rate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L57" s="127">
        <f>'Input|Step changes'!L18*IF('Input|Step changes'!$F18="nominal",LOOKUP($F57,Nominal_to_Real,'Input|Rate of change'!P$25:P$30),INDEX('Input|Rate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M57" s="127">
        <f>'Input|Step changes'!M18*IF('Input|Step changes'!$F18="nominal",LOOKUP($F57,Nominal_to_Real,'Input|Rate of change'!Q$25:Q$30),INDEX('Input|Rate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N57" s="127">
        <f>'Input|Step changes'!N18*IF('Input|Step changes'!$F18="nominal",LOOKUP($F57,Nominal_to_Real,'Input|Rate of change'!R$25:R$30),INDEX('Input|Rate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O57" s="127">
        <f>'Input|Step changes'!O18*IF('Input|Step changes'!$F18="nominal",LOOKUP($F57,Nominal_to_Real,'Input|Rate of change'!S$25:S$30),INDEX('Input|Rate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P57" s="127">
        <f>'Input|Step changes'!P18*IF('Input|Step changes'!$F18="nominal",LOOKUP($F57,Nominal_to_Real,'Input|Rate of change'!T$25:T$30),INDEX('Input|Rate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Q57" s="127">
        <f>'Input|Step changes'!Q18*IF('Input|Step changes'!$F18="nominal",LOOKUP($F57,Nominal_to_Real,'Input|Rate of change'!U$25:U$30),INDEX('Input|Rate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R57" s="127">
        <f>'Input|Step changes'!R18*IF('Input|Step changes'!$F18="nominal",LOOKUP($F57,Nominal_to_Real,'Input|Rate of change'!V$25:V$30),INDEX('Input|Rate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S57" s="127">
        <f>'Input|Step changes'!S18*IF('Input|Step changes'!$F18="nominal",LOOKUP($F57,Nominal_to_Real,'Input|Rate of change'!W$25:W$30),INDEX('Input|Rate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</row>
    <row r="58" spans="1:47" outlineLevel="1">
      <c r="C58" s="121">
        <f>'Input|Step changes'!C19</f>
        <v>0</v>
      </c>
      <c r="D58" s="110" t="s">
        <v>30</v>
      </c>
      <c r="E58" s="30" t="str">
        <f t="shared" si="4"/>
        <v>$millions</v>
      </c>
      <c r="F58" s="161">
        <f t="shared" si="5"/>
        <v>43617</v>
      </c>
      <c r="J58" s="127">
        <f>'Input|Step changes'!J19*IF('Input|Step changes'!$F19="nominal",LOOKUP($F58,Nominal_to_Real,'Input|Rate of change'!N$25:N$30),INDEX('Input|Rate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K58" s="127">
        <f>'Input|Step changes'!K19*IF('Input|Step changes'!$F19="nominal",LOOKUP($F58,Nominal_to_Real,'Input|Rate of change'!O$25:O$30),INDEX('Input|Rate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L58" s="127">
        <f>'Input|Step changes'!L19*IF('Input|Step changes'!$F19="nominal",LOOKUP($F58,Nominal_to_Real,'Input|Rate of change'!P$25:P$30),INDEX('Input|Rate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M58" s="127">
        <f>'Input|Step changes'!M19*IF('Input|Step changes'!$F19="nominal",LOOKUP($F58,Nominal_to_Real,'Input|Rate of change'!Q$25:Q$30),INDEX('Input|Rate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N58" s="127">
        <f>'Input|Step changes'!N19*IF('Input|Step changes'!$F19="nominal",LOOKUP($F58,Nominal_to_Real,'Input|Rate of change'!R$25:R$30),INDEX('Input|Rate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O58" s="127">
        <f>'Input|Step changes'!O19*IF('Input|Step changes'!$F19="nominal",LOOKUP($F58,Nominal_to_Real,'Input|Rate of change'!S$25:S$30),INDEX('Input|Rate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P58" s="127">
        <f>'Input|Step changes'!P19*IF('Input|Step changes'!$F19="nominal",LOOKUP($F58,Nominal_to_Real,'Input|Rate of change'!T$25:T$30),INDEX('Input|Rate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Q58" s="127">
        <f>'Input|Step changes'!Q19*IF('Input|Step changes'!$F19="nominal",LOOKUP($F58,Nominal_to_Real,'Input|Rate of change'!U$25:U$30),INDEX('Input|Rate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R58" s="127">
        <f>'Input|Step changes'!R19*IF('Input|Step changes'!$F19="nominal",LOOKUP($F58,Nominal_to_Real,'Input|Rate of change'!V$25:V$30),INDEX('Input|Rate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S58" s="127">
        <f>'Input|Step changes'!S19*IF('Input|Step changes'!$F19="nominal",LOOKUP($F58,Nominal_to_Real,'Input|Rate of change'!W$25:W$30),INDEX('Input|Rate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</row>
    <row r="59" spans="1:47" outlineLevel="1">
      <c r="C59" s="121">
        <f>'Input|Step changes'!C20</f>
        <v>0</v>
      </c>
      <c r="D59" s="110" t="s">
        <v>30</v>
      </c>
      <c r="E59" s="30" t="str">
        <f t="shared" si="4"/>
        <v>$millions</v>
      </c>
      <c r="F59" s="161">
        <f t="shared" si="5"/>
        <v>43617</v>
      </c>
      <c r="J59" s="127">
        <f>'Input|Step changes'!J20*IF('Input|Step changes'!$F20="nominal",LOOKUP($F59,Nominal_to_Real,'Input|Rate of change'!N$25:N$30),INDEX('Input|Rate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K59" s="127">
        <f>'Input|Step changes'!K20*IF('Input|Step changes'!$F20="nominal",LOOKUP($F59,Nominal_to_Real,'Input|Rate of change'!O$25:O$30),INDEX('Input|Rate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L59" s="127">
        <f>'Input|Step changes'!L20*IF('Input|Step changes'!$F20="nominal",LOOKUP($F59,Nominal_to_Real,'Input|Rate of change'!P$25:P$30),INDEX('Input|Rate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M59" s="127">
        <f>'Input|Step changes'!M20*IF('Input|Step changes'!$F20="nominal",LOOKUP($F59,Nominal_to_Real,'Input|Rate of change'!Q$25:Q$30),INDEX('Input|Rate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N59" s="127">
        <f>'Input|Step changes'!N20*IF('Input|Step changes'!$F20="nominal",LOOKUP($F59,Nominal_to_Real,'Input|Rate of change'!R$25:R$30),INDEX('Input|Rate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O59" s="127">
        <f>'Input|Step changes'!O20*IF('Input|Step changes'!$F20="nominal",LOOKUP($F59,Nominal_to_Real,'Input|Rate of change'!S$25:S$30),INDEX('Input|Rate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P59" s="127">
        <f>'Input|Step changes'!P20*IF('Input|Step changes'!$F20="nominal",LOOKUP($F59,Nominal_to_Real,'Input|Rate of change'!T$25:T$30),INDEX('Input|Rate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Q59" s="127">
        <f>'Input|Step changes'!Q20*IF('Input|Step changes'!$F20="nominal",LOOKUP($F59,Nominal_to_Real,'Input|Rate of change'!U$25:U$30),INDEX('Input|Rate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R59" s="127">
        <f>'Input|Step changes'!R20*IF('Input|Step changes'!$F20="nominal",LOOKUP($F59,Nominal_to_Real,'Input|Rate of change'!V$25:V$30),INDEX('Input|Rate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S59" s="127">
        <f>'Input|Step changes'!S20*IF('Input|Step changes'!$F20="nominal",LOOKUP($F59,Nominal_to_Real,'Input|Rate of change'!W$25:W$30),INDEX('Input|Rate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</row>
    <row r="60" spans="1:47" outlineLevel="1">
      <c r="C60" s="121"/>
      <c r="D60" s="110"/>
      <c r="F60" s="112"/>
      <c r="J60" s="174"/>
      <c r="K60" s="174"/>
      <c r="L60" s="174"/>
      <c r="M60" s="174"/>
      <c r="N60" s="174"/>
      <c r="O60" s="174"/>
      <c r="P60" s="174"/>
      <c r="Q60" s="174"/>
      <c r="R60" s="174"/>
      <c r="S60" s="174"/>
    </row>
    <row r="61" spans="1:47" outlineLevel="1">
      <c r="C61" s="113" t="s">
        <v>47</v>
      </c>
      <c r="D61" s="122" t="s">
        <v>30</v>
      </c>
      <c r="E61" s="122" t="str">
        <f>$E$8</f>
        <v>$millions</v>
      </c>
      <c r="F61" s="173">
        <f t="shared" si="5"/>
        <v>43617</v>
      </c>
      <c r="G61" s="32"/>
      <c r="H61" s="32"/>
      <c r="I61" s="32"/>
      <c r="J61" s="175">
        <f>SUM(J50:J60)</f>
        <v>0</v>
      </c>
      <c r="K61" s="175">
        <f t="shared" ref="K61:S61" si="6">SUM(K50:K60)</f>
        <v>0</v>
      </c>
      <c r="L61" s="175">
        <f t="shared" si="6"/>
        <v>0</v>
      </c>
      <c r="M61" s="175">
        <f t="shared" si="6"/>
        <v>0</v>
      </c>
      <c r="N61" s="175">
        <f t="shared" si="6"/>
        <v>0</v>
      </c>
      <c r="O61" s="175">
        <f t="shared" si="6"/>
        <v>1.3411185142118864</v>
      </c>
      <c r="P61" s="175">
        <f t="shared" si="6"/>
        <v>1.7726741984126984</v>
      </c>
      <c r="Q61" s="175">
        <f t="shared" si="6"/>
        <v>2.3688524353925517</v>
      </c>
      <c r="R61" s="175">
        <f t="shared" si="6"/>
        <v>2.1895219687491783</v>
      </c>
      <c r="S61" s="175">
        <f t="shared" si="6"/>
        <v>2.5362784965215726</v>
      </c>
    </row>
    <row r="62" spans="1:47">
      <c r="C62" s="123"/>
      <c r="D62" s="110"/>
      <c r="E62" s="110"/>
      <c r="F62" s="110"/>
      <c r="J62" s="107"/>
      <c r="K62" s="107"/>
      <c r="L62" s="107"/>
      <c r="M62" s="107"/>
      <c r="N62" s="23"/>
      <c r="O62" s="23"/>
      <c r="P62" s="23"/>
      <c r="Q62" s="23"/>
      <c r="R62" s="23"/>
      <c r="S62" s="23"/>
    </row>
    <row r="63" spans="1:47" s="103" customFormat="1" ht="13.2">
      <c r="A63" s="94"/>
      <c r="B63" s="95" t="s">
        <v>118</v>
      </c>
      <c r="C63" s="94"/>
      <c r="D63" s="94"/>
      <c r="E63" s="94"/>
      <c r="F63" s="96"/>
      <c r="G63" s="96"/>
      <c r="H63" s="96"/>
      <c r="I63" s="96"/>
      <c r="J63" s="97"/>
      <c r="K63" s="98"/>
      <c r="L63" s="97"/>
      <c r="M63" s="98"/>
      <c r="N63" s="97"/>
      <c r="O63" s="214"/>
      <c r="P63" s="97"/>
      <c r="Q63" s="97"/>
      <c r="R63" s="97"/>
      <c r="S63" s="97"/>
      <c r="T63" s="97"/>
      <c r="U63" s="97"/>
      <c r="V63" s="98"/>
      <c r="W63" s="98"/>
      <c r="X63" s="99"/>
      <c r="Y63" s="99"/>
      <c r="Z63" s="99"/>
      <c r="AA63" s="99"/>
      <c r="AB63" s="100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1:47" outlineLevel="1">
      <c r="C64" s="106"/>
      <c r="J64" s="107"/>
      <c r="K64" s="107"/>
      <c r="L64" s="107"/>
    </row>
    <row r="65" spans="1:47" outlineLevel="1">
      <c r="C65" s="67" t="s">
        <v>112</v>
      </c>
      <c r="D65" s="32" t="s">
        <v>7</v>
      </c>
      <c r="E65" s="32" t="s">
        <v>8</v>
      </c>
      <c r="F65" s="32" t="s">
        <v>22</v>
      </c>
      <c r="J65" s="163" t="str">
        <f>IF(YEAR(J$4)&gt;='Input|General'!$G$13,IF(YEAR(J$4)&lt;='Input|General'!$G$14,J$4,""),"")</f>
        <v/>
      </c>
      <c r="K65" s="163" t="str">
        <f>IF(YEAR(K$4)&gt;='Input|General'!$G$13,IF(YEAR(K$4)&lt;='Input|General'!$G$14,K$4,""),"")</f>
        <v/>
      </c>
      <c r="L65" s="163" t="str">
        <f>IF(YEAR(L$4)&gt;='Input|General'!$G$13,IF(YEAR(L$4)&lt;='Input|General'!$G$14,L$4,""),"")</f>
        <v/>
      </c>
      <c r="M65" s="163" t="str">
        <f>IF(YEAR(M$4)&gt;='Input|General'!$G$13,IF(YEAR(M$4)&lt;='Input|General'!$G$14,M$4,""),"")</f>
        <v/>
      </c>
      <c r="N65" s="163" t="str">
        <f>IF(YEAR(N$4)&gt;='Input|General'!$G$13,IF(YEAR(N$4)&lt;='Input|General'!$G$14,N$4,""),"")</f>
        <v/>
      </c>
      <c r="O65" s="163">
        <f>IF(YEAR(O$4)&gt;='Input|General'!$G$13,IF(YEAR(O$4)&lt;='Input|General'!$G$14,O$4,""),"")</f>
        <v>43983</v>
      </c>
      <c r="P65" s="163">
        <f>IF(YEAR(P$4)&gt;='Input|General'!$G$13,IF(YEAR(P$4)&lt;='Input|General'!$G$14,P$4,""),"")</f>
        <v>44348</v>
      </c>
      <c r="Q65" s="163">
        <f>IF(YEAR(Q$4)&gt;='Input|General'!$G$13,IF(YEAR(Q$4)&lt;='Input|General'!$G$14,Q$4,""),"")</f>
        <v>44713</v>
      </c>
      <c r="R65" s="163">
        <f>IF(YEAR(R$4)&gt;='Input|General'!$G$13,IF(YEAR(R$4)&lt;='Input|General'!$G$14,R$4,""),"")</f>
        <v>45078</v>
      </c>
      <c r="S65" s="163">
        <f>IF(YEAR(S$4)&gt;='Input|General'!$G$13,IF(YEAR(S$4)&lt;='Input|General'!$G$14,S$4,""),"")</f>
        <v>45444</v>
      </c>
    </row>
    <row r="66" spans="1:47" outlineLevel="1">
      <c r="C66" s="67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1:47" outlineLevel="1">
      <c r="C67" s="121">
        <f>'Input|Step changes'!C28</f>
        <v>0</v>
      </c>
      <c r="D67" s="110" t="s">
        <v>30</v>
      </c>
      <c r="E67" s="30" t="str">
        <f t="shared" si="4"/>
        <v>$millions</v>
      </c>
      <c r="F67" s="161">
        <f t="shared" ref="F67:F69" si="7">$F$8</f>
        <v>43617</v>
      </c>
      <c r="J67" s="127">
        <f>'Input|Step changes'!J28*IF('Input|Step changes'!$F28="nominal",LOOKUP($F67,Nominal_to_Real,'Input|Rate of change'!N$25:N$30),INDEX('Input|Rate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K67" s="127">
        <f>'Input|Step changes'!K28*IF('Input|Step changes'!$F28="nominal",LOOKUP($F67,Nominal_to_Real,'Input|Rate of change'!O$25:O$30),INDEX('Input|Rate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L67" s="127">
        <f>'Input|Step changes'!L28*IF('Input|Step changes'!$F28="nominal",LOOKUP($F67,Nominal_to_Real,'Input|Rate of change'!P$25:P$30),INDEX('Input|Rate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M67" s="127">
        <f>'Input|Step changes'!M28*IF('Input|Step changes'!$F28="nominal",LOOKUP($F67,Nominal_to_Real,'Input|Rate of change'!Q$25:Q$30),INDEX('Input|Rate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N67" s="127">
        <f>'Input|Step changes'!N28*IF('Input|Step changes'!$F28="nominal",LOOKUP($F67,Nominal_to_Real,'Input|Rate of change'!R$25:R$30),INDEX('Input|Rate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O67" s="127">
        <f>'Input|Step changes'!O28*IF('Input|Step changes'!$F28="nominal",LOOKUP($F67,Nominal_to_Real,'Input|Rate of change'!S$25:S$30),INDEX('Input|Rate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P67" s="127">
        <f>'Input|Step changes'!P28*IF('Input|Step changes'!$F28="nominal",LOOKUP($F67,Nominal_to_Real,'Input|Rate of change'!T$25:T$30),INDEX('Input|Rate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Q67" s="127">
        <f>'Input|Step changes'!Q28*IF('Input|Step changes'!$F28="nominal",LOOKUP($F67,Nominal_to_Real,'Input|Rate of change'!U$25:U$30),INDEX('Input|Rate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R67" s="127">
        <f>'Input|Step changes'!R28*IF('Input|Step changes'!$F28="nominal",LOOKUP($F67,Nominal_to_Real,'Input|Rate of change'!V$25:V$30),INDEX('Input|Rate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S67" s="127">
        <f>'Input|Step changes'!S28*IF('Input|Step changes'!$F28="nominal",LOOKUP($F67,Nominal_to_Real,'Input|Rate of change'!W$25:W$30),INDEX('Input|Rate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</row>
    <row r="68" spans="1:47" outlineLevel="1">
      <c r="C68" s="121">
        <f>'Input|Step changes'!C29</f>
        <v>0</v>
      </c>
      <c r="D68" s="110" t="s">
        <v>30</v>
      </c>
      <c r="E68" s="30" t="str">
        <f t="shared" si="4"/>
        <v>$millions</v>
      </c>
      <c r="F68" s="161">
        <f t="shared" si="7"/>
        <v>43617</v>
      </c>
      <c r="J68" s="127">
        <f>'Input|Step changes'!J29*IF('Input|Step changes'!$F29="nominal",LOOKUP($F68,Nominal_to_Real,'Input|Rate of change'!N$25:N$30),INDEX('Input|Rate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K68" s="127">
        <f>'Input|Step changes'!K29*IF('Input|Step changes'!$F29="nominal",LOOKUP($F68,Nominal_to_Real,'Input|Rate of change'!O$25:O$30),INDEX('Input|Rate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L68" s="127">
        <f>'Input|Step changes'!L29*IF('Input|Step changes'!$F29="nominal",LOOKUP($F68,Nominal_to_Real,'Input|Rate of change'!P$25:P$30),INDEX('Input|Rate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M68" s="127">
        <f>'Input|Step changes'!M29*IF('Input|Step changes'!$F29="nominal",LOOKUP($F68,Nominal_to_Real,'Input|Rate of change'!Q$25:Q$30),INDEX('Input|Rate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N68" s="127">
        <f>'Input|Step changes'!N29*IF('Input|Step changes'!$F29="nominal",LOOKUP($F68,Nominal_to_Real,'Input|Rate of change'!R$25:R$30),INDEX('Input|Rate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O68" s="127">
        <f>'Input|Step changes'!O29*IF('Input|Step changes'!$F29="nominal",LOOKUP($F68,Nominal_to_Real,'Input|Rate of change'!S$25:S$30),INDEX('Input|Rate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P68" s="127">
        <f>'Input|Step changes'!P29*IF('Input|Step changes'!$F29="nominal",LOOKUP($F68,Nominal_to_Real,'Input|Rate of change'!T$25:T$30),INDEX('Input|Rate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Q68" s="127">
        <f>'Input|Step changes'!Q29*IF('Input|Step changes'!$F29="nominal",LOOKUP($F68,Nominal_to_Real,'Input|Rate of change'!U$25:U$30),INDEX('Input|Rate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R68" s="127">
        <f>'Input|Step changes'!R29*IF('Input|Step changes'!$F29="nominal",LOOKUP($F68,Nominal_to_Real,'Input|Rate of change'!V$25:V$30),INDEX('Input|Rate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S68" s="127">
        <f>'Input|Step changes'!S29*IF('Input|Step changes'!$F29="nominal",LOOKUP($F68,Nominal_to_Real,'Input|Rate of change'!W$25:W$30),INDEX('Input|Rate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</row>
    <row r="69" spans="1:47" outlineLevel="1">
      <c r="C69" s="121">
        <f>'Input|Step changes'!C30</f>
        <v>0</v>
      </c>
      <c r="D69" s="110" t="s">
        <v>30</v>
      </c>
      <c r="E69" s="30" t="str">
        <f t="shared" si="4"/>
        <v>$millions</v>
      </c>
      <c r="F69" s="161">
        <f t="shared" si="7"/>
        <v>43617</v>
      </c>
      <c r="J69" s="127">
        <f>'Input|Step changes'!J30*IF('Input|Step changes'!$F30="nominal",LOOKUP($F69,Nominal_to_Real,'Input|Rate of change'!N$25:N$30),INDEX('Input|Rate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K69" s="127">
        <f>'Input|Step changes'!K30*IF('Input|Step changes'!$F30="nominal",LOOKUP($F69,Nominal_to_Real,'Input|Rate of change'!O$25:O$30),INDEX('Input|Rate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L69" s="127">
        <f>'Input|Step changes'!L30*IF('Input|Step changes'!$F30="nominal",LOOKUP($F69,Nominal_to_Real,'Input|Rate of change'!P$25:P$30),INDEX('Input|Rate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M69" s="127">
        <f>'Input|Step changes'!M30*IF('Input|Step changes'!$F30="nominal",LOOKUP($F69,Nominal_to_Real,'Input|Rate of change'!Q$25:Q$30),INDEX('Input|Rate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N69" s="127">
        <f>'Input|Step changes'!N30*IF('Input|Step changes'!$F30="nominal",LOOKUP($F69,Nominal_to_Real,'Input|Rate of change'!R$25:R$30),INDEX('Input|Rate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O69" s="127">
        <f>'Input|Step changes'!O30*IF('Input|Step changes'!$F30="nominal",LOOKUP($F69,Nominal_to_Real,'Input|Rate of change'!S$25:S$30),INDEX('Input|Rate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P69" s="127">
        <f>'Input|Step changes'!P30*IF('Input|Step changes'!$F30="nominal",LOOKUP($F69,Nominal_to_Real,'Input|Rate of change'!T$25:T$30),INDEX('Input|Rate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Q69" s="127">
        <f>'Input|Step changes'!Q30*IF('Input|Step changes'!$F30="nominal",LOOKUP($F69,Nominal_to_Real,'Input|Rate of change'!U$25:U$30),INDEX('Input|Rate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R69" s="127">
        <f>'Input|Step changes'!R30*IF('Input|Step changes'!$F30="nominal",LOOKUP($F69,Nominal_to_Real,'Input|Rate of change'!V$25:V$30),INDEX('Input|Rate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S69" s="127">
        <f>'Input|Step changes'!S30*IF('Input|Step changes'!$F30="nominal",LOOKUP($F69,Nominal_to_Real,'Input|Rate of change'!W$25:W$30),INDEX('Input|Rate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</row>
    <row r="70" spans="1:47" outlineLevel="1">
      <c r="C70" s="121"/>
      <c r="D70" s="108"/>
      <c r="F70" s="112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47" outlineLevel="1">
      <c r="C71" s="113" t="s">
        <v>119</v>
      </c>
      <c r="D71" s="122" t="s">
        <v>30</v>
      </c>
      <c r="E71" s="122" t="str">
        <f>$E$8</f>
        <v>$millions</v>
      </c>
      <c r="F71" s="173">
        <f t="shared" ref="F71" si="8">$F$8</f>
        <v>43617</v>
      </c>
      <c r="G71" s="32"/>
      <c r="H71" s="32"/>
      <c r="I71" s="32"/>
      <c r="J71" s="128">
        <f>SUM(J66:J70)</f>
        <v>0</v>
      </c>
      <c r="K71" s="128">
        <f t="shared" ref="K71:S71" si="9">SUM(K66:K70)</f>
        <v>0</v>
      </c>
      <c r="L71" s="128">
        <f t="shared" si="9"/>
        <v>0</v>
      </c>
      <c r="M71" s="128">
        <f t="shared" si="9"/>
        <v>0</v>
      </c>
      <c r="N71" s="128">
        <f t="shared" si="9"/>
        <v>0</v>
      </c>
      <c r="O71" s="128">
        <f t="shared" si="9"/>
        <v>0</v>
      </c>
      <c r="P71" s="128">
        <f t="shared" si="9"/>
        <v>0</v>
      </c>
      <c r="Q71" s="128">
        <f t="shared" si="9"/>
        <v>0</v>
      </c>
      <c r="R71" s="128">
        <f t="shared" si="9"/>
        <v>0</v>
      </c>
      <c r="S71" s="128">
        <f t="shared" si="9"/>
        <v>0</v>
      </c>
    </row>
    <row r="72" spans="1:47">
      <c r="C72" s="123"/>
      <c r="D72" s="110"/>
      <c r="E72" s="110"/>
      <c r="F72" s="110"/>
      <c r="J72" s="107"/>
      <c r="K72" s="107"/>
      <c r="L72" s="107"/>
      <c r="M72" s="107"/>
      <c r="N72" s="23"/>
      <c r="O72" s="23"/>
      <c r="P72" s="23"/>
      <c r="Q72" s="23"/>
      <c r="R72" s="23"/>
      <c r="S72" s="23"/>
    </row>
    <row r="73" spans="1:47" s="103" customFormat="1" ht="13.2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outlineLevel="1">
      <c r="C75" s="67"/>
      <c r="J75" s="163" t="str">
        <f>IF(YEAR(J$4)&gt;='Input|General'!$G$13,IF(YEAR(J$4)&lt;='Input|General'!$G$14,J$4,""),"")</f>
        <v/>
      </c>
      <c r="K75" s="163" t="str">
        <f>IF(YEAR(K$4)&gt;='Input|General'!$G$13,IF(YEAR(K$4)&lt;='Input|General'!$G$14,K$4,""),"")</f>
        <v/>
      </c>
      <c r="L75" s="163" t="str">
        <f>IF(YEAR(L$4)&gt;='Input|General'!$G$13,IF(YEAR(L$4)&lt;='Input|General'!$G$14,L$4,""),"")</f>
        <v/>
      </c>
      <c r="M75" s="163" t="str">
        <f>IF(YEAR(M$4)&gt;='Input|General'!$G$13,IF(YEAR(M$4)&lt;='Input|General'!$G$14,M$4,""),"")</f>
        <v/>
      </c>
      <c r="N75" s="163" t="str">
        <f>IF(YEAR(N$4)&gt;='Input|General'!$G$13,IF(YEAR(N$4)&lt;='Input|General'!$G$14,N$4,""),"")</f>
        <v/>
      </c>
      <c r="O75" s="163">
        <f>IF(YEAR(O$4)&gt;='Input|General'!$G$13,IF(YEAR(O$4)&lt;='Input|General'!$G$14,O$4,""),"")</f>
        <v>43983</v>
      </c>
      <c r="P75" s="163">
        <f>IF(YEAR(P$4)&gt;='Input|General'!$G$13,IF(YEAR(P$4)&lt;='Input|General'!$G$14,P$4,""),"")</f>
        <v>44348</v>
      </c>
      <c r="Q75" s="163">
        <f>IF(YEAR(Q$4)&gt;='Input|General'!$G$13,IF(YEAR(Q$4)&lt;='Input|General'!$G$14,Q$4,""),"")</f>
        <v>44713</v>
      </c>
      <c r="R75" s="163">
        <f>IF(YEAR(R$4)&gt;='Input|General'!$G$13,IF(YEAR(R$4)&lt;='Input|General'!$G$14,R$4,""),"")</f>
        <v>45078</v>
      </c>
      <c r="S75" s="163">
        <f>IF(YEAR(S$4)&gt;='Input|General'!$G$13,IF(YEAR(S$4)&lt;='Input|General'!$G$14,S$4,""),"")</f>
        <v>45444</v>
      </c>
    </row>
    <row r="76" spans="1:47" outlineLevel="1">
      <c r="C76" s="124"/>
      <c r="D76" s="110"/>
      <c r="E76" s="110"/>
      <c r="F76" s="110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47" outlineLevel="1">
      <c r="C77" s="123" t="s">
        <v>135</v>
      </c>
      <c r="D77" s="126" t="s">
        <v>30</v>
      </c>
      <c r="E77" s="126" t="str">
        <f t="shared" ref="E77:E85" si="10">$E$8</f>
        <v>$millions</v>
      </c>
      <c r="F77" s="173">
        <f t="shared" ref="F77:F85" si="11">$F$8</f>
        <v>43617</v>
      </c>
      <c r="J77" s="151" t="str">
        <f>IF(YEAR(J$4)&gt;=FPFirstYear,IF(YEAR(J$4)&lt;=FPLastYear,IF(ISBLANK(J75),"",(1+J45)*SUM(#REF!)+J61),""),"")</f>
        <v/>
      </c>
      <c r="K77" s="151" t="str">
        <f>IF(YEAR(K$4)&gt;=FPFirstYear,IF(YEAR(K$4)&lt;=FPLastYear,IF(ISBLANK(K75),"",(1+K45)*SUM(#REF!)+K61),""),"")</f>
        <v/>
      </c>
      <c r="L77" s="151" t="str">
        <f>IF(YEAR(L$4)&gt;=FPFirstYear,IF(YEAR(L$4)&lt;=FPLastYear,IF(ISBLANK(L75),"",(1+L45)*SUM(#REF!)+L61),""),"")</f>
        <v/>
      </c>
      <c r="M77" s="151" t="str">
        <f>IF(YEAR(M$4)&gt;=FPFirstYear,IF(YEAR(M$4)&lt;=FPLastYear,IF(ISBLANK(M75),"",(1+M45)*SUM(#REF!)+M61),""),"")</f>
        <v/>
      </c>
      <c r="N77" s="151" t="str">
        <f>IF(YEAR(N$4)&gt;=FPFirstYear,IF(YEAR(N$4)&lt;=FPLastYear,IF(ISBLANK(N75),"",(1+N45)*SUM(#REF!)+N61),""),"")</f>
        <v/>
      </c>
      <c r="O77" s="151">
        <f>IF(YEAR(O$4)&gt;=FPFirstYear,IF(YEAR(O$4)&lt;=FPLastYear,IF(ISBLANK(O75),"",(1+O45)*SUM($J31:$S31)+O61),""),"")</f>
        <v>454.5834005099868</v>
      </c>
      <c r="P77" s="151">
        <f>IF(YEAR(P$4)&gt;=FPFirstYear,IF(YEAR(P$4)&lt;=FPLastYear,IF(ISBLANK(P75),"",(1+P45)*SUM($J31:$S31)+P61),""),"")</f>
        <v>454.91552199525012</v>
      </c>
      <c r="Q77" s="151">
        <f>IF(YEAR(Q$4)&gt;=FPFirstYear,IF(YEAR(Q$4)&lt;=FPLastYear,IF(ISBLANK(Q75),"",(1+Q45)*SUM($J31:$S31)+Q61),""),"")</f>
        <v>456.64178496663936</v>
      </c>
      <c r="R77" s="151">
        <f>IF(YEAR(R$4)&gt;=FPFirstYear,IF(YEAR(R$4)&lt;=FPLastYear,IF(ISBLANK(R75),"",(1+R45)*SUM($J31:$S31)+R61),""),"")</f>
        <v>458.41668787344543</v>
      </c>
      <c r="S77" s="151">
        <f>IF(YEAR(S$4)&gt;=FPFirstYear,IF(YEAR(S$4)&lt;=FPLastYear,IF(ISBLANK(S75),"",(1+S45)*SUM($J31:$S31)+S61),""),"")</f>
        <v>460.10545707016087</v>
      </c>
      <c r="V77" s="131" t="str">
        <f>IF(SUM(O78:S79)=SUM(O77:S77),"Ok","Check")</f>
        <v>Ok</v>
      </c>
    </row>
    <row r="78" spans="1:47" outlineLevel="1">
      <c r="C78" s="219" t="s">
        <v>177</v>
      </c>
      <c r="D78" s="110" t="s">
        <v>30</v>
      </c>
      <c r="E78" s="110" t="str">
        <f t="shared" si="10"/>
        <v>$millions</v>
      </c>
      <c r="F78" s="161">
        <f t="shared" si="11"/>
        <v>43617</v>
      </c>
      <c r="J78" s="220" t="str">
        <f>IF(YEAR(J$4)&gt;=FPFirstYear,IF(YEAR(J$4)&lt;=FPLastYear,IF(ISBLANK(J75),"",(1+J45)*SUM($J31:$S31)*'Input|Dx Tx split'!J12+J61),""),"")</f>
        <v/>
      </c>
      <c r="K78" s="220" t="str">
        <f>IF(YEAR(K$4)&gt;=FPFirstYear,IF(YEAR(K$4)&lt;=FPLastYear,IF(ISBLANK(K75),"",(1+K45)*SUM($J31:$S31)*'Input|Dx Tx split'!K12+K61),""),"")</f>
        <v/>
      </c>
      <c r="L78" s="220" t="str">
        <f>IF(YEAR(L$4)&gt;=FPFirstYear,IF(YEAR(L$4)&lt;=FPLastYear,IF(ISBLANK(L75),"",(1+L45)*SUM($J31:$S31)*'Input|Dx Tx split'!L12+L61),""),"")</f>
        <v/>
      </c>
      <c r="M78" s="220" t="str">
        <f>IF(YEAR(M$4)&gt;=FPFirstYear,IF(YEAR(M$4)&lt;=FPLastYear,IF(ISBLANK(M75),"",(1+M45)*SUM($J31:$S31)*'Input|Dx Tx split'!M12+M61),""),"")</f>
        <v/>
      </c>
      <c r="N78" s="220" t="str">
        <f>IF(YEAR(N$4)&gt;=FPFirstYear,IF(YEAR(N$4)&lt;=FPLastYear,IF(ISBLANK(N75),"",(1+N45)*SUM($J31:$S31)*'Input|Dx Tx split'!N12+N61),""),"")</f>
        <v/>
      </c>
      <c r="O78" s="220">
        <f>IF(YEAR(O$4)&gt;=FPFirstYear,IF(YEAR(O$4)&lt;=FPLastYear,IF(ISBLANK(O75),"",(1+O45)*SUM($J31:$S31)*'Input|Dx Tx split'!O12+O61),""),"")</f>
        <v>419.69624315273069</v>
      </c>
      <c r="P78" s="220">
        <f>IF(YEAR(P$4)&gt;=FPFirstYear,IF(YEAR(P$4)&lt;=FPLastYear,IF(ISBLANK(P75),"",(1+P45)*SUM($J31:$S31)*'Input|Dx Tx split'!P12+P61),""),"")</f>
        <v>420.03601832937017</v>
      </c>
      <c r="Q78" s="220">
        <f>IF(YEAR(Q$4)&gt;=FPFirstYear,IF(YEAR(Q$4)&lt;=FPLastYear,IF(ISBLANK(Q75),"",(1+Q45)*SUM($J31:$S31)*'Input|Dx Tx split'!Q12+Q61),""),"")</f>
        <v>421.67529593879635</v>
      </c>
      <c r="R78" s="220">
        <f>IF(YEAR(R$4)&gt;=FPFirstYear,IF(YEAR(R$4)&lt;=FPLastYear,IF(ISBLANK(R75),"",(1+R45)*SUM($J31:$S31)*'Input|Dx Tx split'!R12+R61),""),"")</f>
        <v>423.29977676469656</v>
      </c>
      <c r="S78" s="220">
        <f>IF(YEAR(S$4)&gt;=FPFirstYear,IF(YEAR(S$4)&lt;=FPLastYear,IF(ISBLANK(S75),"",(1+S45)*SUM($J31:$S31)*'Input|Dx Tx split'!S12+S61),""),"")</f>
        <v>424.88524799249637</v>
      </c>
    </row>
    <row r="79" spans="1:47" outlineLevel="1">
      <c r="C79" s="219" t="s">
        <v>178</v>
      </c>
      <c r="D79" s="110" t="s">
        <v>30</v>
      </c>
      <c r="E79" s="110" t="str">
        <f t="shared" si="10"/>
        <v>$millions</v>
      </c>
      <c r="F79" s="161">
        <f t="shared" si="11"/>
        <v>43617</v>
      </c>
      <c r="J79" s="220" t="str">
        <f>IF(YEAR(J$4)&gt;=FPFirstYear,IF(YEAR(J$4)&lt;=FPLastYear,IF(ISBLANK(J75),"",(1+J45)*SUM($J31:$S31)*'Input|Dx Tx split'!J13),""),"")</f>
        <v/>
      </c>
      <c r="K79" s="220" t="str">
        <f>IF(YEAR(K$4)&gt;=FPFirstYear,IF(YEAR(K$4)&lt;=FPLastYear,IF(ISBLANK(K75),"",(1+K45)*SUM($J31:$S31)*'Input|Dx Tx split'!K13),""),"")</f>
        <v/>
      </c>
      <c r="L79" s="220" t="str">
        <f>IF(YEAR(L$4)&gt;=FPFirstYear,IF(YEAR(L$4)&lt;=FPLastYear,IF(ISBLANK(L75),"",(1+L45)*SUM($J31:$S31)*'Input|Dx Tx split'!L13),""),"")</f>
        <v/>
      </c>
      <c r="M79" s="220" t="str">
        <f>IF(YEAR(M$4)&gt;=FPFirstYear,IF(YEAR(M$4)&lt;=FPLastYear,IF(ISBLANK(M75),"",(1+M45)*SUM($J31:$S31)*'Input|Dx Tx split'!M13),""),"")</f>
        <v/>
      </c>
      <c r="N79" s="220" t="str">
        <f>IF(YEAR(N$4)&gt;=FPFirstYear,IF(YEAR(N$4)&lt;=FPLastYear,IF(ISBLANK(N75),"",(1+N45)*SUM($J31:$S31)*'Input|Dx Tx split'!N13),""),"")</f>
        <v/>
      </c>
      <c r="O79" s="220">
        <f>IF(YEAR(O$4)&gt;=FPFirstYear,IF(YEAR(O$4)&lt;=FPLastYear,IF(ISBLANK(O75),"",(1+O45)*SUM($J31:$S31)*'Input|Dx Tx split'!O13),""),"")</f>
        <v>34.887157357256179</v>
      </c>
      <c r="P79" s="220">
        <f>IF(YEAR(P$4)&gt;=FPFirstYear,IF(YEAR(P$4)&lt;=FPLastYear,IF(ISBLANK(P75),"",(1+P45)*SUM($J31:$S31)*'Input|Dx Tx split'!P13),""),"")</f>
        <v>34.879503665880016</v>
      </c>
      <c r="Q79" s="220">
        <f>IF(YEAR(Q$4)&gt;=FPFirstYear,IF(YEAR(Q$4)&lt;=FPLastYear,IF(ISBLANK(Q75),"",(1+Q45)*SUM($J31:$S31)*'Input|Dx Tx split'!Q13),""),"")</f>
        <v>34.966489027843089</v>
      </c>
      <c r="R79" s="220">
        <f>IF(YEAR(R$4)&gt;=FPFirstYear,IF(YEAR(R$4)&lt;=FPLastYear,IF(ISBLANK(R75),"",(1+R45)*SUM($J31:$S31)*'Input|Dx Tx split'!R13),""),"")</f>
        <v>35.116911108748965</v>
      </c>
      <c r="S79" s="220">
        <f>IF(YEAR(S$4)&gt;=FPFirstYear,IF(YEAR(S$4)&lt;=FPLastYear,IF(ISBLANK(S75),"",(1+S45)*SUM($J31:$S31)*'Input|Dx Tx split'!S13),""),"")</f>
        <v>35.220209077664592</v>
      </c>
    </row>
    <row r="80" spans="1:47" outlineLevel="1">
      <c r="C80" s="123" t="s">
        <v>110</v>
      </c>
      <c r="D80" s="126" t="s">
        <v>30</v>
      </c>
      <c r="E80" s="126" t="str">
        <f t="shared" si="10"/>
        <v>$millions</v>
      </c>
      <c r="F80" s="173">
        <f t="shared" si="11"/>
        <v>43617</v>
      </c>
      <c r="J80" s="151" t="str">
        <f>IF(YEAR(J$4)&gt;=FPFirstYear,IF(YEAR(J$4)&lt;=FPLastYear,IF(ISBLANK(J75),"",(1+J45)*SUM(#REF!)+J61+J71),""),"")</f>
        <v/>
      </c>
      <c r="K80" s="151" t="str">
        <f>IF(YEAR(K$4)&gt;=FPFirstYear,IF(YEAR(K$4)&lt;=FPLastYear,IF(ISBLANK(K75),"",(1+K45)*SUM(#REF!)+K61+K71),""),"")</f>
        <v/>
      </c>
      <c r="L80" s="151" t="str">
        <f>IF(YEAR(L$4)&gt;=FPFirstYear,IF(YEAR(L$4)&lt;=FPLastYear,IF(ISBLANK(L75),"",(1+L45)*SUM(#REF!)+L61+L71),""),"")</f>
        <v/>
      </c>
      <c r="M80" s="151" t="str">
        <f>IF(YEAR(M$4)&gt;=FPFirstYear,IF(YEAR(M$4)&lt;=FPLastYear,IF(ISBLANK(M75),"",(1+M45)*SUM(#REF!)+M61+M71),""),"")</f>
        <v/>
      </c>
      <c r="N80" s="151" t="str">
        <f>IF(YEAR(N$4)&gt;=FPFirstYear,IF(YEAR(N$4)&lt;=FPLastYear,IF(ISBLANK(N75),"",(1+N45)*SUM(#REF!)+N61+N71),""),"")</f>
        <v/>
      </c>
      <c r="O80" s="151">
        <f>IF(YEAR(O$4)&gt;=FPFirstYear,IF(YEAR(O$4)&lt;=FPLastYear,IF(ISBLANK(O75),"",(1+O45)*SUM($J31:$S31)+O61+O71),""),"")</f>
        <v>454.5834005099868</v>
      </c>
      <c r="P80" s="151">
        <f>IF(YEAR(P$4)&gt;=FPFirstYear,IF(YEAR(P$4)&lt;=FPLastYear,IF(ISBLANK(P75),"",(1+P45)*SUM($J31:$S31)+P61+P71),""),"")</f>
        <v>454.91552199525012</v>
      </c>
      <c r="Q80" s="151">
        <f>IF(YEAR(Q$4)&gt;=FPFirstYear,IF(YEAR(Q$4)&lt;=FPLastYear,IF(ISBLANK(Q75),"",(1+Q45)*SUM($J31:$S31)+Q61+Q71),""),"")</f>
        <v>456.64178496663936</v>
      </c>
      <c r="R80" s="151">
        <f>IF(YEAR(R$4)&gt;=FPFirstYear,IF(YEAR(R$4)&lt;=FPLastYear,IF(ISBLANK(R75),"",(1+R45)*SUM($J31:$S31)+R61+R71),""),"")</f>
        <v>458.41668787344543</v>
      </c>
      <c r="S80" s="151">
        <f>IF(YEAR(S$4)&gt;=FPFirstYear,IF(YEAR(S$4)&lt;=FPLastYear,IF(ISBLANK(S75),"",(1+S45)*SUM($J31:$S31)+S61+S71),""),"")</f>
        <v>460.10545707016087</v>
      </c>
      <c r="V80" s="131" t="str">
        <f>IF(SUM(O81:S82)=SUM(O80:S80),"Ok","Check")</f>
        <v>Ok</v>
      </c>
    </row>
    <row r="81" spans="1:47" outlineLevel="1">
      <c r="C81" s="219" t="s">
        <v>177</v>
      </c>
      <c r="D81" s="110" t="s">
        <v>30</v>
      </c>
      <c r="E81" s="110" t="str">
        <f t="shared" si="10"/>
        <v>$millions</v>
      </c>
      <c r="F81" s="161">
        <f t="shared" si="11"/>
        <v>43617</v>
      </c>
      <c r="J81" s="151"/>
      <c r="K81" s="151"/>
      <c r="L81" s="151"/>
      <c r="M81" s="151"/>
      <c r="N81" s="151"/>
      <c r="O81" s="220">
        <f>O78+O71</f>
        <v>419.69624315273069</v>
      </c>
      <c r="P81" s="220">
        <f t="shared" ref="P81:S81" si="12">P78+P71</f>
        <v>420.03601832937017</v>
      </c>
      <c r="Q81" s="220">
        <f t="shared" si="12"/>
        <v>421.67529593879635</v>
      </c>
      <c r="R81" s="220">
        <f t="shared" si="12"/>
        <v>423.29977676469656</v>
      </c>
      <c r="S81" s="220">
        <f t="shared" si="12"/>
        <v>424.88524799249637</v>
      </c>
    </row>
    <row r="82" spans="1:47" outlineLevel="1">
      <c r="C82" s="219" t="s">
        <v>178</v>
      </c>
      <c r="D82" s="110" t="s">
        <v>30</v>
      </c>
      <c r="E82" s="110" t="str">
        <f t="shared" si="10"/>
        <v>$millions</v>
      </c>
      <c r="F82" s="161">
        <f t="shared" si="11"/>
        <v>43617</v>
      </c>
      <c r="J82" s="151"/>
      <c r="K82" s="151"/>
      <c r="L82" s="151"/>
      <c r="M82" s="151"/>
      <c r="N82" s="151"/>
      <c r="O82" s="220">
        <f>O79</f>
        <v>34.887157357256179</v>
      </c>
      <c r="P82" s="220">
        <f t="shared" ref="P82:S82" si="13">P79</f>
        <v>34.879503665880016</v>
      </c>
      <c r="Q82" s="220">
        <f t="shared" si="13"/>
        <v>34.966489027843089</v>
      </c>
      <c r="R82" s="220">
        <f t="shared" si="13"/>
        <v>35.116911108748965</v>
      </c>
      <c r="S82" s="220">
        <f t="shared" si="13"/>
        <v>35.220209077664592</v>
      </c>
    </row>
    <row r="83" spans="1:47" outlineLevel="1">
      <c r="C83" s="123" t="s">
        <v>111</v>
      </c>
      <c r="D83" s="126" t="s">
        <v>30</v>
      </c>
      <c r="E83" s="126" t="str">
        <f t="shared" si="10"/>
        <v>$millions</v>
      </c>
      <c r="F83" s="173">
        <f t="shared" si="11"/>
        <v>43617</v>
      </c>
      <c r="J83" s="151" t="str">
        <f>IF(YEAR(J$4)&gt;=FPFirstYear,IF(YEAR(J$4)&lt;=FPLastYear,J80+'Input|Step changes'!J38,""),"")</f>
        <v/>
      </c>
      <c r="K83" s="151" t="str">
        <f>IF(YEAR(K$4)&gt;=FPFirstYear,IF(YEAR(K$4)&lt;=FPLastYear,K80+'Input|Step changes'!K38,""),"")</f>
        <v/>
      </c>
      <c r="L83" s="151" t="str">
        <f>IF(YEAR(L$4)&gt;=FPFirstYear,IF(YEAR(L$4)&lt;=FPLastYear,L80+'Input|Step changes'!L38,""),"")</f>
        <v/>
      </c>
      <c r="M83" s="151" t="str">
        <f>IF(YEAR(M$4)&gt;=FPFirstYear,IF(YEAR(M$4)&lt;=FPLastYear,M80+'Input|Step changes'!M38,""),"")</f>
        <v/>
      </c>
      <c r="N83" s="151" t="str">
        <f>IF(YEAR(N$4)&gt;=FPFirstYear,IF(YEAR(N$4)&lt;=FPLastYear,N80+'Input|Step changes'!N38,""),"")</f>
        <v/>
      </c>
      <c r="O83" s="151">
        <f>IF(YEAR(O$4)&gt;=FPFirstYear,IF(YEAR(O$4)&lt;=FPLastYear,O80+'Input|Step changes'!O38+'Input|Step changes'!O39,""),"")</f>
        <v>462.34453003191913</v>
      </c>
      <c r="P83" s="151">
        <f>IF(YEAR(P$4)&gt;=FPFirstYear,IF(YEAR(P$4)&lt;=FPLastYear,P80+'Input|Step changes'!P38+'Input|Step changes'!P39,""),"")</f>
        <v>462.76001521071169</v>
      </c>
      <c r="Q83" s="151">
        <f>IF(YEAR(Q$4)&gt;=FPFirstYear,IF(YEAR(Q$4)&lt;=FPLastYear,Q80+'Input|Step changes'!Q38+'Input|Step changes'!Q39,""),"")</f>
        <v>464.51695538729467</v>
      </c>
      <c r="R83" s="151">
        <f>IF(YEAR(R$4)&gt;=FPFirstYear,IF(YEAR(R$4)&lt;=FPLastYear,R80+'Input|Step changes'!R38+'Input|Step changes'!R39,""),"")</f>
        <v>466.27285497632477</v>
      </c>
      <c r="S83" s="151">
        <f>IF(YEAR(S$4)&gt;=FPFirstYear,IF(YEAR(S$4)&lt;=FPLastYear,S80+'Input|Step changes'!S38+'Input|Step changes'!S39,""),"")</f>
        <v>467.93531391512988</v>
      </c>
      <c r="V83" s="131" t="str">
        <f>IF(SUM(O84:S85)=SUM(O83:S83),"Ok","Check")</f>
        <v>Ok</v>
      </c>
    </row>
    <row r="84" spans="1:47" outlineLevel="1">
      <c r="C84" s="219" t="s">
        <v>177</v>
      </c>
      <c r="D84" s="110" t="s">
        <v>30</v>
      </c>
      <c r="E84" s="110" t="str">
        <f t="shared" si="10"/>
        <v>$millions</v>
      </c>
      <c r="F84" s="161">
        <f t="shared" si="11"/>
        <v>43617</v>
      </c>
      <c r="J84" s="151"/>
      <c r="K84" s="151"/>
      <c r="L84" s="151"/>
      <c r="M84" s="151"/>
      <c r="N84" s="151"/>
      <c r="O84" s="220">
        <f>O81+'Input|Step changes'!O38</f>
        <v>426.51492129229268</v>
      </c>
      <c r="P84" s="220">
        <f>P81+'Input|Step changes'!P38</f>
        <v>426.93158578750638</v>
      </c>
      <c r="Q84" s="220">
        <f>Q81+'Input|Step changes'!Q38</f>
        <v>428.59842894872332</v>
      </c>
      <c r="R84" s="220">
        <f>R81+'Input|Step changes'!R38</f>
        <v>430.21211413805105</v>
      </c>
      <c r="S84" s="220">
        <f>S81+'Input|Step changes'!S38</f>
        <v>431.77051086846984</v>
      </c>
    </row>
    <row r="85" spans="1:47" outlineLevel="1">
      <c r="C85" s="219" t="s">
        <v>178</v>
      </c>
      <c r="D85" s="110" t="s">
        <v>30</v>
      </c>
      <c r="E85" s="110" t="str">
        <f t="shared" si="10"/>
        <v>$millions</v>
      </c>
      <c r="F85" s="161">
        <f t="shared" si="11"/>
        <v>43617</v>
      </c>
      <c r="J85" s="151"/>
      <c r="K85" s="151"/>
      <c r="L85" s="151"/>
      <c r="M85" s="151"/>
      <c r="N85" s="151"/>
      <c r="O85" s="220">
        <f>O82+'Input|Step changes'!O39</f>
        <v>35.829608739626536</v>
      </c>
      <c r="P85" s="220">
        <f>P82+'Input|Step changes'!P39</f>
        <v>35.828429423205392</v>
      </c>
      <c r="Q85" s="220">
        <f>Q82+'Input|Step changes'!Q39</f>
        <v>35.918526438571426</v>
      </c>
      <c r="R85" s="220">
        <f>R82+'Input|Step changes'!R39</f>
        <v>36.060740838273802</v>
      </c>
      <c r="S85" s="220">
        <f>S82+'Input|Step changes'!S39</f>
        <v>36.164803046660154</v>
      </c>
    </row>
    <row r="86" spans="1:47">
      <c r="C86" s="123"/>
      <c r="D86" s="110"/>
      <c r="E86" s="110"/>
      <c r="F86" s="110"/>
      <c r="J86" s="107"/>
      <c r="K86" s="107"/>
      <c r="L86" s="107"/>
      <c r="M86" s="107"/>
      <c r="N86" s="23"/>
      <c r="O86" s="23"/>
      <c r="P86" s="23"/>
      <c r="Q86" s="23"/>
      <c r="R86" s="23"/>
      <c r="S86" s="23"/>
    </row>
    <row r="87" spans="1:47" s="103" customFormat="1" ht="13.2">
      <c r="A87" s="94"/>
      <c r="B87" s="95" t="s">
        <v>21</v>
      </c>
      <c r="C87" s="94"/>
      <c r="D87" s="94"/>
      <c r="E87" s="94"/>
      <c r="F87" s="96"/>
      <c r="G87" s="96"/>
      <c r="H87" s="96"/>
      <c r="I87" s="96"/>
      <c r="J87" s="97"/>
      <c r="K87" s="98"/>
      <c r="L87" s="97"/>
      <c r="M87" s="98"/>
      <c r="N87" s="97"/>
      <c r="O87" s="97"/>
      <c r="P87" s="97"/>
      <c r="Q87" s="97"/>
      <c r="R87" s="97"/>
      <c r="S87" s="97"/>
      <c r="T87" s="97"/>
      <c r="U87" s="97"/>
      <c r="V87" s="98"/>
      <c r="W87" s="98"/>
      <c r="X87" s="99"/>
      <c r="Y87" s="99"/>
      <c r="Z87" s="99"/>
      <c r="AA87" s="99"/>
      <c r="AB87" s="100"/>
      <c r="AC87" s="101"/>
      <c r="AD87" s="101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1:47" ht="11.25" hidden="1" customHeight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>
      <c r="D96" s="29"/>
      <c r="E96" s="29"/>
      <c r="F96" s="29"/>
      <c r="G96" s="29"/>
      <c r="H96" s="29"/>
      <c r="I96" s="29"/>
    </row>
    <row r="97" spans="4:9" hidden="1">
      <c r="D97" s="29"/>
      <c r="E97" s="29"/>
      <c r="F97" s="29"/>
      <c r="G97" s="29"/>
      <c r="H97" s="29"/>
      <c r="I97" s="29"/>
    </row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t="11.25" hidden="1" customHeight="1">
      <c r="D104" s="29"/>
      <c r="E104" s="29"/>
      <c r="F104" s="29"/>
      <c r="G104" s="29"/>
      <c r="H104" s="29"/>
      <c r="I104" s="29"/>
    </row>
    <row r="105" spans="4:9" ht="11.25" hidden="1" customHeight="1">
      <c r="D105" s="29"/>
      <c r="E105" s="29"/>
      <c r="F105" s="29"/>
      <c r="G105" s="29"/>
      <c r="H105" s="29"/>
      <c r="I105" s="29"/>
    </row>
    <row r="106" spans="4:9" ht="11.25" hidden="1" customHeight="1">
      <c r="D106" s="29"/>
      <c r="E106" s="29"/>
      <c r="F106" s="29"/>
      <c r="G106" s="29"/>
      <c r="H106" s="29"/>
      <c r="I106" s="29"/>
    </row>
    <row r="107" spans="4:9" ht="11.25" hidden="1" customHeight="1">
      <c r="D107" s="29"/>
      <c r="E107" s="29"/>
      <c r="F107" s="29"/>
      <c r="G107" s="29"/>
      <c r="H107" s="29"/>
      <c r="I107" s="29"/>
    </row>
    <row r="108" spans="4:9" ht="11.25" hidden="1" customHeight="1">
      <c r="D108" s="29"/>
      <c r="E108" s="29"/>
      <c r="F108" s="29"/>
      <c r="G108" s="29"/>
      <c r="H108" s="29"/>
      <c r="I108" s="29"/>
    </row>
    <row r="109" spans="4:9" ht="11.25" hidden="1" customHeight="1">
      <c r="D109" s="29"/>
      <c r="E109" s="29"/>
      <c r="F109" s="29"/>
      <c r="G109" s="29"/>
      <c r="H109" s="29"/>
      <c r="I109" s="29"/>
    </row>
    <row r="110" spans="4:9" ht="11.25" hidden="1" customHeight="1">
      <c r="D110" s="29"/>
      <c r="E110" s="29"/>
      <c r="F110" s="29"/>
      <c r="G110" s="29"/>
      <c r="H110" s="29"/>
      <c r="I110" s="29"/>
    </row>
    <row r="111" spans="4:9" ht="11.25" hidden="1" customHeight="1">
      <c r="D111" s="29"/>
      <c r="E111" s="29"/>
      <c r="F111" s="29"/>
      <c r="G111" s="29"/>
      <c r="H111" s="29"/>
      <c r="I111" s="29"/>
    </row>
    <row r="112" spans="4:9" ht="11.25" hidden="1" customHeight="1">
      <c r="D112" s="29"/>
      <c r="E112" s="29"/>
      <c r="F112" s="29"/>
      <c r="G112" s="29"/>
      <c r="H112" s="29"/>
      <c r="I112" s="29"/>
    </row>
    <row r="113" spans="4:9" ht="11.25" hidden="1" customHeight="1">
      <c r="D113" s="29"/>
      <c r="E113" s="29"/>
      <c r="F113" s="29"/>
      <c r="G113" s="29"/>
      <c r="H113" s="29"/>
      <c r="I113" s="29"/>
    </row>
    <row r="114" spans="4:9" ht="11.25" hidden="1" customHeight="1">
      <c r="D114" s="29"/>
      <c r="E114" s="29"/>
      <c r="F114" s="29"/>
      <c r="G114" s="29"/>
      <c r="H114" s="29"/>
      <c r="I114" s="29"/>
    </row>
    <row r="115" spans="4:9" ht="11.25" hidden="1" customHeight="1">
      <c r="D115" s="29"/>
      <c r="E115" s="29"/>
      <c r="F115" s="29"/>
      <c r="G115" s="29"/>
      <c r="H115" s="29"/>
      <c r="I115" s="29"/>
    </row>
    <row r="116" spans="4:9" ht="11.25" hidden="1" customHeight="1">
      <c r="D116" s="29"/>
      <c r="E116" s="29"/>
      <c r="F116" s="29"/>
      <c r="G116" s="29"/>
      <c r="H116" s="29"/>
      <c r="I116" s="29"/>
    </row>
    <row r="117" spans="4:9" ht="11.25" hidden="1" customHeight="1">
      <c r="D117" s="29"/>
      <c r="E117" s="29"/>
      <c r="F117" s="29"/>
      <c r="G117" s="29"/>
      <c r="H117" s="29"/>
      <c r="I117" s="29"/>
    </row>
    <row r="118" spans="4:9" ht="11.25" hidden="1" customHeight="1">
      <c r="D118" s="29"/>
      <c r="E118" s="29"/>
      <c r="F118" s="29"/>
      <c r="G118" s="29"/>
      <c r="H118" s="29"/>
      <c r="I118" s="29"/>
    </row>
    <row r="119" spans="4:9" ht="11.25" hidden="1" customHeight="1">
      <c r="D119" s="29"/>
      <c r="E119" s="29"/>
      <c r="F119" s="29"/>
      <c r="G119" s="29"/>
      <c r="H119" s="29"/>
      <c r="I119" s="29"/>
    </row>
    <row r="120" spans="4:9" ht="11.25" hidden="1" customHeight="1">
      <c r="D120" s="29"/>
      <c r="E120" s="29"/>
      <c r="F120" s="29"/>
      <c r="G120" s="29"/>
      <c r="H120" s="29"/>
      <c r="I120" s="29"/>
    </row>
    <row r="121" spans="4:9" ht="11.25" hidden="1" customHeight="1">
      <c r="D121" s="29"/>
      <c r="E121" s="29"/>
      <c r="F121" s="29"/>
      <c r="G121" s="29"/>
      <c r="H121" s="29"/>
      <c r="I121" s="29"/>
    </row>
    <row r="122" spans="4:9" ht="11.25" hidden="1" customHeight="1">
      <c r="D122" s="29"/>
      <c r="E122" s="29"/>
      <c r="F122" s="29"/>
      <c r="G122" s="29"/>
      <c r="H122" s="29"/>
      <c r="I122" s="29"/>
    </row>
    <row r="123" spans="4:9" ht="11.25" hidden="1" customHeight="1">
      <c r="D123" s="29"/>
      <c r="E123" s="29"/>
      <c r="F123" s="29"/>
      <c r="G123" s="29"/>
      <c r="H123" s="29"/>
      <c r="I123" s="29"/>
    </row>
    <row r="124" spans="4:9" ht="11.25" hidden="1" customHeight="1">
      <c r="D124" s="29"/>
      <c r="E124" s="29"/>
      <c r="F124" s="29"/>
      <c r="G124" s="29"/>
      <c r="H124" s="29"/>
      <c r="I124" s="29"/>
    </row>
    <row r="125" spans="4:9" ht="11.25" hidden="1" customHeight="1">
      <c r="D125" s="29"/>
      <c r="E125" s="29"/>
      <c r="F125" s="29"/>
      <c r="G125" s="29"/>
      <c r="H125" s="29"/>
      <c r="I125" s="29"/>
    </row>
    <row r="126" spans="4:9" ht="11.25" hidden="1" customHeight="1">
      <c r="D126" s="29"/>
      <c r="E126" s="29"/>
      <c r="F126" s="29"/>
      <c r="G126" s="29"/>
      <c r="H126" s="29"/>
      <c r="I126" s="29"/>
    </row>
    <row r="127" spans="4:9" ht="11.25" hidden="1" customHeight="1">
      <c r="D127" s="29"/>
      <c r="E127" s="29"/>
      <c r="F127" s="29"/>
      <c r="G127" s="29"/>
      <c r="H127" s="29"/>
      <c r="I127" s="29"/>
    </row>
    <row r="128" spans="4:9" ht="11.25" hidden="1" customHeight="1">
      <c r="D128" s="29"/>
      <c r="E128" s="29"/>
      <c r="F128" s="29"/>
      <c r="G128" s="29"/>
      <c r="H128" s="29"/>
      <c r="I128" s="29"/>
    </row>
    <row r="129" spans="4:9" ht="11.25" hidden="1" customHeight="1">
      <c r="D129" s="29"/>
      <c r="E129" s="29"/>
      <c r="F129" s="29"/>
      <c r="G129" s="29"/>
      <c r="H129" s="29"/>
      <c r="I129" s="29"/>
    </row>
    <row r="130" spans="4:9" ht="11.25" hidden="1" customHeight="1">
      <c r="D130" s="29"/>
      <c r="E130" s="29"/>
      <c r="F130" s="29"/>
      <c r="G130" s="29"/>
      <c r="H130" s="29"/>
      <c r="I130" s="29"/>
    </row>
    <row r="131" spans="4:9" ht="11.25" hidden="1" customHeight="1">
      <c r="D131" s="29"/>
      <c r="E131" s="29"/>
      <c r="F131" s="29"/>
      <c r="G131" s="29"/>
      <c r="H131" s="29"/>
      <c r="I131" s="29"/>
    </row>
    <row r="132" spans="4:9" ht="11.25" hidden="1" customHeight="1">
      <c r="D132" s="29"/>
      <c r="E132" s="29"/>
      <c r="F132" s="29"/>
      <c r="G132" s="29"/>
      <c r="H132" s="29"/>
      <c r="I132" s="29"/>
    </row>
    <row r="133" spans="4:9" ht="11.25" hidden="1" customHeight="1">
      <c r="D133" s="29"/>
      <c r="E133" s="29"/>
      <c r="F133" s="29"/>
      <c r="G133" s="29"/>
      <c r="H133" s="29"/>
      <c r="I133" s="29"/>
    </row>
    <row r="134" spans="4:9" ht="11.25" hidden="1" customHeight="1">
      <c r="D134" s="29"/>
      <c r="E134" s="29"/>
      <c r="F134" s="29"/>
      <c r="G134" s="29"/>
      <c r="H134" s="29"/>
      <c r="I134" s="29"/>
    </row>
    <row r="135" spans="4:9" ht="11.25" hidden="1" customHeight="1">
      <c r="D135" s="29"/>
      <c r="E135" s="29"/>
      <c r="F135" s="29"/>
      <c r="G135" s="29"/>
      <c r="H135" s="29"/>
      <c r="I135" s="29"/>
    </row>
    <row r="136" spans="4:9" ht="11.25" hidden="1" customHeight="1">
      <c r="D136" s="29"/>
      <c r="E136" s="29"/>
      <c r="F136" s="29"/>
      <c r="G136" s="29"/>
      <c r="H136" s="29"/>
      <c r="I136" s="29"/>
    </row>
    <row r="137" spans="4:9" ht="11.25" hidden="1" customHeight="1">
      <c r="D137" s="29"/>
      <c r="E137" s="29"/>
      <c r="F137" s="29"/>
      <c r="G137" s="29"/>
      <c r="H137" s="29"/>
      <c r="I137" s="29"/>
    </row>
    <row r="138" spans="4:9" ht="11.25" hidden="1" customHeight="1">
      <c r="D138" s="29"/>
      <c r="E138" s="29"/>
      <c r="F138" s="29"/>
      <c r="G138" s="29"/>
      <c r="H138" s="29"/>
      <c r="I138" s="29"/>
    </row>
    <row r="139" spans="4:9" ht="11.25" hidden="1" customHeight="1">
      <c r="D139" s="29"/>
      <c r="E139" s="29"/>
      <c r="F139" s="29"/>
      <c r="G139" s="29"/>
      <c r="H139" s="29"/>
      <c r="I139" s="29"/>
    </row>
    <row r="140" spans="4:9" ht="11.25" hidden="1" customHeight="1">
      <c r="D140" s="29"/>
      <c r="E140" s="29"/>
      <c r="F140" s="29"/>
      <c r="G140" s="29"/>
      <c r="H140" s="29"/>
      <c r="I140" s="29"/>
    </row>
    <row r="141" spans="4:9" ht="11.25" hidden="1" customHeight="1">
      <c r="D141" s="29"/>
      <c r="E141" s="29"/>
      <c r="F141" s="29"/>
      <c r="G141" s="29"/>
      <c r="H141" s="29"/>
      <c r="I141" s="29"/>
    </row>
    <row r="142" spans="4:9" ht="11.25" hidden="1" customHeight="1">
      <c r="D142" s="29"/>
      <c r="E142" s="29"/>
      <c r="F142" s="29"/>
      <c r="G142" s="29"/>
      <c r="H142" s="29"/>
      <c r="I142" s="29"/>
    </row>
    <row r="143" spans="4:9" ht="11.25" hidden="1" customHeight="1">
      <c r="D143" s="29"/>
      <c r="E143" s="29"/>
      <c r="F143" s="29"/>
      <c r="G143" s="29"/>
      <c r="H143" s="29"/>
      <c r="I143" s="29"/>
    </row>
    <row r="144" spans="4:9" ht="11.25" hidden="1" customHeight="1">
      <c r="D144" s="29"/>
      <c r="E144" s="29"/>
      <c r="F144" s="29"/>
      <c r="G144" s="29"/>
      <c r="H144" s="29"/>
      <c r="I144" s="29"/>
    </row>
    <row r="145" spans="4:9" ht="11.25" hidden="1" customHeight="1">
      <c r="D145" s="29"/>
      <c r="E145" s="29"/>
      <c r="F145" s="29"/>
      <c r="G145" s="29"/>
      <c r="H145" s="29"/>
      <c r="I145" s="29"/>
    </row>
    <row r="146" spans="4:9" ht="11.25" hidden="1" customHeight="1">
      <c r="D146" s="29"/>
      <c r="E146" s="29"/>
      <c r="F146" s="29"/>
      <c r="G146" s="29"/>
      <c r="H146" s="29"/>
      <c r="I146" s="29"/>
    </row>
    <row r="147" spans="4:9" ht="11.25" hidden="1" customHeight="1">
      <c r="D147" s="29"/>
      <c r="E147" s="29"/>
      <c r="F147" s="29"/>
      <c r="G147" s="29"/>
      <c r="H147" s="29"/>
      <c r="I147" s="29"/>
    </row>
    <row r="148" spans="4:9" ht="11.25" hidden="1" customHeight="1">
      <c r="D148" s="29"/>
      <c r="E148" s="29"/>
      <c r="F148" s="29"/>
      <c r="G148" s="29"/>
      <c r="H148" s="29"/>
      <c r="I148" s="29"/>
    </row>
    <row r="149" spans="4:9" ht="11.25" hidden="1" customHeight="1">
      <c r="D149" s="29"/>
      <c r="E149" s="29"/>
      <c r="F149" s="29"/>
      <c r="G149" s="29"/>
      <c r="H149" s="29"/>
      <c r="I149" s="29"/>
    </row>
    <row r="150" spans="4:9" ht="11.25" hidden="1" customHeight="1">
      <c r="D150" s="29"/>
      <c r="E150" s="29"/>
      <c r="F150" s="29"/>
      <c r="G150" s="29"/>
      <c r="H150" s="29"/>
      <c r="I150" s="29"/>
    </row>
    <row r="151" spans="4:9" ht="11.25" hidden="1" customHeight="1">
      <c r="D151" s="29"/>
      <c r="E151" s="29"/>
      <c r="F151" s="29"/>
      <c r="G151" s="29"/>
      <c r="H151" s="29"/>
      <c r="I151" s="29"/>
    </row>
    <row r="152" spans="4:9" ht="11.25" hidden="1" customHeight="1">
      <c r="D152" s="29"/>
      <c r="E152" s="29"/>
      <c r="F152" s="29"/>
      <c r="G152" s="29"/>
      <c r="H152" s="29"/>
      <c r="I152" s="29"/>
    </row>
    <row r="153" spans="4:9" ht="11.25" hidden="1" customHeight="1">
      <c r="D153" s="29"/>
      <c r="E153" s="29"/>
      <c r="F153" s="29"/>
      <c r="G153" s="29"/>
      <c r="H153" s="29"/>
      <c r="I153" s="29"/>
    </row>
    <row r="154" spans="4:9" ht="11.25" hidden="1" customHeight="1">
      <c r="D154" s="29"/>
      <c r="E154" s="29"/>
      <c r="F154" s="29"/>
      <c r="G154" s="29"/>
      <c r="H154" s="29"/>
      <c r="I154" s="29"/>
    </row>
    <row r="155" spans="4:9" ht="11.25" hidden="1" customHeight="1">
      <c r="D155" s="29"/>
      <c r="E155" s="29"/>
      <c r="F155" s="29"/>
      <c r="G155" s="29"/>
      <c r="H155" s="29"/>
      <c r="I155" s="29"/>
    </row>
    <row r="156" spans="4:9" ht="11.25" hidden="1" customHeight="1">
      <c r="D156" s="29"/>
      <c r="E156" s="29"/>
      <c r="F156" s="29"/>
      <c r="G156" s="29"/>
      <c r="H156" s="29"/>
      <c r="I156" s="29"/>
    </row>
    <row r="157" spans="4:9" ht="11.25" hidden="1" customHeight="1">
      <c r="D157" s="29"/>
      <c r="E157" s="29"/>
      <c r="F157" s="29"/>
      <c r="G157" s="29"/>
      <c r="H157" s="29"/>
      <c r="I157" s="29"/>
    </row>
    <row r="158" spans="4:9" ht="11.25" hidden="1" customHeight="1">
      <c r="D158" s="29"/>
      <c r="E158" s="29"/>
      <c r="F158" s="29"/>
      <c r="G158" s="29"/>
      <c r="H158" s="29"/>
      <c r="I158" s="29"/>
    </row>
    <row r="159" spans="4:9" ht="11.25" hidden="1" customHeight="1">
      <c r="D159" s="29"/>
      <c r="E159" s="29"/>
      <c r="F159" s="29"/>
      <c r="G159" s="29"/>
      <c r="H159" s="29"/>
      <c r="I159" s="29"/>
    </row>
    <row r="160" spans="4:9" ht="11.25" hidden="1" customHeight="1">
      <c r="D160" s="29"/>
      <c r="E160" s="29"/>
      <c r="F160" s="29"/>
      <c r="G160" s="29"/>
      <c r="H160" s="29"/>
      <c r="I160" s="29"/>
    </row>
    <row r="161" spans="4:9" ht="11.25" hidden="1" customHeight="1">
      <c r="D161" s="29"/>
      <c r="E161" s="29"/>
      <c r="F161" s="29"/>
      <c r="G161" s="29"/>
      <c r="H161" s="29"/>
      <c r="I161" s="29"/>
    </row>
    <row r="162" spans="4:9" ht="11.25" hidden="1" customHeight="1">
      <c r="D162" s="29"/>
      <c r="E162" s="29"/>
      <c r="F162" s="29"/>
      <c r="G162" s="29"/>
      <c r="H162" s="29"/>
      <c r="I162" s="29"/>
    </row>
    <row r="163" spans="4:9" ht="11.25" hidden="1" customHeight="1">
      <c r="D163" s="29"/>
      <c r="E163" s="29"/>
      <c r="F163" s="29"/>
      <c r="G163" s="29"/>
      <c r="H163" s="29"/>
      <c r="I163" s="29"/>
    </row>
    <row r="164" spans="4:9" ht="11.25" hidden="1" customHeight="1">
      <c r="D164" s="29"/>
      <c r="E164" s="29"/>
      <c r="F164" s="29"/>
      <c r="G164" s="29"/>
      <c r="H164" s="29"/>
      <c r="I164" s="29"/>
    </row>
    <row r="165" spans="4:9" ht="11.25" hidden="1" customHeight="1">
      <c r="D165" s="29"/>
      <c r="E165" s="29"/>
      <c r="F165" s="29"/>
      <c r="G165" s="29"/>
      <c r="H165" s="29"/>
      <c r="I165" s="29"/>
    </row>
    <row r="166" spans="4:9" ht="11.25" hidden="1" customHeight="1">
      <c r="D166" s="29"/>
      <c r="E166" s="29"/>
      <c r="F166" s="29"/>
      <c r="G166" s="29"/>
      <c r="H166" s="29"/>
      <c r="I166" s="29"/>
    </row>
    <row r="167" spans="4:9" ht="11.25" hidden="1" customHeight="1">
      <c r="D167" s="29"/>
      <c r="E167" s="29"/>
      <c r="F167" s="29"/>
      <c r="G167" s="29"/>
      <c r="H167" s="29"/>
      <c r="I167" s="29"/>
    </row>
    <row r="168" spans="4:9" ht="11.25" hidden="1" customHeight="1">
      <c r="D168" s="29"/>
      <c r="E168" s="29"/>
      <c r="F168" s="29"/>
      <c r="G168" s="29"/>
      <c r="H168" s="29"/>
      <c r="I168" s="29"/>
    </row>
    <row r="169" spans="4:9" ht="11.25" hidden="1" customHeight="1">
      <c r="D169" s="29"/>
      <c r="E169" s="29"/>
      <c r="F169" s="29"/>
      <c r="G169" s="29"/>
      <c r="H169" s="29"/>
      <c r="I169" s="29"/>
    </row>
    <row r="170" spans="4:9" ht="11.25" hidden="1" customHeight="1">
      <c r="D170" s="29"/>
      <c r="E170" s="29"/>
      <c r="F170" s="29"/>
      <c r="G170" s="29"/>
      <c r="H170" s="29"/>
      <c r="I170" s="29"/>
    </row>
    <row r="171" spans="4:9" ht="11.25" hidden="1" customHeight="1">
      <c r="D171" s="29"/>
      <c r="E171" s="29"/>
      <c r="F171" s="29"/>
      <c r="G171" s="29"/>
      <c r="H171" s="29"/>
      <c r="I171" s="29"/>
    </row>
    <row r="172" spans="4:9" ht="11.25" hidden="1" customHeight="1">
      <c r="D172" s="29"/>
      <c r="E172" s="29"/>
      <c r="F172" s="29"/>
      <c r="G172" s="29"/>
      <c r="H172" s="29"/>
      <c r="I172" s="29"/>
    </row>
    <row r="173" spans="4:9" hidden="1"/>
    <row r="174" spans="4:9" hidden="1"/>
    <row r="175" spans="4:9" hidden="1"/>
    <row r="176" spans="4:9" hidden="1"/>
    <row r="177" hidden="1"/>
    <row r="178" hidden="1"/>
    <row r="179" hidden="1"/>
    <row r="180" hidden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idden="1"/>
    <row r="191" hidden="1"/>
    <row r="192" hidden="1"/>
    <row r="193" hidden="1"/>
    <row r="194" hidden="1"/>
    <row r="195" hidden="1"/>
    <row r="196" hidden="1"/>
    <row r="197" hidden="1"/>
    <row r="198" hidden="1"/>
  </sheetData>
  <mergeCells count="1">
    <mergeCell ref="N3:S3"/>
  </mergeCells>
  <conditionalFormatting sqref="S1">
    <cfRule type="cellIs" dxfId="78" priority="113" operator="equal">
      <formula>"Check"</formula>
    </cfRule>
    <cfRule type="cellIs" dxfId="77" priority="114" operator="equal">
      <formula>"Ok"</formula>
    </cfRule>
  </conditionalFormatting>
  <conditionalFormatting sqref="V1">
    <cfRule type="cellIs" dxfId="76" priority="115" operator="equal">
      <formula>"Check"</formula>
    </cfRule>
    <cfRule type="cellIs" dxfId="75" priority="116" operator="equal">
      <formula>"Ok"</formula>
    </cfRule>
  </conditionalFormatting>
  <conditionalFormatting sqref="R24:S24 R27:S27 R30:S30 J12:S14">
    <cfRule type="cellIs" dxfId="74" priority="112" operator="equal">
      <formula>0</formula>
    </cfRule>
  </conditionalFormatting>
  <conditionalFormatting sqref="J13:S13">
    <cfRule type="cellIs" dxfId="73" priority="111" operator="equal">
      <formula>0</formula>
    </cfRule>
  </conditionalFormatting>
  <conditionalFormatting sqref="J38:S42">
    <cfRule type="cellIs" dxfId="72" priority="106" operator="equal">
      <formula>0</formula>
    </cfRule>
  </conditionalFormatting>
  <conditionalFormatting sqref="J51:S59 J67:S69">
    <cfRule type="cellIs" dxfId="71" priority="104" operator="equal">
      <formula>0</formula>
    </cfRule>
  </conditionalFormatting>
  <conditionalFormatting sqref="J21:S21">
    <cfRule type="cellIs" dxfId="70" priority="101" operator="equal">
      <formula>0</formula>
    </cfRule>
  </conditionalFormatting>
  <conditionalFormatting sqref="J80:S85">
    <cfRule type="cellIs" dxfId="69" priority="100" operator="equal">
      <formula>0</formula>
    </cfRule>
  </conditionalFormatting>
  <conditionalFormatting sqref="J80:S85">
    <cfRule type="cellIs" dxfId="68" priority="99" operator="equal">
      <formula>0</formula>
    </cfRule>
  </conditionalFormatting>
  <conditionalFormatting sqref="J24:Q24 J27:Q27 J30:Q30">
    <cfRule type="cellIs" dxfId="67" priority="80" operator="equal">
      <formula>0</formula>
    </cfRule>
  </conditionalFormatting>
  <conditionalFormatting sqref="J24:Q24 J27:Q27 J30:Q30">
    <cfRule type="cellIs" dxfId="66" priority="79" operator="equal">
      <formula>0</formula>
    </cfRule>
  </conditionalFormatting>
  <conditionalFormatting sqref="J22:S22">
    <cfRule type="cellIs" dxfId="65" priority="75" operator="equal">
      <formula>0</formula>
    </cfRule>
  </conditionalFormatting>
  <conditionalFormatting sqref="J22:S22">
    <cfRule type="cellIs" dxfId="64" priority="74" operator="equal">
      <formula>0</formula>
    </cfRule>
  </conditionalFormatting>
  <conditionalFormatting sqref="J25:S25">
    <cfRule type="cellIs" dxfId="63" priority="71" operator="equal">
      <formula>0</formula>
    </cfRule>
  </conditionalFormatting>
  <conditionalFormatting sqref="J25:S25">
    <cfRule type="cellIs" dxfId="62" priority="70" operator="equal">
      <formula>0</formula>
    </cfRule>
  </conditionalFormatting>
  <conditionalFormatting sqref="J28:S28">
    <cfRule type="cellIs" dxfId="61" priority="67" operator="equal">
      <formula>0</formula>
    </cfRule>
  </conditionalFormatting>
  <conditionalFormatting sqref="J28:S28">
    <cfRule type="cellIs" dxfId="60" priority="66" operator="equal">
      <formula>0</formula>
    </cfRule>
  </conditionalFormatting>
  <conditionalFormatting sqref="J23:S23">
    <cfRule type="cellIs" dxfId="59" priority="56" operator="equal">
      <formula>0</formula>
    </cfRule>
  </conditionalFormatting>
  <conditionalFormatting sqref="J23:S23">
    <cfRule type="cellIs" dxfId="58" priority="55" operator="equal">
      <formula>0</formula>
    </cfRule>
  </conditionalFormatting>
  <conditionalFormatting sqref="J26:S26">
    <cfRule type="cellIs" dxfId="57" priority="54" operator="equal">
      <formula>0</formula>
    </cfRule>
  </conditionalFormatting>
  <conditionalFormatting sqref="J26:S26">
    <cfRule type="cellIs" dxfId="56" priority="53" operator="equal">
      <formula>0</formula>
    </cfRule>
  </conditionalFormatting>
  <conditionalFormatting sqref="J29:S29">
    <cfRule type="cellIs" dxfId="55" priority="52" operator="equal">
      <formula>0</formula>
    </cfRule>
  </conditionalFormatting>
  <conditionalFormatting sqref="J29:S29">
    <cfRule type="cellIs" dxfId="54" priority="51" operator="equal">
      <formula>0</formula>
    </cfRule>
  </conditionalFormatting>
  <conditionalFormatting sqref="J77:S79">
    <cfRule type="cellIs" dxfId="53" priority="36" operator="equal">
      <formula>0</formula>
    </cfRule>
  </conditionalFormatting>
  <conditionalFormatting sqref="O80:S85 J77:S79">
    <cfRule type="cellIs" dxfId="52" priority="35" operator="equal">
      <formula>0</formula>
    </cfRule>
  </conditionalFormatting>
  <conditionalFormatting sqref="J10:S10">
    <cfRule type="expression" dxfId="51" priority="34">
      <formula>J$10=J$4</formula>
    </cfRule>
  </conditionalFormatting>
  <conditionalFormatting sqref="J17:S17">
    <cfRule type="expression" dxfId="50" priority="33">
      <formula>J$10=J$4</formula>
    </cfRule>
  </conditionalFormatting>
  <conditionalFormatting sqref="J18:S19">
    <cfRule type="cellIs" dxfId="49" priority="29" operator="equal">
      <formula>0</formula>
    </cfRule>
  </conditionalFormatting>
  <conditionalFormatting sqref="J45:S45">
    <cfRule type="cellIs" dxfId="48" priority="25" operator="equal">
      <formula>0</formula>
    </cfRule>
  </conditionalFormatting>
  <conditionalFormatting sqref="J20:S20">
    <cfRule type="cellIs" dxfId="47" priority="24" operator="equal">
      <formula>0</formula>
    </cfRule>
  </conditionalFormatting>
  <conditionalFormatting sqref="J20:S20">
    <cfRule type="cellIs" dxfId="46" priority="23" operator="equal">
      <formula>0</formula>
    </cfRule>
  </conditionalFormatting>
  <conditionalFormatting sqref="J15:S16">
    <cfRule type="cellIs" dxfId="45" priority="20" operator="equal">
      <formula>0</formula>
    </cfRule>
  </conditionalFormatting>
  <conditionalFormatting sqref="J16:S16">
    <cfRule type="cellIs" dxfId="44" priority="19" operator="equal">
      <formula>0</formula>
    </cfRule>
  </conditionalFormatting>
  <conditionalFormatting sqref="J44:S44">
    <cfRule type="expression" dxfId="43" priority="171">
      <formula>J$35=J$4</formula>
    </cfRule>
    <cfRule type="cellIs" dxfId="42" priority="172" operator="equal">
      <formula>0</formula>
    </cfRule>
  </conditionalFormatting>
  <conditionalFormatting sqref="J71:S71">
    <cfRule type="expression" dxfId="41" priority="173">
      <formula>J$65=J$4</formula>
    </cfRule>
    <cfRule type="cellIs" dxfId="40" priority="174" operator="equal">
      <formula>0</formula>
    </cfRule>
  </conditionalFormatting>
  <conditionalFormatting sqref="J61:S61">
    <cfRule type="expression" dxfId="39" priority="175">
      <formula>J$49=J$4</formula>
    </cfRule>
    <cfRule type="cellIs" dxfId="38" priority="176" operator="equal">
      <formula>0</formula>
    </cfRule>
  </conditionalFormatting>
  <conditionalFormatting sqref="J49:S49 J65:S65 J35:S35">
    <cfRule type="expression" dxfId="37" priority="177">
      <formula>J$35=J$4</formula>
    </cfRule>
  </conditionalFormatting>
  <conditionalFormatting sqref="J75:S75">
    <cfRule type="expression" dxfId="36" priority="180">
      <formula>J$75=J$4</formula>
    </cfRule>
  </conditionalFormatting>
  <conditionalFormatting sqref="M31:M32">
    <cfRule type="expression" dxfId="35" priority="13">
      <formula>M$10=M$4</formula>
    </cfRule>
  </conditionalFormatting>
  <conditionalFormatting sqref="M31:M32">
    <cfRule type="cellIs" dxfId="34" priority="14" operator="equal">
      <formula>0</formula>
    </cfRule>
  </conditionalFormatting>
  <conditionalFormatting sqref="V77">
    <cfRule type="cellIs" dxfId="33" priority="11" operator="equal">
      <formula>"Check"</formula>
    </cfRule>
    <cfRule type="cellIs" dxfId="32" priority="12" operator="equal">
      <formula>"Ok"</formula>
    </cfRule>
  </conditionalFormatting>
  <conditionalFormatting sqref="V80">
    <cfRule type="cellIs" dxfId="31" priority="9" operator="equal">
      <formula>"Check"</formula>
    </cfRule>
    <cfRule type="cellIs" dxfId="30" priority="10" operator="equal">
      <formula>"Ok"</formula>
    </cfRule>
  </conditionalFormatting>
  <conditionalFormatting sqref="O81:S82">
    <cfRule type="cellIs" dxfId="29" priority="6" operator="equal">
      <formula>0</formula>
    </cfRule>
  </conditionalFormatting>
  <conditionalFormatting sqref="O84:S85">
    <cfRule type="cellIs" dxfId="28" priority="5" operator="equal">
      <formula>0</formula>
    </cfRule>
  </conditionalFormatting>
  <conditionalFormatting sqref="V83">
    <cfRule type="cellIs" dxfId="27" priority="1" operator="equal">
      <formula>"Check"</formula>
    </cfRule>
    <cfRule type="cellIs" dxfId="26" priority="2" operator="equal">
      <formula>"Ok"</formula>
    </cfRule>
  </conditionalFormatting>
  <dataValidations disablePrompts="1" count="2">
    <dataValidation type="list" allowBlank="1" showInputMessage="1" showErrorMessage="1" sqref="F72 F70 F86 F62">
      <formula1>"Real 2010,Real 2011,Real 2012,Real 2013,Real 2014,Real 2015,Nominal"</formula1>
    </dataValidation>
    <dataValidation type="list" allowBlank="1" showInputMessage="1" showErrorMessage="1" sqref="F60">
      <formula1>$G$37:$G$43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8"/>
  <sheetViews>
    <sheetView showGridLines="0" workbookViewId="0">
      <selection activeCell="O13" sqref="O13:S20"/>
    </sheetView>
  </sheetViews>
  <sheetFormatPr defaultColWidth="0" defaultRowHeight="10.199999999999999" zeroHeight="1"/>
  <cols>
    <col min="1" max="2" width="1.42578125" style="29" customWidth="1"/>
    <col min="3" max="3" width="59.7109375" style="29" bestFit="1" customWidth="1"/>
    <col min="4" max="4" width="27.7109375" style="30" customWidth="1"/>
    <col min="5" max="5" width="15.85546875" style="30" customWidth="1"/>
    <col min="6" max="6" width="10.7109375" style="30" customWidth="1"/>
    <col min="7" max="9" width="3.28515625" style="30" customWidth="1"/>
    <col min="10" max="23" width="10.85546875" style="29" customWidth="1"/>
    <col min="24" max="47" width="0" style="29" hidden="1" customWidth="1"/>
    <col min="48" max="16384" width="10.42578125" style="29" hidden="1"/>
  </cols>
  <sheetData>
    <row r="1" spans="1:26" s="69" customFormat="1" ht="15.6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8" thickBot="1">
      <c r="B2" s="78" t="str">
        <f>Index!$C$14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120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.2">
      <c r="A8" s="94"/>
      <c r="B8" s="95" t="s">
        <v>56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57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177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55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forecast'!C77</f>
        <v>Total forecast opex, excluding category specific forecasts</v>
      </c>
      <c r="D13" s="34" t="s">
        <v>107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forecast'!J77*IF('Calc|Opex forecast'!$F$77="nominal",LOOKUP($F13,Nominal_to_Real,'Input|Rate of change'!P$25:P$30),INDEX('Input|Rate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K13" s="179">
        <f>IF(K11="",0,'Calc|Opex forecast'!K77*IF('Calc|Opex forecast'!$F$77="nominal",LOOKUP($F13,Nominal_to_Real,'Input|Rate of change'!Q$25:Q$30),INDEX('Input|Rate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L13" s="179">
        <f>IF(L11="",0,'Calc|Opex forecast'!L77*IF('Calc|Opex forecast'!$F$77="nominal",LOOKUP($F13,Nominal_to_Real,'Input|Rate of change'!R$25:R$30),INDEX('Input|Rate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M13" s="179">
        <f>IF(M11="",0,'Calc|Opex forecast'!M77*IF('Calc|Opex forecast'!$F$77="nominal",LOOKUP($F13,Nominal_to_Real,'Input|Rate of change'!S$25:S$30),INDEX('Input|Rate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N13" s="179">
        <f>IF(N11="",0,'Calc|Opex forecast'!N77*IF('Calc|Opex forecast'!$F$77="nominal",LOOKUP($F13,Nominal_to_Real,'Input|Rate of change'!T$25:T$30),INDEX('Input|Rate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O13" s="179">
        <f>IF(O11="",0,'Calc|Opex forecast'!O78*IF('Calc|Opex forecast'!$F$78="nominal",LOOKUP($F13,Nominal_to_Real,'Input|Rate of change'!U$25:U$30),INDEX('Input|Rate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419.69624315273069</v>
      </c>
      <c r="P13" s="179">
        <f>IF(P11="",0,'Calc|Opex forecast'!P78*IF('Calc|Opex forecast'!$F$78="nominal",LOOKUP($F13,Nominal_to_Real,'Input|Rate of change'!V$25:V$30),INDEX('Input|Rate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420.03601832937017</v>
      </c>
      <c r="Q13" s="179">
        <f>IF(Q11="",0,'Calc|Opex forecast'!Q78*IF('Calc|Opex forecast'!$F$78="nominal",LOOKUP($F13,Nominal_to_Real,'Input|Rate of change'!W$25:W$30),INDEX('Input|Rate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421.67529593879635</v>
      </c>
      <c r="R13" s="179">
        <f>IF(R11="",0,'Calc|Opex forecast'!R78*IF('Calc|Opex forecast'!$F$78="nominal",LOOKUP($F13,Nominal_to_Real,'Input|Rate of change'!X$25:X$30),INDEX('Input|Rate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423.29977676469656</v>
      </c>
      <c r="S13" s="179">
        <f>IF(S11="",0,'Calc|Opex forecast'!S78*IF('Calc|Opex forecast'!$F$78="nominal",LOOKUP($F13,Nominal_to_Real,'Input|Rate of change'!Y$25:Y$30),INDEX('Input|Rate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424.88524799249637</v>
      </c>
      <c r="T13" s="111"/>
      <c r="U13" s="152"/>
    </row>
    <row r="14" spans="1:26">
      <c r="C14" s="111">
        <f>'Input|Step changes'!C28</f>
        <v>0</v>
      </c>
      <c r="D14" s="34" t="s">
        <v>107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forecast'!J67*IF('Calc|Opex forecast'!$F67="nominal",LOOKUP($F14,Nominal_to_Real,'Input|Rate of change'!P$25:P$30),INDEX('Input|Rate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K14" s="179">
        <f>IF(K$11="",0,'Calc|Opex forecast'!K67*IF('Calc|Opex forecast'!$F67="nominal",LOOKUP($F14,Nominal_to_Real,'Input|Rate of change'!Q$25:Q$30),INDEX('Input|Rate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L14" s="179">
        <f>IF(L$11="",0,'Calc|Opex forecast'!L67*IF('Calc|Opex forecast'!$F67="nominal",LOOKUP($F14,Nominal_to_Real,'Input|Rate of change'!R$25:R$30),INDEX('Input|Rate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M14" s="179">
        <f>IF(M$11="",0,'Calc|Opex forecast'!M67*IF('Calc|Opex forecast'!$F67="nominal",LOOKUP($F14,Nominal_to_Real,'Input|Rate of change'!S$25:S$30),INDEX('Input|Rate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N14" s="179">
        <f>IF(N$11="",0,'Calc|Opex forecast'!N67*IF('Calc|Opex forecast'!$F67="nominal",LOOKUP($F14,Nominal_to_Real,'Input|Rate of change'!T$25:T$30),INDEX('Input|Rate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O14" s="179">
        <f>IF(O$11="",0,'Calc|Opex forecast'!O67*IF('Calc|Opex forecast'!$F67="nominal",LOOKUP($F14,Nominal_to_Real,'Input|Rate of change'!U$25:U$30),INDEX('Input|Rate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P14" s="179">
        <f>IF(P$11="",0,'Calc|Opex forecast'!P67*IF('Calc|Opex forecast'!$F67="nominal",LOOKUP($F14,Nominal_to_Real,'Input|Rate of change'!V$25:V$30),INDEX('Input|Rate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Q14" s="179">
        <f>IF(Q$11="",0,'Calc|Opex forecast'!Q67*IF('Calc|Opex forecast'!$F67="nominal",LOOKUP($F14,Nominal_to_Real,'Input|Rate of change'!W$25:W$30),INDEX('Input|Rate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R14" s="179">
        <f>IF(R$11="",0,'Calc|Opex forecast'!R67*IF('Calc|Opex forecast'!$F67="nominal",LOOKUP($F14,Nominal_to_Real,'Input|Rate of change'!X$25:X$30),INDEX('Input|Rate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S14" s="179">
        <f>IF(S$11="",0,'Calc|Opex forecast'!S67*IF('Calc|Opex forecast'!$F67="nominal",LOOKUP($F14,Nominal_to_Real,'Input|Rate of change'!Y$25:Y$30),INDEX('Input|Rate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107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forecast'!J68*IF('Calc|Opex forecast'!$F68="nominal",LOOKUP($F15,Nominal_to_Real,'Input|Rate of change'!P$25:P$30),INDEX('Input|Rate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K15" s="179">
        <f>IF(K$11="",0,'Calc|Opex forecast'!K68*IF('Calc|Opex forecast'!$F68="nominal",LOOKUP($F15,Nominal_to_Real,'Input|Rate of change'!Q$25:Q$30),INDEX('Input|Rate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L15" s="179">
        <f>IF(L$11="",0,'Calc|Opex forecast'!L68*IF('Calc|Opex forecast'!$F68="nominal",LOOKUP($F15,Nominal_to_Real,'Input|Rate of change'!R$25:R$30),INDEX('Input|Rate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M15" s="179">
        <f>IF(M$11="",0,'Calc|Opex forecast'!M68*IF('Calc|Opex forecast'!$F68="nominal",LOOKUP($F15,Nominal_to_Real,'Input|Rate of change'!S$25:S$30),INDEX('Input|Rate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N15" s="179">
        <f>IF(N$11="",0,'Calc|Opex forecast'!N68*IF('Calc|Opex forecast'!$F68="nominal",LOOKUP($F15,Nominal_to_Real,'Input|Rate of change'!T$25:T$30),INDEX('Input|Rate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O15" s="179">
        <f>IF(O$11="",0,'Calc|Opex forecast'!O68*IF('Calc|Opex forecast'!$F68="nominal",LOOKUP($F15,Nominal_to_Real,'Input|Rate of change'!U$25:U$30),INDEX('Input|Rate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P15" s="179">
        <f>IF(P$11="",0,'Calc|Opex forecast'!P68*IF('Calc|Opex forecast'!$F68="nominal",LOOKUP($F15,Nominal_to_Real,'Input|Rate of change'!V$25:V$30),INDEX('Input|Rate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Q15" s="179">
        <f>IF(Q$11="",0,'Calc|Opex forecast'!Q68*IF('Calc|Opex forecast'!$F68="nominal",LOOKUP($F15,Nominal_to_Real,'Input|Rate of change'!W$25:W$30),INDEX('Input|Rate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R15" s="179">
        <f>IF(R$11="",0,'Calc|Opex forecast'!R68*IF('Calc|Opex forecast'!$F68="nominal",LOOKUP($F15,Nominal_to_Real,'Input|Rate of change'!X$25:X$30),INDEX('Input|Rate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S15" s="179">
        <f>IF(S$11="",0,'Calc|Opex forecast'!S68*IF('Calc|Opex forecast'!$F68="nominal",LOOKUP($F15,Nominal_to_Real,'Input|Rate of change'!Y$25:Y$30),INDEX('Input|Rate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107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forecast'!J69*IF('Calc|Opex forecast'!$F69="nominal",LOOKUP($F16,Nominal_to_Real,'Input|Rate of change'!P$25:P$30),INDEX('Input|Rate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K16" s="179">
        <f>IF(K$11="",0,'Calc|Opex forecast'!K69*IF('Calc|Opex forecast'!$F69="nominal",LOOKUP($F16,Nominal_to_Real,'Input|Rate of change'!Q$25:Q$30),INDEX('Input|Rate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L16" s="179">
        <f>IF(L$11="",0,'Calc|Opex forecast'!L69*IF('Calc|Opex forecast'!$F69="nominal",LOOKUP($F16,Nominal_to_Real,'Input|Rate of change'!R$25:R$30),INDEX('Input|Rate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M16" s="179">
        <f>IF(M$11="",0,'Calc|Opex forecast'!M69*IF('Calc|Opex forecast'!$F69="nominal",LOOKUP($F16,Nominal_to_Real,'Input|Rate of change'!S$25:S$30),INDEX('Input|Rate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N16" s="179">
        <f>IF(N$11="",0,'Calc|Opex forecast'!N69*IF('Calc|Opex forecast'!$F69="nominal",LOOKUP($F16,Nominal_to_Real,'Input|Rate of change'!T$25:T$30),INDEX('Input|Rate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O16" s="179">
        <f>IF(O$11="",0,'Calc|Opex forecast'!O69*IF('Calc|Opex forecast'!$F69="nominal",LOOKUP($F16,Nominal_to_Real,'Input|Rate of change'!U$25:U$30),INDEX('Input|Rate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P16" s="179">
        <f>IF(P$11="",0,'Calc|Opex forecast'!P69*IF('Calc|Opex forecast'!$F69="nominal",LOOKUP($F16,Nominal_to_Real,'Input|Rate of change'!V$25:V$30),INDEX('Input|Rate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Q16" s="179">
        <f>IF(Q$11="",0,'Calc|Opex forecast'!Q69*IF('Calc|Opex forecast'!$F69="nominal",LOOKUP($F16,Nominal_to_Real,'Input|Rate of change'!W$25:W$30),INDEX('Input|Rate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R16" s="179">
        <f>IF(R$11="",0,'Calc|Opex forecast'!R69*IF('Calc|Opex forecast'!$F69="nominal",LOOKUP($F16,Nominal_to_Real,'Input|Rate of change'!X$25:X$30),INDEX('Input|Rate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S16" s="179">
        <f>IF(S$11="",0,'Calc|Opex forecast'!S69*IF('Calc|Opex forecast'!$F69="nominal",LOOKUP($F16,Nominal_to_Real,'Input|Rate of change'!Y$25:Y$30),INDEX('Input|Rate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T16" s="111"/>
      <c r="U16" s="206"/>
    </row>
    <row r="17" spans="1:23">
      <c r="C17" s="111"/>
      <c r="D17" s="34"/>
      <c r="F17" s="161"/>
      <c r="H17" s="32"/>
      <c r="I17" s="32"/>
      <c r="J17" s="179"/>
      <c r="K17" s="179"/>
      <c r="L17" s="179"/>
      <c r="M17" s="179"/>
      <c r="N17" s="179"/>
      <c r="S17" s="23"/>
      <c r="T17" s="111"/>
      <c r="U17" s="206"/>
    </row>
    <row r="18" spans="1:23">
      <c r="C18" s="67" t="s">
        <v>178</v>
      </c>
      <c r="D18" s="34"/>
      <c r="F18" s="161"/>
      <c r="H18" s="32"/>
      <c r="I18" s="32"/>
      <c r="J18" s="179"/>
      <c r="K18" s="179"/>
      <c r="L18" s="179"/>
      <c r="M18" s="179"/>
      <c r="N18" s="179"/>
      <c r="S18" s="23"/>
      <c r="T18" s="111"/>
      <c r="U18" s="206"/>
    </row>
    <row r="19" spans="1:23">
      <c r="C19" s="111"/>
      <c r="D19" s="34"/>
      <c r="F19" s="161"/>
      <c r="H19" s="32"/>
      <c r="I19" s="32"/>
      <c r="J19" s="179"/>
      <c r="K19" s="179"/>
      <c r="L19" s="179"/>
      <c r="M19" s="179"/>
      <c r="N19" s="179"/>
      <c r="T19" s="111"/>
      <c r="U19" s="206"/>
    </row>
    <row r="20" spans="1:23">
      <c r="C20" s="111" t="str">
        <f>'Calc|Opex forecast'!C80</f>
        <v>Total forecast opex, excluding debt raising costs</v>
      </c>
      <c r="D20" s="34" t="s">
        <v>107</v>
      </c>
      <c r="E20" s="30" t="str">
        <f t="shared" ref="E20" si="2">$E$8</f>
        <v>$millions</v>
      </c>
      <c r="F20" s="161">
        <f t="shared" ref="F20" si="3">$F$8</f>
        <v>43617</v>
      </c>
      <c r="H20" s="32"/>
      <c r="I20" s="32"/>
      <c r="J20" s="179"/>
      <c r="K20" s="179"/>
      <c r="L20" s="179"/>
      <c r="M20" s="179"/>
      <c r="N20" s="179"/>
      <c r="O20" s="179">
        <f>IF(O$11="",0,'Calc|Opex forecast'!O82*IF('Calc|Opex forecast'!$F82="nominal",LOOKUP($F20,Nominal_to_Real,'Input|Rate of change'!U$25:U$30),INDEX('Input|Rate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34.887157357256179</v>
      </c>
      <c r="P20" s="179">
        <f>IF(P$11="",0,'Calc|Opex forecast'!P82*IF('Calc|Opex forecast'!$F82="nominal",LOOKUP($F20,Nominal_to_Real,'Input|Rate of change'!V$25:V$30),INDEX('Input|Rate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34.879503665880016</v>
      </c>
      <c r="Q20" s="179">
        <f>IF(Q$11="",0,'Calc|Opex forecast'!Q82*IF('Calc|Opex forecast'!$F82="nominal",LOOKUP($F20,Nominal_to_Real,'Input|Rate of change'!W$25:W$30),INDEX('Input|Rate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34.966489027843089</v>
      </c>
      <c r="R20" s="179">
        <f>IF(R$11="",0,'Calc|Opex forecast'!R82*IF('Calc|Opex forecast'!$F82="nominal",LOOKUP($F20,Nominal_to_Real,'Input|Rate of change'!X$25:X$30),INDEX('Input|Rate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35.116911108748965</v>
      </c>
      <c r="S20" s="179">
        <f>IF(S$11="",0,'Calc|Opex forecast'!S82*IF('Calc|Opex forecast'!$F82="nominal",LOOKUP($F20,Nominal_to_Real,'Input|Rate of change'!Y$25:Y$30),INDEX('Input|Rate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35.220209077664592</v>
      </c>
      <c r="T20" s="111"/>
      <c r="U20" s="206"/>
    </row>
    <row r="21" spans="1:23">
      <c r="D21" s="34"/>
      <c r="H21" s="32"/>
      <c r="I21" s="32"/>
      <c r="N21" s="142"/>
      <c r="S21" s="23"/>
    </row>
    <row r="22" spans="1:23" s="103" customFormat="1" ht="13.2">
      <c r="A22" s="94"/>
      <c r="B22" s="95" t="s">
        <v>21</v>
      </c>
      <c r="C22" s="94"/>
      <c r="D22" s="94"/>
      <c r="E22" s="94"/>
      <c r="F22" s="96"/>
      <c r="G22" s="96"/>
      <c r="H22" s="96"/>
      <c r="I22" s="96"/>
      <c r="J22" s="97"/>
      <c r="K22" s="98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8"/>
      <c r="W22" s="98"/>
    </row>
    <row r="23" spans="1:23" hidden="1"/>
    <row r="24" spans="1:23" hidden="1"/>
    <row r="25" spans="1:23" hidden="1"/>
    <row r="26" spans="1:23" hidden="1"/>
    <row r="27" spans="1:23" hidden="1"/>
    <row r="28" spans="1:23" hidden="1">
      <c r="M28" s="146"/>
      <c r="N28" s="146"/>
      <c r="O28" s="146"/>
      <c r="P28" s="146"/>
      <c r="Q28" s="146"/>
      <c r="R28" s="146"/>
      <c r="S28" s="146"/>
    </row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7:N19 J13:S16 J20:S20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20">
      <formula1>$G$24:$G$30</formula1>
    </dataValidation>
    <dataValidation type="list" allowBlank="1" showInputMessage="1" showErrorMessage="1" sqref="F21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  <hyperlink ref="D20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workbookViewId="0">
      <selection activeCell="G64" sqref="G64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7" style="7" customWidth="1"/>
    <col min="5" max="5" width="15.85546875" style="7" customWidth="1"/>
    <col min="6" max="6" width="10.7109375" style="7" customWidth="1"/>
    <col min="7" max="7" width="15" style="16" customWidth="1"/>
    <col min="8" max="9" width="15" style="8" customWidth="1"/>
    <col min="10" max="23" width="10.85546875" style="8" customWidth="1"/>
    <col min="24" max="311" width="10.42578125" style="8" hidden="1" customWidth="1"/>
    <col min="312" max="16371" width="10.42578125" style="8" hidden="1"/>
    <col min="16372" max="16372" width="0" style="8" hidden="1"/>
    <col min="16373" max="16384" width="10.42578125" style="8" hidden="1"/>
  </cols>
  <sheetData>
    <row r="1" spans="1:47" s="38" customFormat="1" ht="15.6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3.2">
      <c r="B2" s="53" t="str">
        <f>Index!$C$15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.2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.2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71</v>
      </c>
      <c r="E10" s="16"/>
      <c r="F10" s="16"/>
      <c r="G10" s="52" t="s">
        <v>12</v>
      </c>
    </row>
    <row r="11" spans="1:47">
      <c r="C11" s="15" t="s">
        <v>13</v>
      </c>
      <c r="D11" s="16" t="s">
        <v>71</v>
      </c>
      <c r="E11" s="16"/>
      <c r="F11" s="16"/>
      <c r="G11" s="52" t="s">
        <v>20</v>
      </c>
    </row>
    <row r="12" spans="1:47">
      <c r="C12" s="15" t="s">
        <v>14</v>
      </c>
      <c r="D12" s="16" t="s">
        <v>71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71</v>
      </c>
      <c r="E14" s="16"/>
      <c r="F14" s="16"/>
      <c r="G14" s="52" t="s">
        <v>31</v>
      </c>
    </row>
    <row r="15" spans="1:47">
      <c r="C15" s="15" t="s">
        <v>8</v>
      </c>
      <c r="D15" s="16" t="s">
        <v>71</v>
      </c>
      <c r="E15" s="16"/>
      <c r="F15" s="16"/>
      <c r="G15" s="52" t="s">
        <v>11</v>
      </c>
    </row>
    <row r="16" spans="1:47">
      <c r="C16" s="15" t="s">
        <v>17</v>
      </c>
      <c r="D16" s="16" t="s">
        <v>71</v>
      </c>
      <c r="E16" s="16"/>
      <c r="F16" s="16"/>
      <c r="G16" s="52" t="s">
        <v>18</v>
      </c>
    </row>
    <row r="17" spans="1:47">
      <c r="C17" s="15" t="s">
        <v>37</v>
      </c>
      <c r="D17" s="16" t="s">
        <v>71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71</v>
      </c>
      <c r="E19" s="16"/>
      <c r="F19" s="16"/>
      <c r="G19" s="52" t="s">
        <v>23</v>
      </c>
    </row>
    <row r="20" spans="1:47">
      <c r="C20" s="15" t="s">
        <v>76</v>
      </c>
      <c r="D20" s="16" t="s">
        <v>71</v>
      </c>
      <c r="E20" s="16"/>
      <c r="F20" s="16"/>
      <c r="G20" s="52" t="s">
        <v>76</v>
      </c>
    </row>
    <row r="21" spans="1:47">
      <c r="C21" s="15"/>
      <c r="D21" s="16"/>
      <c r="E21" s="16"/>
      <c r="F21" s="16"/>
      <c r="G21" s="8"/>
    </row>
    <row r="22" spans="1:47" customFormat="1" ht="13.2">
      <c r="A22" s="43"/>
      <c r="B22" s="51" t="s">
        <v>121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122</v>
      </c>
      <c r="D25" s="16" t="s">
        <v>71</v>
      </c>
      <c r="E25" s="16"/>
      <c r="F25" s="16"/>
      <c r="G25" s="154">
        <v>36526</v>
      </c>
      <c r="H25" s="14"/>
    </row>
    <row r="26" spans="1:47">
      <c r="C26" s="15" t="s">
        <v>123</v>
      </c>
      <c r="D26" s="16" t="s">
        <v>71</v>
      </c>
      <c r="E26" s="16"/>
      <c r="F26" s="16"/>
      <c r="G26" s="154">
        <v>36557</v>
      </c>
      <c r="H26" s="14"/>
    </row>
    <row r="27" spans="1:47">
      <c r="C27" s="15" t="s">
        <v>124</v>
      </c>
      <c r="D27" s="16" t="s">
        <v>71</v>
      </c>
      <c r="E27" s="16"/>
      <c r="F27" s="16"/>
      <c r="G27" s="154">
        <v>36586</v>
      </c>
      <c r="H27" s="14"/>
    </row>
    <row r="28" spans="1:47">
      <c r="C28" s="15" t="s">
        <v>125</v>
      </c>
      <c r="D28" s="16" t="s">
        <v>71</v>
      </c>
      <c r="E28" s="16"/>
      <c r="F28" s="16"/>
      <c r="G28" s="154">
        <v>36617</v>
      </c>
    </row>
    <row r="29" spans="1:47">
      <c r="C29" s="15" t="s">
        <v>126</v>
      </c>
      <c r="D29" s="16" t="s">
        <v>71</v>
      </c>
      <c r="E29" s="16"/>
      <c r="F29" s="16"/>
      <c r="G29" s="154">
        <v>36647</v>
      </c>
    </row>
    <row r="30" spans="1:47">
      <c r="C30" s="15" t="s">
        <v>127</v>
      </c>
      <c r="D30" s="16" t="s">
        <v>71</v>
      </c>
      <c r="E30" s="16"/>
      <c r="F30" s="16"/>
      <c r="G30" s="154">
        <v>36678</v>
      </c>
      <c r="T30" s="17"/>
    </row>
    <row r="31" spans="1:47">
      <c r="C31" s="15" t="s">
        <v>128</v>
      </c>
      <c r="D31" s="16" t="s">
        <v>71</v>
      </c>
      <c r="E31" s="16"/>
      <c r="F31" s="16"/>
      <c r="G31" s="154">
        <v>36708</v>
      </c>
      <c r="T31" s="17"/>
    </row>
    <row r="32" spans="1:47">
      <c r="C32" s="15" t="s">
        <v>129</v>
      </c>
      <c r="D32" s="16" t="s">
        <v>71</v>
      </c>
      <c r="E32" s="16"/>
      <c r="F32" s="16"/>
      <c r="G32" s="154">
        <v>36739</v>
      </c>
      <c r="T32" s="17"/>
    </row>
    <row r="33" spans="1:47">
      <c r="C33" s="15" t="s">
        <v>130</v>
      </c>
      <c r="D33" s="16" t="s">
        <v>71</v>
      </c>
      <c r="E33" s="16"/>
      <c r="F33" s="16"/>
      <c r="G33" s="154">
        <v>36770</v>
      </c>
      <c r="T33" s="17"/>
    </row>
    <row r="34" spans="1:47">
      <c r="C34" s="15" t="s">
        <v>131</v>
      </c>
      <c r="D34" s="16" t="s">
        <v>71</v>
      </c>
      <c r="E34" s="16"/>
      <c r="F34" s="16"/>
      <c r="G34" s="154">
        <v>36800</v>
      </c>
      <c r="T34" s="17"/>
    </row>
    <row r="35" spans="1:47">
      <c r="C35" s="15" t="s">
        <v>132</v>
      </c>
      <c r="D35" s="16" t="s">
        <v>71</v>
      </c>
      <c r="E35" s="16"/>
      <c r="F35" s="16"/>
      <c r="G35" s="154">
        <v>36831</v>
      </c>
      <c r="T35" s="17"/>
    </row>
    <row r="36" spans="1:47">
      <c r="C36" s="15" t="s">
        <v>133</v>
      </c>
      <c r="D36" s="16" t="s">
        <v>71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.2">
      <c r="A38" s="43"/>
      <c r="B38" s="51" t="s">
        <v>72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71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71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71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71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71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71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71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71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71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71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71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71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71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71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71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71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71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71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71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71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3.2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120</v>
      </c>
    </row>
    <row r="65" spans="1:47">
      <c r="C65" s="15" t="s">
        <v>141</v>
      </c>
      <c r="D65" s="16" t="s">
        <v>101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142</v>
      </c>
      <c r="D66" s="16" t="s">
        <v>101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143</v>
      </c>
      <c r="D67" s="16" t="s">
        <v>101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144</v>
      </c>
      <c r="D68" s="16" t="s">
        <v>101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145</v>
      </c>
      <c r="D69" s="16" t="s">
        <v>101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146</v>
      </c>
      <c r="D70" s="16" t="s">
        <v>101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147</v>
      </c>
      <c r="D71" s="16" t="s">
        <v>101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148</v>
      </c>
      <c r="D72" s="16" t="s">
        <v>101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149</v>
      </c>
      <c r="D73" s="16" t="s">
        <v>101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150</v>
      </c>
      <c r="D74" s="16" t="s">
        <v>101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3.2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5"/>
  <sheetViews>
    <sheetView showGridLines="0" workbookViewId="0">
      <selection activeCell="A25" sqref="A25:XFD25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20.28515625" style="7" bestFit="1" customWidth="1"/>
    <col min="5" max="5" width="15.85546875" style="7" customWidth="1"/>
    <col min="6" max="6" width="10.7109375" style="7" customWidth="1"/>
    <col min="7" max="7" width="15" style="16" customWidth="1"/>
    <col min="8" max="9" width="5.28515625" style="8" customWidth="1"/>
    <col min="10" max="20" width="10.85546875" style="8" customWidth="1"/>
    <col min="21" max="23" width="10.85546875" style="8" hidden="1" customWidth="1"/>
    <col min="24" max="38" width="10.42578125" style="8" hidden="1" customWidth="1"/>
    <col min="39" max="16384" width="10.42578125" style="8" hidden="1"/>
  </cols>
  <sheetData>
    <row r="1" spans="1:47" s="38" customFormat="1" ht="15.6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IF(COUNTIF(G10:G17,"Check")=0,"Ok","Check")</f>
        <v>Ok</v>
      </c>
      <c r="U1" s="39"/>
      <c r="V1" s="40"/>
    </row>
    <row r="2" spans="1:47" s="38" customFormat="1" ht="13.2">
      <c r="B2" s="53" t="str">
        <f>Index!$C$16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.2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.2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Input | Dx Tx split</v>
      </c>
      <c r="D15" s="34" t="str">
        <f>C15</f>
        <v>Input | Dx 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47">
      <c r="C16" s="15" t="str">
        <f>Index!C13</f>
        <v>Calc | Opex Forecast</v>
      </c>
      <c r="D16" s="34" t="str">
        <f t="shared" si="0"/>
        <v>Calc | Opex Forecast</v>
      </c>
      <c r="E16" s="16" t="s">
        <v>28</v>
      </c>
      <c r="F16" s="16"/>
      <c r="G16" s="18" t="str">
        <f>'Calc|Opex forecast'!S1</f>
        <v>OK</v>
      </c>
      <c r="H16" s="16"/>
      <c r="T16" s="17"/>
    </row>
    <row r="17" spans="1:47">
      <c r="C17" s="15" t="str">
        <f>Index!C14</f>
        <v>Output | Models</v>
      </c>
      <c r="D17" s="34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47">
      <c r="C18" s="15"/>
    </row>
    <row r="19" spans="1:47" customFormat="1" ht="13.2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6" location="'Calc|Opex Forecast'!A1" display="'Calc|Opex Forecast'!A1"/>
    <hyperlink ref="D17" location="'Output|Models'!A1" display="'Output|Models'!A1"/>
    <hyperlink ref="D11" location="'Input|Inflation'!A1" display="'Input|Inflation'!A1"/>
    <hyperlink ref="R1" location="'Check|List'!A1" display="Overall Check:"/>
    <hyperlink ref="D15" location="'Input|Dx Tx split'!A1" display="'Input|Dx Tx split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Title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2018-10-27T05:40:49Z</dcterms:created>
  <dcterms:modified xsi:type="dcterms:W3CDTF">2019-01-03T00:49:57Z</dcterms:modified>
</cp:coreProperties>
</file>