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C:\Users\OW\OneDrive\Documents\AER-CCP\Tax\Rersearch\"/>
    </mc:Choice>
  </mc:AlternateContent>
  <xr:revisionPtr revIDLastSave="8" documentId="8_{EB8C24FE-AD4D-4767-B862-A86B909BF263}" xr6:coauthVersionLast="38" xr6:coauthVersionMax="38" xr10:uidLastSave="{2DCCDEA9-8BF7-46B9-A8D2-444D8C88A4AF}"/>
  <bookViews>
    <workbookView xWindow="0" yWindow="0" windowWidth="22560" windowHeight="10395" xr2:uid="{00000000-000D-0000-FFFF-FFFF00000000}"/>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59" i="1" l="1"/>
  <c r="E59" i="1"/>
  <c r="F59" i="1"/>
  <c r="G59" i="1"/>
  <c r="H59" i="1"/>
  <c r="I59" i="1"/>
  <c r="J59" i="1"/>
  <c r="K59" i="1"/>
  <c r="L59" i="1"/>
  <c r="M59" i="1"/>
  <c r="N59" i="1"/>
  <c r="O59" i="1"/>
  <c r="P59" i="1"/>
  <c r="Q59" i="1"/>
  <c r="R59" i="1"/>
  <c r="S59" i="1"/>
  <c r="T59" i="1"/>
  <c r="U59" i="1"/>
  <c r="V59" i="1"/>
  <c r="W59" i="1"/>
  <c r="D59" i="1"/>
  <c r="E37" i="1"/>
  <c r="F37" i="1"/>
  <c r="G37" i="1"/>
  <c r="H37" i="1"/>
  <c r="I37" i="1"/>
  <c r="J37" i="1"/>
  <c r="K37" i="1"/>
  <c r="L37" i="1"/>
  <c r="M37" i="1"/>
  <c r="N37" i="1"/>
  <c r="O37" i="1"/>
  <c r="P37" i="1"/>
  <c r="Q37" i="1"/>
  <c r="R37" i="1"/>
  <c r="S37" i="1"/>
  <c r="T37" i="1"/>
  <c r="U37" i="1"/>
  <c r="V37" i="1"/>
  <c r="W37" i="1"/>
  <c r="D37" i="1"/>
  <c r="C45" i="1" l="1"/>
  <c r="C23" i="1"/>
  <c r="F53" i="1" l="1"/>
  <c r="J53" i="1"/>
  <c r="D53" i="1"/>
  <c r="L53" i="1"/>
  <c r="M53" i="1"/>
  <c r="G53" i="1"/>
  <c r="K53" i="1"/>
  <c r="I53" i="1"/>
  <c r="H53" i="1"/>
  <c r="E53" i="1"/>
  <c r="H31" i="1"/>
  <c r="L31" i="1"/>
  <c r="I31" i="1"/>
  <c r="J31" i="1"/>
  <c r="K31" i="1"/>
  <c r="E31" i="1"/>
  <c r="M31" i="1"/>
  <c r="F31" i="1"/>
  <c r="D31" i="1"/>
  <c r="G31" i="1"/>
  <c r="C51" i="1"/>
  <c r="C49" i="1"/>
  <c r="C50" i="1" s="1"/>
  <c r="C64" i="1" s="1"/>
  <c r="C47" i="1"/>
  <c r="C54" i="1" s="1"/>
  <c r="D46" i="1"/>
  <c r="C25" i="1"/>
  <c r="D24" i="1"/>
  <c r="C10" i="1"/>
  <c r="D9" i="1"/>
  <c r="D10" i="1" s="1"/>
  <c r="D55" i="1" l="1"/>
  <c r="D54" i="1"/>
  <c r="D47" i="1"/>
  <c r="E48" i="1" s="1"/>
  <c r="D26" i="1"/>
  <c r="D27" i="1" s="1"/>
  <c r="D28" i="1" s="1"/>
  <c r="D42" i="1" s="1"/>
  <c r="C32" i="1"/>
  <c r="D33" i="1" s="1"/>
  <c r="D32" i="1"/>
  <c r="D48" i="1"/>
  <c r="D49" i="1" s="1"/>
  <c r="D11" i="1"/>
  <c r="D12" i="1" s="1"/>
  <c r="D13" i="1" s="1"/>
  <c r="D74" i="1" s="1"/>
  <c r="E9" i="1"/>
  <c r="F9" i="1" s="1"/>
  <c r="G9" i="1" s="1"/>
  <c r="H9" i="1" s="1"/>
  <c r="I9" i="1" s="1"/>
  <c r="J9" i="1" s="1"/>
  <c r="K9" i="1" s="1"/>
  <c r="L9" i="1" s="1"/>
  <c r="M9" i="1" s="1"/>
  <c r="N9" i="1" s="1"/>
  <c r="O9" i="1" s="1"/>
  <c r="P9" i="1" s="1"/>
  <c r="Q9" i="1" s="1"/>
  <c r="R9" i="1" s="1"/>
  <c r="S9" i="1" s="1"/>
  <c r="T9" i="1" s="1"/>
  <c r="U9" i="1" s="1"/>
  <c r="V9" i="1" s="1"/>
  <c r="W9" i="1" s="1"/>
  <c r="C52" i="1"/>
  <c r="E46" i="1"/>
  <c r="E49" i="1" s="1"/>
  <c r="C29" i="1"/>
  <c r="C30" i="1" s="1"/>
  <c r="C37" i="1" s="1"/>
  <c r="E24" i="1"/>
  <c r="D25" i="1"/>
  <c r="E11" i="1"/>
  <c r="E12" i="1" s="1"/>
  <c r="D56" i="1" l="1"/>
  <c r="N41" i="1"/>
  <c r="E54" i="1"/>
  <c r="E55" i="1"/>
  <c r="E56" i="1" s="1"/>
  <c r="E32" i="1"/>
  <c r="E33" i="1"/>
  <c r="D34" i="1"/>
  <c r="E47" i="1"/>
  <c r="F48" i="1" s="1"/>
  <c r="D14" i="1"/>
  <c r="D15" i="1" s="1"/>
  <c r="D17" i="1" s="1"/>
  <c r="D20" i="1" s="1"/>
  <c r="E13" i="1"/>
  <c r="E74" i="1" s="1"/>
  <c r="D29" i="1"/>
  <c r="D30" i="1" s="1"/>
  <c r="E10" i="1"/>
  <c r="F46" i="1"/>
  <c r="E25" i="1"/>
  <c r="E26" i="1"/>
  <c r="E27" i="1" s="1"/>
  <c r="F24" i="1"/>
  <c r="F49" i="1" l="1"/>
  <c r="F54" i="1"/>
  <c r="F55" i="1"/>
  <c r="F56" i="1" s="1"/>
  <c r="E34" i="1"/>
  <c r="F32" i="1"/>
  <c r="F33" i="1"/>
  <c r="F47" i="1"/>
  <c r="G48" i="1" s="1"/>
  <c r="G46" i="1"/>
  <c r="E14" i="1"/>
  <c r="E15" i="1" s="1"/>
  <c r="E17" i="1" s="1"/>
  <c r="E20" i="1" s="1"/>
  <c r="F10" i="1"/>
  <c r="F11" i="1"/>
  <c r="G24" i="1"/>
  <c r="E28" i="1"/>
  <c r="E42" i="1" s="1"/>
  <c r="F26" i="1"/>
  <c r="F27" i="1" s="1"/>
  <c r="F25" i="1"/>
  <c r="G49" i="1" l="1"/>
  <c r="O41" i="1"/>
  <c r="G54" i="1"/>
  <c r="G55" i="1"/>
  <c r="G56" i="1" s="1"/>
  <c r="F34" i="1"/>
  <c r="G32" i="1"/>
  <c r="G33" i="1"/>
  <c r="G47" i="1"/>
  <c r="H48" i="1" s="1"/>
  <c r="H46" i="1"/>
  <c r="H49" i="1" s="1"/>
  <c r="F12" i="1"/>
  <c r="F13" i="1" s="1"/>
  <c r="F74" i="1" s="1"/>
  <c r="E29" i="1"/>
  <c r="E30" i="1" s="1"/>
  <c r="G11" i="1"/>
  <c r="G12" i="1" s="1"/>
  <c r="G13" i="1" s="1"/>
  <c r="G10" i="1"/>
  <c r="H24" i="1"/>
  <c r="G26" i="1"/>
  <c r="G27" i="1" s="1"/>
  <c r="G28" i="1" s="1"/>
  <c r="G42" i="1" s="1"/>
  <c r="G25" i="1"/>
  <c r="F28" i="1"/>
  <c r="F42" i="1" s="1"/>
  <c r="G74" i="1" l="1"/>
  <c r="Q41" i="1"/>
  <c r="I46" i="1"/>
  <c r="H54" i="1"/>
  <c r="H55" i="1"/>
  <c r="H56" i="1" s="1"/>
  <c r="P41" i="1"/>
  <c r="H32" i="1"/>
  <c r="H33" i="1"/>
  <c r="G34" i="1"/>
  <c r="H47" i="1"/>
  <c r="I48" i="1" s="1"/>
  <c r="G14" i="1"/>
  <c r="G15" i="1" s="1"/>
  <c r="G17" i="1" s="1"/>
  <c r="F14" i="1"/>
  <c r="F15" i="1" s="1"/>
  <c r="F17" i="1" s="1"/>
  <c r="F20" i="1" s="1"/>
  <c r="G29" i="1"/>
  <c r="G30" i="1" s="1"/>
  <c r="H11" i="1"/>
  <c r="H10" i="1"/>
  <c r="F29" i="1"/>
  <c r="F30" i="1" s="1"/>
  <c r="H26" i="1"/>
  <c r="H27" i="1" s="1"/>
  <c r="H25" i="1"/>
  <c r="I24" i="1"/>
  <c r="J46" i="1" l="1"/>
  <c r="I49" i="1"/>
  <c r="I54" i="1"/>
  <c r="I55" i="1"/>
  <c r="I56" i="1" s="1"/>
  <c r="I47" i="1"/>
  <c r="J48" i="1" s="1"/>
  <c r="I32" i="1"/>
  <c r="I33" i="1"/>
  <c r="H34" i="1"/>
  <c r="G20" i="1"/>
  <c r="I10" i="1"/>
  <c r="I11" i="1"/>
  <c r="I12" i="1" s="1"/>
  <c r="I13" i="1" s="1"/>
  <c r="H12" i="1"/>
  <c r="H13" i="1" s="1"/>
  <c r="H74" i="1" s="1"/>
  <c r="K46" i="1"/>
  <c r="H28" i="1"/>
  <c r="H42" i="1" s="1"/>
  <c r="J24" i="1"/>
  <c r="I26" i="1"/>
  <c r="I27" i="1" s="1"/>
  <c r="I25" i="1"/>
  <c r="J49" i="1" l="1"/>
  <c r="I74" i="1"/>
  <c r="J47" i="1"/>
  <c r="K48" i="1" s="1"/>
  <c r="J54" i="1"/>
  <c r="J55" i="1"/>
  <c r="J56" i="1" s="1"/>
  <c r="R41" i="1"/>
  <c r="J32" i="1"/>
  <c r="J33" i="1"/>
  <c r="I34" i="1"/>
  <c r="H14" i="1"/>
  <c r="H15" i="1" s="1"/>
  <c r="H17" i="1" s="1"/>
  <c r="H20" i="1" s="1"/>
  <c r="I14" i="1"/>
  <c r="I15" i="1" s="1"/>
  <c r="I17" i="1" s="1"/>
  <c r="H29" i="1"/>
  <c r="H30" i="1" s="1"/>
  <c r="J10" i="1"/>
  <c r="J11" i="1"/>
  <c r="L46" i="1"/>
  <c r="I28" i="1"/>
  <c r="I42" i="1" s="1"/>
  <c r="K24" i="1"/>
  <c r="J26" i="1"/>
  <c r="J27" i="1" s="1"/>
  <c r="J25" i="1"/>
  <c r="K47" i="1" l="1"/>
  <c r="S41" i="1"/>
  <c r="K54" i="1"/>
  <c r="K55" i="1"/>
  <c r="K56" i="1" s="1"/>
  <c r="K32" i="1"/>
  <c r="K33" i="1"/>
  <c r="J34" i="1"/>
  <c r="I20" i="1"/>
  <c r="C39" i="1"/>
  <c r="D39" i="1" s="1"/>
  <c r="C19" i="1"/>
  <c r="D19" i="1" s="1"/>
  <c r="K11" i="1"/>
  <c r="K10" i="1"/>
  <c r="I29" i="1"/>
  <c r="I30" i="1" s="1"/>
  <c r="J12" i="1"/>
  <c r="J13" i="1" s="1"/>
  <c r="J74" i="1" s="1"/>
  <c r="K49" i="1"/>
  <c r="M46" i="1"/>
  <c r="L47" i="1"/>
  <c r="L48" i="1"/>
  <c r="J28" i="1"/>
  <c r="J42" i="1" s="1"/>
  <c r="L24" i="1"/>
  <c r="K26" i="1"/>
  <c r="K27" i="1" s="1"/>
  <c r="K25" i="1"/>
  <c r="L54" i="1" l="1"/>
  <c r="L55" i="1"/>
  <c r="L56" i="1" s="1"/>
  <c r="T41" i="1"/>
  <c r="K34" i="1"/>
  <c r="L32" i="1"/>
  <c r="L33" i="1"/>
  <c r="K50" i="1"/>
  <c r="K70" i="1" s="1"/>
  <c r="J14" i="1"/>
  <c r="J15" i="1" s="1"/>
  <c r="J17" i="1" s="1"/>
  <c r="J20" i="1" s="1"/>
  <c r="L10" i="1"/>
  <c r="L11" i="1"/>
  <c r="J29" i="1"/>
  <c r="J30" i="1" s="1"/>
  <c r="K12" i="1"/>
  <c r="K13" i="1" s="1"/>
  <c r="K74" i="1" s="1"/>
  <c r="L49" i="1"/>
  <c r="N46" i="1"/>
  <c r="M48" i="1"/>
  <c r="M47" i="1"/>
  <c r="M24" i="1"/>
  <c r="K28" i="1"/>
  <c r="K42" i="1" s="1"/>
  <c r="L26" i="1"/>
  <c r="L27" i="1" s="1"/>
  <c r="L25" i="1"/>
  <c r="U41" i="1" l="1"/>
  <c r="M54" i="1"/>
  <c r="M55" i="1"/>
  <c r="M56" i="1" s="1"/>
  <c r="M32" i="1"/>
  <c r="M33" i="1"/>
  <c r="L34" i="1"/>
  <c r="L50" i="1"/>
  <c r="L70" i="1" s="1"/>
  <c r="K51" i="1"/>
  <c r="K52" i="1" s="1"/>
  <c r="K14" i="1"/>
  <c r="K15" i="1" s="1"/>
  <c r="K17" i="1" s="1"/>
  <c r="K20" i="1" s="1"/>
  <c r="L12" i="1"/>
  <c r="L13" i="1" s="1"/>
  <c r="L74" i="1" s="1"/>
  <c r="M74" i="1" s="1"/>
  <c r="K29" i="1"/>
  <c r="K30" i="1" s="1"/>
  <c r="M11" i="1"/>
  <c r="M12" i="1" s="1"/>
  <c r="M13" i="1" s="1"/>
  <c r="M10" i="1"/>
  <c r="M49" i="1"/>
  <c r="O46" i="1"/>
  <c r="N48" i="1"/>
  <c r="N49" i="1" s="1"/>
  <c r="N47" i="1"/>
  <c r="N24" i="1"/>
  <c r="M26" i="1"/>
  <c r="M27" i="1" s="1"/>
  <c r="M25" i="1"/>
  <c r="L28" i="1"/>
  <c r="L42" i="1" s="1"/>
  <c r="N56" i="1" l="1"/>
  <c r="V41" i="1"/>
  <c r="M34" i="1"/>
  <c r="M50" i="1"/>
  <c r="M70" i="1" s="1"/>
  <c r="L51" i="1"/>
  <c r="L52" i="1" s="1"/>
  <c r="M14" i="1"/>
  <c r="M15" i="1" s="1"/>
  <c r="M17" i="1" s="1"/>
  <c r="L14" i="1"/>
  <c r="L15" i="1" s="1"/>
  <c r="L17" i="1" s="1"/>
  <c r="L20" i="1" s="1"/>
  <c r="N11" i="1"/>
  <c r="N10" i="1"/>
  <c r="L29" i="1"/>
  <c r="L30" i="1" s="1"/>
  <c r="N50" i="1"/>
  <c r="O48" i="1"/>
  <c r="O49" i="1" s="1"/>
  <c r="O47" i="1"/>
  <c r="P46" i="1"/>
  <c r="M28" i="1"/>
  <c r="M42" i="1" s="1"/>
  <c r="O24" i="1"/>
  <c r="N26" i="1"/>
  <c r="N27" i="1" s="1"/>
  <c r="N25" i="1"/>
  <c r="M51" i="1" l="1"/>
  <c r="M52" i="1" s="1"/>
  <c r="W41" i="1"/>
  <c r="O56" i="1"/>
  <c r="N34" i="1"/>
  <c r="M20" i="1"/>
  <c r="N51" i="1"/>
  <c r="N52" i="1" s="1"/>
  <c r="M29" i="1"/>
  <c r="M30" i="1" s="1"/>
  <c r="O10" i="1"/>
  <c r="O11" i="1"/>
  <c r="O12" i="1" s="1"/>
  <c r="O13" i="1" s="1"/>
  <c r="O14" i="1" s="1"/>
  <c r="O15" i="1" s="1"/>
  <c r="N12" i="1"/>
  <c r="N13" i="1" s="1"/>
  <c r="P48" i="1"/>
  <c r="P56" i="1" s="1"/>
  <c r="P47" i="1"/>
  <c r="Q46" i="1"/>
  <c r="O50" i="1"/>
  <c r="O26" i="1"/>
  <c r="O27" i="1" s="1"/>
  <c r="O25" i="1"/>
  <c r="P24" i="1"/>
  <c r="N28" i="1"/>
  <c r="N42" i="1" s="1"/>
  <c r="O34" i="1" l="1"/>
  <c r="N14" i="1"/>
  <c r="N15" i="1" s="1"/>
  <c r="N17" i="1" s="1"/>
  <c r="N20" i="1" s="1"/>
  <c r="O17" i="1"/>
  <c r="N29" i="1"/>
  <c r="N30" i="1" s="1"/>
  <c r="P10" i="1"/>
  <c r="P11" i="1"/>
  <c r="O28" i="1"/>
  <c r="O42" i="1" s="1"/>
  <c r="P49" i="1"/>
  <c r="R46" i="1"/>
  <c r="Q48" i="1"/>
  <c r="Q49" i="1" s="1"/>
  <c r="Q47" i="1"/>
  <c r="O51" i="1"/>
  <c r="O52" i="1" s="1"/>
  <c r="P26" i="1"/>
  <c r="P27" i="1" s="1"/>
  <c r="P25" i="1"/>
  <c r="Q24" i="1"/>
  <c r="Q56" i="1" l="1"/>
  <c r="P34" i="1"/>
  <c r="O20" i="1"/>
  <c r="P50" i="1"/>
  <c r="Q10" i="1"/>
  <c r="Q11" i="1"/>
  <c r="Q12" i="1" s="1"/>
  <c r="Q13" i="1" s="1"/>
  <c r="O29" i="1"/>
  <c r="O30" i="1" s="1"/>
  <c r="P12" i="1"/>
  <c r="P13" i="1" s="1"/>
  <c r="R48" i="1"/>
  <c r="R49" i="1" s="1"/>
  <c r="R47" i="1"/>
  <c r="S46" i="1"/>
  <c r="Q50" i="1"/>
  <c r="Q25" i="1"/>
  <c r="Q26" i="1"/>
  <c r="Q27" i="1" s="1"/>
  <c r="R24" i="1"/>
  <c r="P28" i="1"/>
  <c r="P42" i="1" s="1"/>
  <c r="R56" i="1" l="1"/>
  <c r="Q34" i="1"/>
  <c r="P51" i="1"/>
  <c r="P52" i="1" s="1"/>
  <c r="R50" i="1"/>
  <c r="P14" i="1"/>
  <c r="P15" i="1" s="1"/>
  <c r="P17" i="1" s="1"/>
  <c r="P20" i="1" s="1"/>
  <c r="Q14" i="1"/>
  <c r="Q15" i="1" s="1"/>
  <c r="Q17" i="1" s="1"/>
  <c r="P29" i="1"/>
  <c r="P30" i="1" s="1"/>
  <c r="R10" i="1"/>
  <c r="R11" i="1"/>
  <c r="Q28" i="1"/>
  <c r="Q42" i="1" s="1"/>
  <c r="T46" i="1"/>
  <c r="S48" i="1"/>
  <c r="S49" i="1" s="1"/>
  <c r="S47" i="1"/>
  <c r="Q51" i="1"/>
  <c r="Q52" i="1" s="1"/>
  <c r="S24" i="1"/>
  <c r="R26" i="1"/>
  <c r="R27" i="1" s="1"/>
  <c r="R25" i="1"/>
  <c r="S56" i="1" l="1"/>
  <c r="R34" i="1"/>
  <c r="Q20" i="1"/>
  <c r="R51" i="1"/>
  <c r="R52" i="1" s="1"/>
  <c r="S11" i="1"/>
  <c r="S10" i="1"/>
  <c r="Q29" i="1"/>
  <c r="Q30" i="1" s="1"/>
  <c r="R12" i="1"/>
  <c r="R13" i="1" s="1"/>
  <c r="T47" i="1"/>
  <c r="T48" i="1"/>
  <c r="T49" i="1" s="1"/>
  <c r="U46" i="1"/>
  <c r="S50" i="1"/>
  <c r="R28" i="1"/>
  <c r="R42" i="1" s="1"/>
  <c r="T24" i="1"/>
  <c r="S26" i="1"/>
  <c r="S27" i="1" s="1"/>
  <c r="S25" i="1"/>
  <c r="T56" i="1" l="1"/>
  <c r="S34" i="1"/>
  <c r="R14" i="1"/>
  <c r="R15" i="1" s="1"/>
  <c r="R17" i="1" s="1"/>
  <c r="R20" i="1" s="1"/>
  <c r="T11" i="1"/>
  <c r="T10" i="1"/>
  <c r="S12" i="1"/>
  <c r="S13" i="1" s="1"/>
  <c r="R29" i="1"/>
  <c r="R30" i="1" s="1"/>
  <c r="V46" i="1"/>
  <c r="T50" i="1"/>
  <c r="S51" i="1"/>
  <c r="S52" i="1" s="1"/>
  <c r="U48" i="1"/>
  <c r="U49" i="1" s="1"/>
  <c r="U47" i="1"/>
  <c r="T26" i="1"/>
  <c r="T27" i="1" s="1"/>
  <c r="T25" i="1"/>
  <c r="U24" i="1"/>
  <c r="S28" i="1"/>
  <c r="S42" i="1" s="1"/>
  <c r="U56" i="1" l="1"/>
  <c r="T34" i="1"/>
  <c r="S14" i="1"/>
  <c r="S15" i="1" s="1"/>
  <c r="S17" i="1" s="1"/>
  <c r="S20" i="1" s="1"/>
  <c r="U11" i="1"/>
  <c r="U10" i="1"/>
  <c r="S29" i="1"/>
  <c r="S30" i="1" s="1"/>
  <c r="T12" i="1"/>
  <c r="T13" i="1" s="1"/>
  <c r="V48" i="1"/>
  <c r="V49" i="1" s="1"/>
  <c r="V47" i="1"/>
  <c r="W46" i="1"/>
  <c r="T51" i="1"/>
  <c r="T52" i="1" s="1"/>
  <c r="U50" i="1"/>
  <c r="T28" i="1"/>
  <c r="T42" i="1" s="1"/>
  <c r="U25" i="1"/>
  <c r="U26" i="1"/>
  <c r="U27" i="1" s="1"/>
  <c r="V24" i="1"/>
  <c r="V56" i="1" l="1"/>
  <c r="U34" i="1"/>
  <c r="V50" i="1"/>
  <c r="T14" i="1"/>
  <c r="T15" i="1" s="1"/>
  <c r="T17" i="1" s="1"/>
  <c r="T20" i="1" s="1"/>
  <c r="V10" i="1"/>
  <c r="V11" i="1"/>
  <c r="U12" i="1"/>
  <c r="U13" i="1" s="1"/>
  <c r="T29" i="1"/>
  <c r="T30" i="1" s="1"/>
  <c r="W48" i="1"/>
  <c r="W49" i="1" s="1"/>
  <c r="W47" i="1"/>
  <c r="U51" i="1"/>
  <c r="U52" i="1" s="1"/>
  <c r="U28" i="1"/>
  <c r="U42" i="1" s="1"/>
  <c r="V26" i="1"/>
  <c r="V27" i="1" s="1"/>
  <c r="V28" i="1" s="1"/>
  <c r="V42" i="1" s="1"/>
  <c r="V25" i="1"/>
  <c r="W24" i="1"/>
  <c r="W56" i="1" l="1"/>
  <c r="V34" i="1"/>
  <c r="V51" i="1"/>
  <c r="V52" i="1" s="1"/>
  <c r="U14" i="1"/>
  <c r="U15" i="1" s="1"/>
  <c r="U17" i="1" s="1"/>
  <c r="U20" i="1" s="1"/>
  <c r="U29" i="1"/>
  <c r="U30" i="1" s="1"/>
  <c r="V12" i="1"/>
  <c r="V13" i="1" s="1"/>
  <c r="V29" i="1"/>
  <c r="V30" i="1" s="1"/>
  <c r="W11" i="1"/>
  <c r="W10" i="1"/>
  <c r="W50" i="1"/>
  <c r="W26" i="1"/>
  <c r="W27" i="1" s="1"/>
  <c r="W25" i="1"/>
  <c r="C57" i="1" l="1"/>
  <c r="W34" i="1"/>
  <c r="V14" i="1"/>
  <c r="V15" i="1" s="1"/>
  <c r="V17" i="1" s="1"/>
  <c r="V20" i="1" s="1"/>
  <c r="W12" i="1"/>
  <c r="W13" i="1" s="1"/>
  <c r="W51" i="1"/>
  <c r="W52" i="1" s="1"/>
  <c r="W28" i="1"/>
  <c r="W42" i="1" s="1"/>
  <c r="C35" i="1" l="1"/>
  <c r="W29" i="1"/>
  <c r="W30" i="1" s="1"/>
  <c r="C38" i="1" s="1"/>
  <c r="W14" i="1"/>
  <c r="W15" i="1" s="1"/>
  <c r="W17" i="1" s="1"/>
  <c r="W20" i="1" s="1"/>
  <c r="C18" i="1" l="1"/>
  <c r="H70" i="1" l="1"/>
  <c r="I70" i="1"/>
  <c r="E50" i="1"/>
  <c r="F50" i="1"/>
  <c r="F70" i="1" s="1"/>
  <c r="G50" i="1"/>
  <c r="G70" i="1" s="1"/>
  <c r="G51" i="1"/>
  <c r="G52" i="1" s="1"/>
  <c r="I50" i="1"/>
  <c r="I51" i="1"/>
  <c r="I52" i="1"/>
  <c r="J51" i="1"/>
  <c r="J52" i="1" s="1"/>
  <c r="H50" i="1"/>
  <c r="J50" i="1"/>
  <c r="E51" i="1" l="1"/>
  <c r="E52" i="1" s="1"/>
  <c r="E70" i="1"/>
  <c r="F51" i="1"/>
  <c r="F52" i="1" s="1"/>
  <c r="J70" i="1"/>
  <c r="H51" i="1"/>
  <c r="H52" i="1" s="1"/>
  <c r="D66" i="1"/>
  <c r="D67" i="1" s="1"/>
  <c r="D63" i="1"/>
  <c r="D64" i="1" s="1"/>
  <c r="E63" i="1" s="1"/>
  <c r="D50" i="1"/>
  <c r="D51" i="1" s="1"/>
  <c r="D52" i="1" s="1"/>
  <c r="E64" i="1" l="1"/>
  <c r="E66" i="1"/>
  <c r="E67" i="1" s="1"/>
  <c r="D70" i="1"/>
  <c r="D75" i="1" s="1"/>
  <c r="E75" i="1" s="1"/>
  <c r="F75" i="1" s="1"/>
  <c r="G75" i="1" s="1"/>
  <c r="H75" i="1" s="1"/>
  <c r="I75" i="1" s="1"/>
  <c r="J75" i="1" s="1"/>
  <c r="K75" i="1" s="1"/>
  <c r="L75" i="1" s="1"/>
  <c r="M75" i="1" s="1"/>
  <c r="F63" i="1" l="1"/>
  <c r="F66" i="1" s="1"/>
  <c r="F67" i="1" s="1"/>
  <c r="F64" i="1"/>
  <c r="C60" i="1"/>
  <c r="C61" i="1"/>
  <c r="D61" i="1" s="1"/>
  <c r="D68" i="1"/>
  <c r="E68" i="1" s="1"/>
  <c r="F68" i="1" s="1"/>
  <c r="G68" i="1" s="1"/>
  <c r="H68" i="1" s="1"/>
  <c r="I68" i="1" s="1"/>
  <c r="J68" i="1" s="1"/>
  <c r="K68" i="1" s="1"/>
  <c r="L68" i="1" s="1"/>
  <c r="M68" i="1" s="1"/>
  <c r="N68" i="1" s="1"/>
  <c r="O68" i="1" s="1"/>
  <c r="P68" i="1" s="1"/>
  <c r="Q68" i="1" s="1"/>
  <c r="R68" i="1" s="1"/>
  <c r="S68" i="1" s="1"/>
  <c r="T68" i="1" s="1"/>
  <c r="U68" i="1" s="1"/>
  <c r="V68" i="1" s="1"/>
  <c r="W68" i="1" s="1"/>
  <c r="G63" i="1" l="1"/>
  <c r="G66" i="1" s="1"/>
  <c r="G67" i="1" s="1"/>
  <c r="G64" i="1" l="1"/>
  <c r="H63" i="1" l="1"/>
  <c r="H66" i="1" s="1"/>
  <c r="H67" i="1" s="1"/>
  <c r="H64" i="1"/>
  <c r="I63" i="1" l="1"/>
  <c r="I66" i="1" s="1"/>
  <c r="I67" i="1" s="1"/>
  <c r="I64" i="1"/>
  <c r="J63" i="1" l="1"/>
  <c r="J66" i="1" s="1"/>
  <c r="J67" i="1" s="1"/>
  <c r="J64" i="1"/>
  <c r="K63" i="1" l="1"/>
  <c r="K66" i="1" s="1"/>
  <c r="K67" i="1" s="1"/>
  <c r="K64" i="1" l="1"/>
  <c r="L63" i="1" l="1"/>
  <c r="L66" i="1" s="1"/>
  <c r="L67" i="1" s="1"/>
  <c r="L64" i="1"/>
  <c r="M63" i="1" l="1"/>
  <c r="M66" i="1" s="1"/>
  <c r="M67" i="1" s="1"/>
  <c r="M64" i="1"/>
  <c r="N63" i="1" l="1"/>
  <c r="N66" i="1" s="1"/>
  <c r="N67" i="1" s="1"/>
  <c r="N64" i="1"/>
  <c r="O63" i="1" l="1"/>
  <c r="O66" i="1" s="1"/>
  <c r="O67" i="1" s="1"/>
  <c r="O64" i="1" l="1"/>
  <c r="P63" i="1" l="1"/>
  <c r="P66" i="1" s="1"/>
  <c r="P67" i="1" s="1"/>
  <c r="P64" i="1"/>
  <c r="Q63" i="1" l="1"/>
  <c r="Q66" i="1" s="1"/>
  <c r="Q67" i="1" s="1"/>
  <c r="Q64" i="1" l="1"/>
  <c r="R63" i="1" l="1"/>
  <c r="R66" i="1" s="1"/>
  <c r="R67" i="1" s="1"/>
  <c r="R64" i="1"/>
  <c r="S63" i="1" l="1"/>
  <c r="S66" i="1" s="1"/>
  <c r="S67" i="1" s="1"/>
  <c r="S64" i="1" l="1"/>
  <c r="T63" i="1" l="1"/>
  <c r="T66" i="1" s="1"/>
  <c r="T67" i="1" s="1"/>
  <c r="T64" i="1" l="1"/>
  <c r="U63" i="1" l="1"/>
  <c r="U66" i="1" s="1"/>
  <c r="U67" i="1" s="1"/>
  <c r="U64" i="1" l="1"/>
  <c r="V63" i="1" l="1"/>
  <c r="V66" i="1" s="1"/>
  <c r="V67" i="1" s="1"/>
  <c r="V64" i="1" l="1"/>
  <c r="W63" i="1" l="1"/>
  <c r="W66" i="1" s="1"/>
  <c r="W67" i="1" s="1"/>
  <c r="W64" i="1" l="1"/>
</calcChain>
</file>

<file path=xl/sharedStrings.xml><?xml version="1.0" encoding="utf-8"?>
<sst xmlns="http://schemas.openxmlformats.org/spreadsheetml/2006/main" count="84" uniqueCount="53">
  <si>
    <t>Year</t>
  </si>
  <si>
    <t>Replace asset</t>
  </si>
  <si>
    <t>Depreciation</t>
  </si>
  <si>
    <t>Asset value</t>
  </si>
  <si>
    <t>Return on capital</t>
  </si>
  <si>
    <t>WACC</t>
  </si>
  <si>
    <t>Allowed revenue</t>
  </si>
  <si>
    <t>NPV</t>
  </si>
  <si>
    <t>Taxable income</t>
  </si>
  <si>
    <t>Tax paid</t>
  </si>
  <si>
    <t>Tax</t>
  </si>
  <si>
    <t>Issue</t>
  </si>
  <si>
    <t>AER Position</t>
  </si>
  <si>
    <t>ENA position</t>
  </si>
  <si>
    <t>Actual tax pass through vs BEE approach</t>
  </si>
  <si>
    <t>Agree</t>
  </si>
  <si>
    <t>Entity structure and ownership</t>
  </si>
  <si>
    <t>Maintain BEE approach</t>
  </si>
  <si>
    <t>Maintain Australian corporate 30% rate</t>
  </si>
  <si>
    <t>Interest expense</t>
  </si>
  <si>
    <t>Still considering</t>
  </si>
  <si>
    <t>Refurbishments</t>
  </si>
  <si>
    <t>Reflect up-front deduction</t>
  </si>
  <si>
    <t>Maintain current approach</t>
  </si>
  <si>
    <t>Asset lives for gas pipelines</t>
  </si>
  <si>
    <t>Move to DV where appropriate</t>
  </si>
  <si>
    <t>Reflect 20-year asset life</t>
  </si>
  <si>
    <t>Tax allowance</t>
  </si>
  <si>
    <t>Net cash flow to firm</t>
  </si>
  <si>
    <t>Refurbish asset</t>
  </si>
  <si>
    <t>NPV5</t>
  </si>
  <si>
    <t>Refurbish asset: Current approach</t>
  </si>
  <si>
    <t>Refurbish asset: Proposed change</t>
  </si>
  <si>
    <t>Refurb discount</t>
  </si>
  <si>
    <t>Tax loss balance</t>
  </si>
  <si>
    <t>Tax losses used</t>
  </si>
  <si>
    <t>NSP recovery</t>
  </si>
  <si>
    <t>Allowed revenue (TLCF)</t>
  </si>
  <si>
    <t>Reg depreciation</t>
  </si>
  <si>
    <t>Reg asset value</t>
  </si>
  <si>
    <t>True depreciation</t>
  </si>
  <si>
    <t>True asset value</t>
  </si>
  <si>
    <t>True return on capital</t>
  </si>
  <si>
    <t>Reg timing error</t>
  </si>
  <si>
    <t>Reg return on capital</t>
  </si>
  <si>
    <t>Allowed revenue 2</t>
  </si>
  <si>
    <t>Total allowed revenue</t>
  </si>
  <si>
    <t>Replacement (5-yr program)</t>
  </si>
  <si>
    <t>Refurbishment (5-year program)</t>
  </si>
  <si>
    <t>Case:</t>
  </si>
  <si>
    <t>Two  investments, the first can only be capitalised for tax purposes and is clearly inefficient</t>
  </si>
  <si>
    <t>IRR</t>
  </si>
  <si>
    <t>Difference from current approach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</si>
</sst>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_);[Red]\(&quot;$&quot;#,##0.00\)"/>
    <numFmt numFmtId="165" formatCode="0.0%"/>
  </numFmts>
  <fonts count="5" x14ac:knownFonts="1">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sz val="11"/>
      <color theme="1" tint="0.499984740745262"/>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rgb="FF00B0F0"/>
        <bgColor indexed="64"/>
      </patternFill>
    </fill>
  </fills>
  <borders count="2">
    <border>
      <left/>
      <right/>
      <top/>
      <bottom/>
      <diagonal/>
    </border>
    <border>
      <left/>
      <right/>
      <top/>
      <bottom style="medium">
        <color theme="4" tint="0.39997558519241921"/>
      </bottom>
      <diagonal/>
    </border>
  </borders>
  <cellStyleXfs count="3">
    <xf numFmtId="0" fontId="0" fillId="0" borderId="0"/>
    <xf numFmtId="9" fontId="1" fillId="0" borderId="0" applyFont="0" applyFill="0" applyBorder="0" applyAlignment="0" applyProtection="0"/>
    <xf numFmtId="0" fontId="2" fillId="0" borderId="1" applyNumberFormat="0" applyFill="0" applyAlignment="0" applyProtection="0"/>
  </cellStyleXfs>
  <cellXfs count="22">
    <xf numFmtId="0" fontId="0" fillId="0" borderId="0" xfId="0"/>
    <xf numFmtId="164" fontId="0" fillId="0" borderId="0" xfId="0" applyNumberFormat="1"/>
    <xf numFmtId="0" fontId="3" fillId="0" borderId="0" xfId="0" applyFont="1"/>
    <xf numFmtId="2" fontId="0" fillId="0" borderId="0" xfId="0" applyNumberFormat="1"/>
    <xf numFmtId="2" fontId="0" fillId="2" borderId="0" xfId="0" applyNumberFormat="1" applyFill="1"/>
    <xf numFmtId="0" fontId="0" fillId="2" borderId="0" xfId="0" applyFill="1"/>
    <xf numFmtId="2" fontId="0" fillId="3" borderId="0" xfId="0" applyNumberFormat="1" applyFill="1"/>
    <xf numFmtId="0" fontId="3" fillId="0" borderId="0" xfId="0" applyFont="1" applyAlignment="1">
      <alignment horizontal="center"/>
    </xf>
    <xf numFmtId="9" fontId="3" fillId="0" borderId="0" xfId="0" applyNumberFormat="1" applyFont="1"/>
    <xf numFmtId="0" fontId="2" fillId="0" borderId="1" xfId="2"/>
    <xf numFmtId="9" fontId="0" fillId="0" borderId="0" xfId="1" applyFont="1"/>
    <xf numFmtId="9" fontId="0" fillId="0" borderId="0" xfId="1" applyNumberFormat="1" applyFont="1"/>
    <xf numFmtId="2" fontId="0" fillId="0" borderId="0" xfId="1" applyNumberFormat="1" applyFont="1"/>
    <xf numFmtId="9" fontId="0" fillId="0" borderId="0" xfId="0" applyNumberFormat="1"/>
    <xf numFmtId="10" fontId="0" fillId="0" borderId="0" xfId="1" applyNumberFormat="1" applyFont="1"/>
    <xf numFmtId="0" fontId="4" fillId="0" borderId="0" xfId="0" applyFont="1"/>
    <xf numFmtId="2" fontId="4" fillId="0" borderId="0" xfId="0" applyNumberFormat="1" applyFont="1"/>
    <xf numFmtId="2" fontId="0" fillId="0" borderId="0" xfId="0" applyNumberFormat="1" applyFill="1"/>
    <xf numFmtId="0" fontId="0" fillId="4" borderId="0" xfId="0" applyFill="1"/>
    <xf numFmtId="164" fontId="0" fillId="4" borderId="0" xfId="0" applyNumberFormat="1" applyFill="1"/>
    <xf numFmtId="165" fontId="0" fillId="0" borderId="0" xfId="1" applyNumberFormat="1" applyFont="1"/>
    <xf numFmtId="0" fontId="0" fillId="0" borderId="0" xfId="0" applyAlignment="1">
      <alignment wrapText="1"/>
    </xf>
  </cellXfs>
  <cellStyles count="3">
    <cellStyle name="Heading 3" xfId="2" builtinId="1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Sheet1!$C$13:$W$13</c:f>
              <c:numCache>
                <c:formatCode>0.00</c:formatCode>
                <c:ptCount val="21"/>
                <c:pt idx="1">
                  <c:v>13.571428571428571</c:v>
                </c:pt>
                <c:pt idx="2">
                  <c:v>13.142857142857142</c:v>
                </c:pt>
                <c:pt idx="3">
                  <c:v>12.714285714285714</c:v>
                </c:pt>
                <c:pt idx="4">
                  <c:v>12.285714285714285</c:v>
                </c:pt>
                <c:pt idx="5">
                  <c:v>11.857142857142858</c:v>
                </c:pt>
                <c:pt idx="6">
                  <c:v>11.428571428571429</c:v>
                </c:pt>
                <c:pt idx="7">
                  <c:v>11</c:v>
                </c:pt>
                <c:pt idx="8">
                  <c:v>10.571428571428573</c:v>
                </c:pt>
                <c:pt idx="9">
                  <c:v>10.142857142857142</c:v>
                </c:pt>
                <c:pt idx="10">
                  <c:v>9.7142857142857153</c:v>
                </c:pt>
                <c:pt idx="11">
                  <c:v>9.2857142857142847</c:v>
                </c:pt>
                <c:pt idx="12">
                  <c:v>8.8571428571428577</c:v>
                </c:pt>
                <c:pt idx="13">
                  <c:v>8.4285714285714288</c:v>
                </c:pt>
                <c:pt idx="14">
                  <c:v>8</c:v>
                </c:pt>
                <c:pt idx="15">
                  <c:v>7.5714285714285712</c:v>
                </c:pt>
                <c:pt idx="16">
                  <c:v>7.1428571428571423</c:v>
                </c:pt>
                <c:pt idx="17">
                  <c:v>6.7142857142857144</c:v>
                </c:pt>
                <c:pt idx="18">
                  <c:v>6.2857142857142865</c:v>
                </c:pt>
                <c:pt idx="19">
                  <c:v>5.8571428571428568</c:v>
                </c:pt>
                <c:pt idx="20">
                  <c:v>5.4285714285714288</c:v>
                </c:pt>
              </c:numCache>
            </c:numRef>
          </c:yVal>
          <c:smooth val="0"/>
          <c:extLst>
            <c:ext xmlns:c16="http://schemas.microsoft.com/office/drawing/2014/chart" uri="{C3380CC4-5D6E-409C-BE32-E72D297353CC}">
              <c16:uniqueId val="{00000000-367F-43FD-84E8-14B57F7BFA32}"/>
            </c:ext>
          </c:extLst>
        </c:ser>
        <c:ser>
          <c:idx val="1"/>
          <c:order val="1"/>
          <c:tx>
            <c:v>Refurbishment</c:v>
          </c:tx>
          <c:spPr>
            <a:ln w="19050" cap="rnd">
              <a:solidFill>
                <a:schemeClr val="accent2"/>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Sheet1!$C$42:$W$42</c:f>
              <c:numCache>
                <c:formatCode>0.00</c:formatCode>
                <c:ptCount val="21"/>
                <c:pt idx="1">
                  <c:v>4.0714285714285721</c:v>
                </c:pt>
                <c:pt idx="2">
                  <c:v>3.9428571428571431</c:v>
                </c:pt>
                <c:pt idx="3">
                  <c:v>3.8142857142857145</c:v>
                </c:pt>
                <c:pt idx="4">
                  <c:v>3.6857142857142864</c:v>
                </c:pt>
                <c:pt idx="5">
                  <c:v>3.5571428571428578</c:v>
                </c:pt>
                <c:pt idx="6">
                  <c:v>3.4285714285714293</c:v>
                </c:pt>
                <c:pt idx="7">
                  <c:v>3.3000000000000007</c:v>
                </c:pt>
                <c:pt idx="8">
                  <c:v>3.1714285714285717</c:v>
                </c:pt>
                <c:pt idx="9">
                  <c:v>3.0428571428571431</c:v>
                </c:pt>
                <c:pt idx="10">
                  <c:v>2.9142857142857146</c:v>
                </c:pt>
                <c:pt idx="11">
                  <c:v>6.8571428571428585</c:v>
                </c:pt>
                <c:pt idx="12">
                  <c:v>6.6000000000000014</c:v>
                </c:pt>
                <c:pt idx="13">
                  <c:v>6.3428571428571434</c:v>
                </c:pt>
                <c:pt idx="14">
                  <c:v>6.0857142857142872</c:v>
                </c:pt>
                <c:pt idx="15">
                  <c:v>5.8285714285714301</c:v>
                </c:pt>
                <c:pt idx="16">
                  <c:v>5.571428571428573</c:v>
                </c:pt>
                <c:pt idx="17">
                  <c:v>5.3142857142857149</c:v>
                </c:pt>
                <c:pt idx="18">
                  <c:v>5.0571428571428578</c:v>
                </c:pt>
                <c:pt idx="19">
                  <c:v>4.8000000000000007</c:v>
                </c:pt>
                <c:pt idx="20">
                  <c:v>4.5428571428571436</c:v>
                </c:pt>
              </c:numCache>
            </c:numRef>
          </c:yVal>
          <c:smooth val="0"/>
          <c:extLst>
            <c:ext xmlns:c16="http://schemas.microsoft.com/office/drawing/2014/chart" uri="{C3380CC4-5D6E-409C-BE32-E72D297353CC}">
              <c16:uniqueId val="{00000001-367F-43FD-84E8-14B57F7BFA32}"/>
            </c:ext>
          </c:extLst>
        </c:ser>
        <c:dLbls>
          <c:showLegendKey val="0"/>
          <c:showVal val="0"/>
          <c:showCatName val="0"/>
          <c:showSerName val="0"/>
          <c:showPercent val="0"/>
          <c:showBubbleSize val="0"/>
        </c:dLbls>
        <c:axId val="825262760"/>
        <c:axId val="825265056"/>
      </c:scatterChart>
      <c:valAx>
        <c:axId val="825262760"/>
        <c:scaling>
          <c:orientation val="minMax"/>
          <c:max val="20"/>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5056"/>
        <c:crosses val="autoZero"/>
        <c:crossBetween val="midCat"/>
      </c:valAx>
      <c:valAx>
        <c:axId val="825265056"/>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Consumer payment</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2760"/>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38234229342022"/>
          <c:y val="5.3147072832112202E-2"/>
          <c:w val="0.82296248529278671"/>
          <c:h val="0.73751228731543694"/>
        </c:manualLayout>
      </c:layout>
      <c:scatterChart>
        <c:scatterStyle val="lineMarker"/>
        <c:varyColors val="0"/>
        <c:ser>
          <c:idx val="0"/>
          <c:order val="0"/>
          <c:tx>
            <c:v>Current approach</c:v>
          </c:tx>
          <c:spPr>
            <a:ln w="19050" cap="rnd">
              <a:solidFill>
                <a:schemeClr val="accent1"/>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Sheet1!$C$28:$W$28</c:f>
              <c:numCache>
                <c:formatCode>0.00</c:formatCode>
                <c:ptCount val="21"/>
                <c:pt idx="1">
                  <c:v>4.0714285714285721</c:v>
                </c:pt>
                <c:pt idx="2">
                  <c:v>3.9428571428571431</c:v>
                </c:pt>
                <c:pt idx="3">
                  <c:v>3.8142857142857145</c:v>
                </c:pt>
                <c:pt idx="4">
                  <c:v>3.6857142857142864</c:v>
                </c:pt>
                <c:pt idx="5">
                  <c:v>3.5571428571428578</c:v>
                </c:pt>
                <c:pt idx="6">
                  <c:v>3.4285714285714293</c:v>
                </c:pt>
                <c:pt idx="7">
                  <c:v>3.3000000000000007</c:v>
                </c:pt>
                <c:pt idx="8">
                  <c:v>3.1714285714285717</c:v>
                </c:pt>
                <c:pt idx="9">
                  <c:v>3.0428571428571431</c:v>
                </c:pt>
                <c:pt idx="10">
                  <c:v>2.9142857142857146</c:v>
                </c:pt>
                <c:pt idx="11">
                  <c:v>2.7857142857142865</c:v>
                </c:pt>
                <c:pt idx="12">
                  <c:v>2.6571428571428579</c:v>
                </c:pt>
                <c:pt idx="13">
                  <c:v>2.5285714285714294</c:v>
                </c:pt>
                <c:pt idx="14">
                  <c:v>2.4000000000000004</c:v>
                </c:pt>
                <c:pt idx="15">
                  <c:v>2.2714285714285722</c:v>
                </c:pt>
                <c:pt idx="16">
                  <c:v>2.1428571428571432</c:v>
                </c:pt>
                <c:pt idx="17">
                  <c:v>2.0142857142857147</c:v>
                </c:pt>
                <c:pt idx="18">
                  <c:v>1.8857142857142863</c:v>
                </c:pt>
                <c:pt idx="19">
                  <c:v>1.7571428571428576</c:v>
                </c:pt>
                <c:pt idx="20">
                  <c:v>1.628571428571429</c:v>
                </c:pt>
              </c:numCache>
            </c:numRef>
          </c:yVal>
          <c:smooth val="0"/>
          <c:extLst>
            <c:ext xmlns:c16="http://schemas.microsoft.com/office/drawing/2014/chart" uri="{C3380CC4-5D6E-409C-BE32-E72D297353CC}">
              <c16:uniqueId val="{00000000-73C4-4CC8-84F9-9A82FD83E873}"/>
            </c:ext>
          </c:extLst>
        </c:ser>
        <c:ser>
          <c:idx val="1"/>
          <c:order val="1"/>
          <c:tx>
            <c:v>Proposed change</c:v>
          </c:tx>
          <c:spPr>
            <a:ln w="19050" cap="rnd">
              <a:solidFill>
                <a:schemeClr val="accent2"/>
              </a:solidFill>
              <a:round/>
            </a:ln>
            <a:effectLst/>
          </c:spPr>
          <c:marker>
            <c:symbol val="none"/>
          </c:marker>
          <c:xVal>
            <c:numRef>
              <c:f>Sheet1!$C$6:$W$6</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xVal>
          <c:yVal>
            <c:numRef>
              <c:f>Sheet1!$C$66:$W$66</c:f>
              <c:numCache>
                <c:formatCode>0.00</c:formatCode>
                <c:ptCount val="21"/>
                <c:pt idx="1">
                  <c:v>3.3000000000000003</c:v>
                </c:pt>
                <c:pt idx="2">
                  <c:v>3.2100000000000004</c:v>
                </c:pt>
                <c:pt idx="3">
                  <c:v>3.12</c:v>
                </c:pt>
                <c:pt idx="4">
                  <c:v>3.0300000000000002</c:v>
                </c:pt>
                <c:pt idx="5">
                  <c:v>2.9400000000000004</c:v>
                </c:pt>
                <c:pt idx="6">
                  <c:v>2.8500000000000005</c:v>
                </c:pt>
                <c:pt idx="7">
                  <c:v>2.8500000000000032</c:v>
                </c:pt>
                <c:pt idx="8">
                  <c:v>3.8142857142857149</c:v>
                </c:pt>
                <c:pt idx="9">
                  <c:v>3.6857142857142859</c:v>
                </c:pt>
                <c:pt idx="10">
                  <c:v>3.5571428571428578</c:v>
                </c:pt>
                <c:pt idx="11">
                  <c:v>3.4285714285714293</c:v>
                </c:pt>
                <c:pt idx="12">
                  <c:v>3.3000000000000007</c:v>
                </c:pt>
                <c:pt idx="13">
                  <c:v>3.1714285714285726</c:v>
                </c:pt>
                <c:pt idx="14">
                  <c:v>3.0428571428571436</c:v>
                </c:pt>
                <c:pt idx="15">
                  <c:v>2.914285714285715</c:v>
                </c:pt>
                <c:pt idx="16">
                  <c:v>2.7857142857142865</c:v>
                </c:pt>
                <c:pt idx="17">
                  <c:v>2.6571428571428579</c:v>
                </c:pt>
                <c:pt idx="18">
                  <c:v>2.5285714285714294</c:v>
                </c:pt>
                <c:pt idx="19">
                  <c:v>2.4000000000000008</c:v>
                </c:pt>
                <c:pt idx="20">
                  <c:v>2.2714285714285718</c:v>
                </c:pt>
              </c:numCache>
            </c:numRef>
          </c:yVal>
          <c:smooth val="0"/>
          <c:extLst>
            <c:ext xmlns:c16="http://schemas.microsoft.com/office/drawing/2014/chart" uri="{C3380CC4-5D6E-409C-BE32-E72D297353CC}">
              <c16:uniqueId val="{00000001-73C4-4CC8-84F9-9A82FD83E873}"/>
            </c:ext>
          </c:extLst>
        </c:ser>
        <c:dLbls>
          <c:showLegendKey val="0"/>
          <c:showVal val="0"/>
          <c:showCatName val="0"/>
          <c:showSerName val="0"/>
          <c:showPercent val="0"/>
          <c:showBubbleSize val="0"/>
        </c:dLbls>
        <c:axId val="825266368"/>
        <c:axId val="825262104"/>
      </c:scatterChart>
      <c:valAx>
        <c:axId val="825266368"/>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2104"/>
        <c:crosses val="autoZero"/>
        <c:crossBetween val="midCat"/>
      </c:valAx>
      <c:valAx>
        <c:axId val="825262104"/>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Payments by consumers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0.00"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825266368"/>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Sheet1!$C$20:$M$20</c:f>
              <c:numCache>
                <c:formatCode>0.00%</c:formatCode>
                <c:ptCount val="11"/>
                <c:pt idx="1">
                  <c:v>0.10377358490566037</c:v>
                </c:pt>
                <c:pt idx="2">
                  <c:v>0.19900320398718402</c:v>
                </c:pt>
                <c:pt idx="3">
                  <c:v>0.28632360942254337</c:v>
                </c:pt>
                <c:pt idx="4">
                  <c:v>0.36632506940958343</c:v>
                </c:pt>
                <c:pt idx="5">
                  <c:v>0.43955637035045703</c:v>
                </c:pt>
                <c:pt idx="6">
                  <c:v>0.50652762169222632</c:v>
                </c:pt>
                <c:pt idx="7">
                  <c:v>0.56771287614548127</c:v>
                </c:pt>
                <c:pt idx="8">
                  <c:v>0.62355257719490387</c:v>
                </c:pt>
                <c:pt idx="9">
                  <c:v>0.67445584505848599</c:v>
                </c:pt>
                <c:pt idx="10">
                  <c:v>0.72080261154244074</c:v>
                </c:pt>
              </c:numCache>
            </c:numRef>
          </c:yVal>
          <c:smooth val="0"/>
          <c:extLst>
            <c:ext xmlns:c16="http://schemas.microsoft.com/office/drawing/2014/chart" uri="{C3380CC4-5D6E-409C-BE32-E72D297353CC}">
              <c16:uniqueId val="{00000000-BA38-408B-B6BD-83FCBA82AE24}"/>
            </c:ext>
          </c:extLst>
        </c:ser>
        <c:ser>
          <c:idx val="1"/>
          <c:order val="1"/>
          <c:tx>
            <c:v>Refurbishment</c:v>
          </c:tx>
          <c:spPr>
            <a:ln w="19050" cap="rnd">
              <a:solidFill>
                <a:schemeClr val="accent2"/>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Sheet1!$C$68:$M$68</c:f>
              <c:numCache>
                <c:formatCode>0.00%</c:formatCode>
                <c:ptCount val="11"/>
                <c:pt idx="1">
                  <c:v>0.10377358490566038</c:v>
                </c:pt>
                <c:pt idx="2">
                  <c:v>0.19900320398718402</c:v>
                </c:pt>
                <c:pt idx="3">
                  <c:v>0.28632360942254337</c:v>
                </c:pt>
                <c:pt idx="4">
                  <c:v>0.36632506940958343</c:v>
                </c:pt>
                <c:pt idx="5">
                  <c:v>0.43955637035045703</c:v>
                </c:pt>
                <c:pt idx="6">
                  <c:v>0.50652762169222632</c:v>
                </c:pt>
                <c:pt idx="7">
                  <c:v>0.56771287614548127</c:v>
                </c:pt>
                <c:pt idx="8">
                  <c:v>0.62355257719490387</c:v>
                </c:pt>
                <c:pt idx="9">
                  <c:v>0.67445584505848599</c:v>
                </c:pt>
                <c:pt idx="10">
                  <c:v>0.72080261154244074</c:v>
                </c:pt>
              </c:numCache>
            </c:numRef>
          </c:yVal>
          <c:smooth val="0"/>
          <c:extLst>
            <c:ext xmlns:c16="http://schemas.microsoft.com/office/drawing/2014/chart" uri="{C3380CC4-5D6E-409C-BE32-E72D297353CC}">
              <c16:uniqueId val="{00000001-BA38-408B-B6BD-83FCBA82AE24}"/>
            </c:ext>
          </c:extLst>
        </c:ser>
        <c:dLbls>
          <c:showLegendKey val="0"/>
          <c:showVal val="0"/>
          <c:showCatName val="0"/>
          <c:showSerName val="0"/>
          <c:showPercent val="0"/>
          <c:showBubbleSize val="0"/>
        </c:dLbls>
        <c:axId val="780301968"/>
        <c:axId val="780303608"/>
      </c:scatterChart>
      <c:valAx>
        <c:axId val="780301968"/>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780303608"/>
        <c:crosses val="autoZero"/>
        <c:crossBetween val="midCat"/>
      </c:valAx>
      <c:valAx>
        <c:axId val="780303608"/>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Proportion of investment recovered</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0%" sourceLinked="0"/>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780301968"/>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Replacement</c:v>
          </c:tx>
          <c:spPr>
            <a:ln w="19050" cap="rnd">
              <a:solidFill>
                <a:schemeClr val="accent1"/>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Sheet1!$C$74:$M$74</c:f>
              <c:numCache>
                <c:formatCode>0.00</c:formatCode>
                <c:ptCount val="11"/>
                <c:pt idx="1">
                  <c:v>13.571428571428571</c:v>
                </c:pt>
                <c:pt idx="2">
                  <c:v>26.714285714285715</c:v>
                </c:pt>
                <c:pt idx="3">
                  <c:v>39.428571428571431</c:v>
                </c:pt>
                <c:pt idx="4">
                  <c:v>51.714285714285715</c:v>
                </c:pt>
                <c:pt idx="5">
                  <c:v>63.571428571428569</c:v>
                </c:pt>
                <c:pt idx="6">
                  <c:v>75</c:v>
                </c:pt>
                <c:pt idx="7">
                  <c:v>86</c:v>
                </c:pt>
                <c:pt idx="8">
                  <c:v>96.571428571428569</c:v>
                </c:pt>
                <c:pt idx="9">
                  <c:v>106.71428571428571</c:v>
                </c:pt>
                <c:pt idx="10">
                  <c:v>116.42857142857142</c:v>
                </c:pt>
              </c:numCache>
            </c:numRef>
          </c:yVal>
          <c:smooth val="0"/>
          <c:extLst>
            <c:ext xmlns:c16="http://schemas.microsoft.com/office/drawing/2014/chart" uri="{C3380CC4-5D6E-409C-BE32-E72D297353CC}">
              <c16:uniqueId val="{00000000-F2A7-454D-91A9-96585A956FA5}"/>
            </c:ext>
          </c:extLst>
        </c:ser>
        <c:ser>
          <c:idx val="1"/>
          <c:order val="1"/>
          <c:tx>
            <c:v>Refurbishment</c:v>
          </c:tx>
          <c:spPr>
            <a:ln w="19050" cap="rnd">
              <a:solidFill>
                <a:schemeClr val="accent2"/>
              </a:solidFill>
              <a:round/>
            </a:ln>
            <a:effectLst/>
          </c:spPr>
          <c:marker>
            <c:symbol val="none"/>
          </c:marker>
          <c:xVal>
            <c:numRef>
              <c:f>Sheet1!$C$6:$M$6</c:f>
              <c:numCache>
                <c:formatCode>General</c:formatCode>
                <c:ptCount val="11"/>
                <c:pt idx="0">
                  <c:v>0</c:v>
                </c:pt>
                <c:pt idx="1">
                  <c:v>1</c:v>
                </c:pt>
                <c:pt idx="2">
                  <c:v>2</c:v>
                </c:pt>
                <c:pt idx="3">
                  <c:v>3</c:v>
                </c:pt>
                <c:pt idx="4">
                  <c:v>4</c:v>
                </c:pt>
                <c:pt idx="5">
                  <c:v>5</c:v>
                </c:pt>
                <c:pt idx="6">
                  <c:v>6</c:v>
                </c:pt>
                <c:pt idx="7">
                  <c:v>7</c:v>
                </c:pt>
                <c:pt idx="8">
                  <c:v>8</c:v>
                </c:pt>
                <c:pt idx="9">
                  <c:v>9</c:v>
                </c:pt>
                <c:pt idx="10">
                  <c:v>10</c:v>
                </c:pt>
              </c:numCache>
            </c:numRef>
          </c:xVal>
          <c:yVal>
            <c:numRef>
              <c:f>Sheet1!$C$75:$M$75</c:f>
              <c:numCache>
                <c:formatCode>0.00</c:formatCode>
                <c:ptCount val="11"/>
                <c:pt idx="1">
                  <c:v>-4.2857142857142847</c:v>
                </c:pt>
                <c:pt idx="2">
                  <c:v>0.3000000000000016</c:v>
                </c:pt>
                <c:pt idx="3">
                  <c:v>4.7571428571428589</c:v>
                </c:pt>
                <c:pt idx="4">
                  <c:v>9.085714285714289</c:v>
                </c:pt>
                <c:pt idx="5">
                  <c:v>13.28571428571429</c:v>
                </c:pt>
                <c:pt idx="6">
                  <c:v>17.357142857142861</c:v>
                </c:pt>
                <c:pt idx="7">
                  <c:v>21.300000000000004</c:v>
                </c:pt>
                <c:pt idx="8">
                  <c:v>25.114285714285721</c:v>
                </c:pt>
                <c:pt idx="9">
                  <c:v>28.800000000000008</c:v>
                </c:pt>
                <c:pt idx="10">
                  <c:v>32.357142857142868</c:v>
                </c:pt>
              </c:numCache>
            </c:numRef>
          </c:yVal>
          <c:smooth val="0"/>
          <c:extLst>
            <c:ext xmlns:c16="http://schemas.microsoft.com/office/drawing/2014/chart" uri="{C3380CC4-5D6E-409C-BE32-E72D297353CC}">
              <c16:uniqueId val="{00000001-F2A7-454D-91A9-96585A956FA5}"/>
            </c:ext>
          </c:extLst>
        </c:ser>
        <c:dLbls>
          <c:showLegendKey val="0"/>
          <c:showVal val="0"/>
          <c:showCatName val="0"/>
          <c:showSerName val="0"/>
          <c:showPercent val="0"/>
          <c:showBubbleSize val="0"/>
        </c:dLbls>
        <c:axId val="654019400"/>
        <c:axId val="654023992"/>
      </c:scatterChart>
      <c:valAx>
        <c:axId val="654019400"/>
        <c:scaling>
          <c:orientation val="minMax"/>
        </c:scaling>
        <c:delete val="0"/>
        <c:axPos val="b"/>
        <c:majorGridlines>
          <c:spPr>
            <a:ln w="9525" cap="flat" cmpd="sng" algn="ctr">
              <a:solidFill>
                <a:srgbClr val="F2F2F2"/>
              </a:solidFill>
              <a:round/>
            </a:ln>
            <a:effectLst/>
          </c:spPr>
        </c:maj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Year</a:t>
                </a:r>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rgbClr val="000000"/>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654023992"/>
        <c:crosses val="autoZero"/>
        <c:crossBetween val="midCat"/>
      </c:valAx>
      <c:valAx>
        <c:axId val="654023992"/>
        <c:scaling>
          <c:orientation val="minMax"/>
        </c:scaling>
        <c:delete val="0"/>
        <c:axPos val="l"/>
        <c:majorGridlines>
          <c:spPr>
            <a:ln w="9525" cap="flat" cmpd="sng" algn="ctr">
              <a:solidFill>
                <a:srgbClr val="F2F2F2"/>
              </a:solidFill>
              <a:prstDash val="solid"/>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r>
                  <a:rPr lang="en-US"/>
                  <a:t>Allowed revenue</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Arial"/>
                  <a:ea typeface="Arial"/>
                  <a:cs typeface="Arial"/>
                </a:defRPr>
              </a:pPr>
              <a:endParaRPr lang="en-US"/>
            </a:p>
          </c:txPr>
        </c:title>
        <c:numFmt formatCode="General" sourceLinked="1"/>
        <c:majorTickMark val="none"/>
        <c:minorTickMark val="none"/>
        <c:tickLblPos val="nextTo"/>
        <c:spPr>
          <a:noFill/>
          <a:ln w="9525" cap="flat" cmpd="sng" algn="ctr">
            <a:solidFill>
              <a:sysClr val="windowText" lastClr="000000">
                <a:lumMod val="100000"/>
              </a:sysClr>
            </a:solidFill>
            <a:prstDash val="solid"/>
            <a:round/>
            <a:headEnd type="none" w="med" len="med"/>
            <a:tailEnd type="none" w="med" len="me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crossAx val="654019400"/>
        <c:crosses val="autoZero"/>
        <c:crossBetween val="midCat"/>
      </c:valAx>
      <c:spPr>
        <a:solidFill>
          <a:srgbClr val="FFFFFF"/>
        </a:solidFill>
        <a:ln w="9525" cap="flat" cmpd="sng" algn="ctr">
          <a:solidFill>
            <a:srgbClr val="000000"/>
          </a:solidFill>
          <a:prstDash val="solid"/>
          <a:round/>
          <a:headEnd type="none" w="med" len="med"/>
          <a:tailEnd type="none" w="med" len="med"/>
        </a:ln>
        <a:effectLst/>
      </c:spPr>
    </c:plotArea>
    <c:legend>
      <c:legendPos val="b"/>
      <c:overlay val="0"/>
      <c:spPr>
        <a:solidFill>
          <a:schemeClr val="bg1"/>
        </a:solidFill>
        <a:ln>
          <a:solidFill>
            <a:schemeClr val="tx1"/>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a:ea typeface="Arial"/>
              <a:cs typeface="Arial"/>
            </a:defRPr>
          </a:pPr>
          <a:endParaRPr lang="en-US"/>
        </a:p>
      </c:txPr>
    </c:legend>
    <c:plotVisOnly val="1"/>
    <c:dispBlanksAs val="gap"/>
    <c:showDLblsOverMax val="0"/>
  </c:chart>
  <c:spPr>
    <a:noFill/>
    <a:ln w="25400"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24</xdr:col>
      <xdr:colOff>236220</xdr:colOff>
      <xdr:row>1</xdr:row>
      <xdr:rowOff>45720</xdr:rowOff>
    </xdr:from>
    <xdr:to>
      <xdr:col>33</xdr:col>
      <xdr:colOff>441960</xdr:colOff>
      <xdr:row>22</xdr:row>
      <xdr:rowOff>45720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76200</xdr:colOff>
      <xdr:row>21</xdr:row>
      <xdr:rowOff>144780</xdr:rowOff>
    </xdr:from>
    <xdr:to>
      <xdr:col>33</xdr:col>
      <xdr:colOff>502920</xdr:colOff>
      <xdr:row>47</xdr:row>
      <xdr:rowOff>53340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167640</xdr:colOff>
      <xdr:row>51</xdr:row>
      <xdr:rowOff>64770</xdr:rowOff>
    </xdr:from>
    <xdr:to>
      <xdr:col>34</xdr:col>
      <xdr:colOff>601980</xdr:colOff>
      <xdr:row>78</xdr:row>
      <xdr:rowOff>60960</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116541</xdr:colOff>
      <xdr:row>79</xdr:row>
      <xdr:rowOff>161366</xdr:rowOff>
    </xdr:from>
    <xdr:to>
      <xdr:col>35</xdr:col>
      <xdr:colOff>80682</xdr:colOff>
      <xdr:row>98</xdr:row>
      <xdr:rowOff>71717</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418897</xdr:colOff>
      <xdr:row>78</xdr:row>
      <xdr:rowOff>20498</xdr:rowOff>
    </xdr:from>
    <xdr:to>
      <xdr:col>23</xdr:col>
      <xdr:colOff>38718</xdr:colOff>
      <xdr:row>121</xdr:row>
      <xdr:rowOff>69695</xdr:rowOff>
    </xdr:to>
    <xdr:sp macro="" textlink="">
      <xdr:nvSpPr>
        <xdr:cNvPr id="8" name="TextBox 7">
          <a:extLst>
            <a:ext uri="{FF2B5EF4-FFF2-40B4-BE49-F238E27FC236}">
              <a16:creationId xmlns:a16="http://schemas.microsoft.com/office/drawing/2014/main" id="{8284DB60-CEF0-48B7-891D-4694B4DCFFE0}"/>
            </a:ext>
          </a:extLst>
        </xdr:cNvPr>
        <xdr:cNvSpPr txBox="1"/>
      </xdr:nvSpPr>
      <xdr:spPr>
        <a:xfrm>
          <a:off x="418897" y="14726169"/>
          <a:ext cx="15394150" cy="80409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200" b="1"/>
            <a:t>Notes:</a:t>
          </a:r>
        </a:p>
        <a:p>
          <a:r>
            <a:rPr lang="en-AU" sz="1200" b="0"/>
            <a:t>In this example (</a:t>
          </a:r>
          <a:r>
            <a:rPr lang="en-AU" sz="1200" b="0" baseline="0"/>
            <a:t>per ENA) there are two projects modelled.  One that replaces an asset at $100m and one that refurbishes the asset at cost of $30m and has the same asset life.  Since both provides services over multiple years, the expenditure is recovered from customers through depreciation over the service life.  The example assumes both options have the same life and the refurbishment option is clearly the more efficient.  </a:t>
          </a:r>
          <a:r>
            <a:rPr lang="en-AU" sz="1200" b="0" i="1" baseline="0"/>
            <a:t>The example does not consider how the options would be assessed ex ante and the capex allowance determined, and hence the incentives created for the utility to choose the more efficient option</a:t>
          </a:r>
          <a:r>
            <a:rPr lang="en-AU" sz="1200" b="0" baseline="0"/>
            <a:t>.</a:t>
          </a:r>
        </a:p>
        <a:p>
          <a:endParaRPr lang="en-AU" sz="1200" b="0" baseline="0"/>
        </a:p>
        <a:p>
          <a:r>
            <a:rPr lang="en-AU" sz="1200" b="1" i="1" baseline="0"/>
            <a:t>Excess returns</a:t>
          </a:r>
        </a:p>
        <a:p>
          <a:r>
            <a:rPr lang="en-AU" sz="1200" b="0" i="1" baseline="0"/>
            <a:t>The current tax approach provides an excess return on refurbishment. potentially distorting the utility's investment decision.  The proposed approach removes this distortion.</a:t>
          </a:r>
        </a:p>
        <a:p>
          <a:endParaRPr lang="en-AU" sz="1200" b="0" i="0" baseline="0"/>
        </a:p>
        <a:p>
          <a:r>
            <a:rPr lang="en-AU" sz="1200" b="0" i="0" baseline="0"/>
            <a:t>For the replacement option the NPV of the future after tax cash flows equals the original expenditure (i.e NPV=100).  This satisfies the NPV=0 principle and the return on original expenditure equals the AER-determined WACC.</a:t>
          </a:r>
        </a:p>
        <a:p>
          <a:endParaRPr lang="en-AU" sz="1200" b="0" i="0" baseline="0"/>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For the refurbishment option the NPV of the future after tax cash flows equals the original expenditure (i.e NPV=30) under the proposed tax estimation.  This satisfies the NPV=0 principle and the return on original expenditure exceed the AER-determined WACC.</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In contrast,  under the current tax estimation the refurbishment option the NPV of the future after tax cash flows equals the original expenditure (i.e NPV=33.84) under the proposed tax treatment.  This means that the DNSP earns an excess return of $3.84m or12.8% and the rate of return on the original expenditure is  7.7% which exceeds the AER-determined WACC of 6.0%</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1" i="1" baseline="0">
              <a:solidFill>
                <a:schemeClr val="dk1"/>
              </a:solidFill>
              <a:effectLst/>
              <a:latin typeface="+mn-lt"/>
              <a:ea typeface="+mn-ea"/>
              <a:cs typeface="+mn-cs"/>
            </a:rPr>
            <a:t>Intergenerational equity</a:t>
          </a: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The instrument for achieving intergenerational equity is the depreciation allowance in the revenue building blocks.  In all three cases the initial expenditure is recovered over the service  life of the assets through the depreciation allowance. Thus refurbishment costs are recovered through the return of and return on assets which is $3.3m in year 1 and drops to $1.59m in the last year.</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The  change in the estimation of tax affects the pattern of tax allowances and revenues.  Under the proposed approach  the revenues are lower in the seven years (initially $0.77m lower falling to $0.45m lower in year 7) as the tax losses are used up and then higher in the remaining years.  While this introduces a step change in revenues for these assets in the middle of the period the overall cash flows better match those of teh utility and the excess return under the current approach is avoided.  Furthermore, it should be noted that refurbishment is only part of the capex in any year and the aggregate RAB comprises assets of various ages.  Hence the practical effect on the pattern of overall revenues and prices over time is likely to be small.</a:t>
          </a:r>
        </a:p>
        <a:p>
          <a:pPr marL="0" marR="0" lvl="0" indent="0" defTabSz="914400" eaLnBrk="1" fontAlgn="auto" latinLnBrk="0" hangingPunct="1">
            <a:lnSpc>
              <a:spcPct val="100000"/>
            </a:lnSpc>
            <a:spcBef>
              <a:spcPts val="0"/>
            </a:spcBef>
            <a:spcAft>
              <a:spcPts val="0"/>
            </a:spcAft>
            <a:buClrTx/>
            <a:buSzTx/>
            <a:buFontTx/>
            <a:buNone/>
            <a:tabLst/>
            <a:defRPr/>
          </a:pPr>
          <a:endParaRPr lang="en-AU" sz="12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1" i="1" baseline="0">
              <a:solidFill>
                <a:schemeClr val="dk1"/>
              </a:solidFill>
              <a:effectLst/>
              <a:latin typeface="+mn-lt"/>
              <a:ea typeface="+mn-ea"/>
              <a:cs typeface="+mn-cs"/>
            </a:rPr>
            <a:t>Efficiency incentives</a:t>
          </a:r>
        </a:p>
        <a:p>
          <a:pPr eaLnBrk="1" fontAlgn="auto" latinLnBrk="0" hangingPunct="1"/>
          <a:r>
            <a:rPr lang="en-AU" sz="1200" b="0" i="0" baseline="0">
              <a:solidFill>
                <a:schemeClr val="dk1"/>
              </a:solidFill>
              <a:effectLst/>
              <a:latin typeface="+mn-lt"/>
              <a:ea typeface="+mn-ea"/>
              <a:cs typeface="+mn-cs"/>
            </a:rPr>
            <a:t>The primary mechanism for encouraging efficiency under incentive regulation is the delinking of revenues and costs for a fixed period (5 years) together with the operation of the CESS and EBSS.  These mechanisms are designed so that teh utility retains 30% (in NPV terms) of any efficiency gains made during the period.  In order to protect against inflated projections and try to ensure that the consumers only pay for the efficient costs of service provision the AER undertakes reviews of the capex and opex forecasts.  In the case of capex the reviews are quite forensic and look at the efficient capex requirements specific to the utility for that period. </a:t>
          </a:r>
        </a:p>
        <a:p>
          <a:pPr eaLnBrk="1" fontAlgn="auto" latinLnBrk="0" hangingPunct="1"/>
          <a:endParaRPr lang="en-AU" sz="1200">
            <a:effectLst/>
          </a:endParaRPr>
        </a:p>
        <a:p>
          <a:pPr eaLnBrk="1" fontAlgn="auto" latinLnBrk="0" hangingPunct="1"/>
          <a:r>
            <a:rPr lang="en-AU" sz="1200" b="0" i="0" baseline="0">
              <a:solidFill>
                <a:schemeClr val="dk1"/>
              </a:solidFill>
              <a:effectLst/>
              <a:latin typeface="+mn-lt"/>
              <a:ea typeface="+mn-ea"/>
              <a:cs typeface="+mn-cs"/>
            </a:rPr>
            <a:t>In this case the projects are alternative options for providing the same services.  If the AER were to conclude that the replacement option were the most efficient, the allowed revenues for the utility would be set on basis of that (i.e. the allowed revenues at row 13 above).  On the figures in this case study  there is a $70m efficiency gain to be made by the utility from pursuing the refurbishment option and the utility would retain 30% of this (i.e $21m).  The mismatch between allowed and actual tax marginally increases the incentive in this case (i.e. it adds $3.84m so that the total gain to the utility).  In this case it strengths the incentives to pursue the most efficient option but in other cases it may encourage the pursuit of a less efficient option.</a:t>
          </a:r>
        </a:p>
        <a:p>
          <a:pPr eaLnBrk="1" fontAlgn="auto" latinLnBrk="0" hangingPunct="1"/>
          <a:endParaRPr lang="en-AU" sz="1200">
            <a:effectLst/>
          </a:endParaRPr>
        </a:p>
        <a:p>
          <a:pPr eaLnBrk="1" fontAlgn="auto" latinLnBrk="0" hangingPunct="1"/>
          <a:r>
            <a:rPr lang="en-AU" sz="1200" b="0" i="0" baseline="0">
              <a:solidFill>
                <a:schemeClr val="dk1"/>
              </a:solidFill>
              <a:effectLst/>
              <a:latin typeface="+mn-lt"/>
              <a:ea typeface="+mn-ea"/>
              <a:cs typeface="+mn-cs"/>
            </a:rPr>
            <a:t>Of course on these numbers it is more likely that the AER would determine that the refurbishment option was the most efficient and the allowed revenues would be based on that option.  This creates a powerful disincentive to the replacement option because it is a much less efficient option in this case.  Whether the current or proposed approach is used in estimating the tax </a:t>
          </a:r>
          <a:r>
            <a:rPr lang="en-AU" sz="1100" b="0" i="0" baseline="0">
              <a:solidFill>
                <a:schemeClr val="dk1"/>
              </a:solidFill>
              <a:effectLst/>
              <a:latin typeface="+mn-lt"/>
              <a:ea typeface="+mn-ea"/>
              <a:cs typeface="+mn-cs"/>
            </a:rPr>
            <a:t> wuld not alter this.</a:t>
          </a:r>
          <a:r>
            <a:rPr lang="en-AU" sz="1200" b="0" i="0" baseline="0">
              <a:solidFill>
                <a:schemeClr val="dk1"/>
              </a:solidFill>
              <a:effectLst/>
              <a:latin typeface="+mn-lt"/>
              <a:ea typeface="+mn-ea"/>
              <a:cs typeface="+mn-cs"/>
            </a:rPr>
            <a:t>.  The choice of the approach to estimation does not reduce the payoff for the utility from pursuing further efficiency gains.  If the utility can find a new refurbishment option with a cost of $25m rather than $30m it would increase its cash flows by the 30% of the $5m saving (in NPV terms).  But the starting point would be different.  Under the proposed approach teh starting point would be cash flows with an NPV of $30m while under the current approach the starting point is $33.84m, and IRR that exceeds the allowed WACC.</a:t>
          </a:r>
        </a:p>
        <a:p>
          <a:pPr eaLnBrk="1" fontAlgn="auto" latinLnBrk="0" hangingPunct="1"/>
          <a:endParaRPr lang="en-AU" sz="1200">
            <a:effectLst/>
          </a:endParaRPr>
        </a:p>
        <a:p>
          <a:pPr eaLnBrk="1" fontAlgn="auto" latinLnBrk="0" hangingPunct="1"/>
          <a:r>
            <a:rPr lang="en-AU" sz="1200" b="0" i="0" baseline="0">
              <a:solidFill>
                <a:schemeClr val="dk1"/>
              </a:solidFill>
              <a:effectLst/>
              <a:latin typeface="+mn-lt"/>
              <a:ea typeface="+mn-ea"/>
              <a:cs typeface="+mn-cs"/>
            </a:rPr>
            <a:t>This highlights that the incentive framework for setting the allowed revenues based on the opex and asset building blocks is the fundamental mechanism for promoting efficiency.  Mismatches in the calculation of the allowed tax may in some cases promote more efficient options but could just as easily promote less efficient options.</a:t>
          </a:r>
          <a:endParaRPr lang="en-AU" sz="12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AU" sz="1200" b="0" i="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AU" sz="12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200">
            <a:effectLst/>
          </a:endParaRPr>
        </a:p>
        <a:p>
          <a:endParaRPr lang="en-AU" sz="1200" b="0" i="0" baseline="0"/>
        </a:p>
        <a:p>
          <a:endParaRPr lang="en-AU" sz="1200" b="0" i="0" baseline="0"/>
        </a:p>
        <a:p>
          <a:endParaRPr lang="en-AU" sz="1200" b="0" i="0" baseline="0"/>
        </a:p>
        <a:p>
          <a:endParaRPr lang="en-AU" sz="1200" b="0" i="0" baseline="0"/>
        </a:p>
        <a:p>
          <a:endParaRPr lang="en-AU" sz="1200" b="0"/>
        </a:p>
      </xdr:txBody>
    </xdr:sp>
    <xdr:clientData/>
  </xdr:twoCellAnchor>
</xdr:wsDr>
</file>

<file path=xl/theme/theme1.xml><?xml version="1.0" encoding="utf-8"?>
<a:theme xmlns:a="http://schemas.openxmlformats.org/drawingml/2006/main" name="Office Theme">
  <a:themeElements>
    <a:clrScheme name="Frontier_2016">
      <a:dk1>
        <a:sysClr val="windowText" lastClr="000000"/>
      </a:dk1>
      <a:lt1>
        <a:sysClr val="window" lastClr="FFFFFF"/>
      </a:lt1>
      <a:dk2>
        <a:srgbClr val="37424A"/>
      </a:dk2>
      <a:lt2>
        <a:srgbClr val="D1DBD2"/>
      </a:lt2>
      <a:accent1>
        <a:srgbClr val="E83F35"/>
      </a:accent1>
      <a:accent2>
        <a:srgbClr val="007B87"/>
      </a:accent2>
      <a:accent3>
        <a:srgbClr val="EBC000"/>
      </a:accent3>
      <a:accent4>
        <a:srgbClr val="8DD0D2"/>
      </a:accent4>
      <a:accent5>
        <a:srgbClr val="683C5B"/>
      </a:accent5>
      <a:accent6>
        <a:srgbClr val="8BB96A"/>
      </a:accent6>
      <a:hlink>
        <a:srgbClr val="0000FF"/>
      </a:hlink>
      <a:folHlink>
        <a:srgbClr val="E83F3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75"/>
  <sheetViews>
    <sheetView tabSelected="1" topLeftCell="A76" zoomScale="69" zoomScaleNormal="90" workbookViewId="0">
      <selection activeCell="N59" sqref="N59"/>
    </sheetView>
  </sheetViews>
  <sheetFormatPr defaultRowHeight="15" outlineLevelRow="1" x14ac:dyDescent="0.25"/>
  <cols>
    <col min="1" max="1" width="6.5703125" customWidth="1"/>
    <col min="2" max="2" width="21.85546875" customWidth="1"/>
    <col min="3" max="3" width="10.85546875" customWidth="1"/>
    <col min="5" max="13" width="9.85546875" customWidth="1"/>
    <col min="14" max="22" width="8.85546875" customWidth="1"/>
    <col min="23" max="23" width="9.140625" customWidth="1"/>
  </cols>
  <sheetData>
    <row r="1" spans="1:23" x14ac:dyDescent="0.25">
      <c r="A1" s="2"/>
      <c r="B1" s="2" t="s">
        <v>49</v>
      </c>
      <c r="C1" s="2" t="s">
        <v>50</v>
      </c>
      <c r="D1" s="2"/>
      <c r="E1" s="2"/>
      <c r="F1" s="2"/>
      <c r="G1" s="2"/>
      <c r="H1" s="2"/>
      <c r="I1" s="2"/>
      <c r="J1" s="2"/>
    </row>
    <row r="2" spans="1:23" x14ac:dyDescent="0.25">
      <c r="B2" s="2" t="s">
        <v>5</v>
      </c>
      <c r="C2" s="8">
        <v>0.06</v>
      </c>
      <c r="D2" s="13"/>
    </row>
    <row r="3" spans="1:23" x14ac:dyDescent="0.25">
      <c r="B3" s="2" t="s">
        <v>10</v>
      </c>
      <c r="C3" s="8">
        <v>0.3</v>
      </c>
    </row>
    <row r="4" spans="1:23" x14ac:dyDescent="0.25">
      <c r="B4" s="2" t="s">
        <v>33</v>
      </c>
      <c r="C4" s="8">
        <v>0.7</v>
      </c>
    </row>
    <row r="6" spans="1:23" s="2" customFormat="1" x14ac:dyDescent="0.25">
      <c r="B6" s="2" t="s">
        <v>0</v>
      </c>
      <c r="C6" s="7">
        <v>0</v>
      </c>
      <c r="D6" s="7">
        <v>1</v>
      </c>
      <c r="E6" s="7">
        <v>2</v>
      </c>
      <c r="F6" s="7">
        <v>3</v>
      </c>
      <c r="G6" s="7">
        <v>4</v>
      </c>
      <c r="H6" s="7">
        <v>5</v>
      </c>
      <c r="I6" s="7">
        <v>6</v>
      </c>
      <c r="J6" s="7">
        <v>7</v>
      </c>
      <c r="K6" s="7">
        <v>8</v>
      </c>
      <c r="L6" s="7">
        <v>9</v>
      </c>
      <c r="M6" s="7">
        <v>10</v>
      </c>
      <c r="N6" s="7">
        <v>11</v>
      </c>
      <c r="O6" s="7">
        <v>12</v>
      </c>
      <c r="P6" s="7">
        <v>13</v>
      </c>
      <c r="Q6" s="7">
        <v>14</v>
      </c>
      <c r="R6" s="7">
        <v>15</v>
      </c>
      <c r="S6" s="7">
        <v>16</v>
      </c>
      <c r="T6" s="7">
        <v>17</v>
      </c>
      <c r="U6" s="7">
        <v>18</v>
      </c>
      <c r="V6" s="7">
        <v>19</v>
      </c>
      <c r="W6" s="7">
        <v>20</v>
      </c>
    </row>
    <row r="7" spans="1:23" ht="15.75" thickBot="1" x14ac:dyDescent="0.3">
      <c r="B7" s="9" t="s">
        <v>1</v>
      </c>
      <c r="C7" s="9"/>
      <c r="D7" s="9"/>
    </row>
    <row r="8" spans="1:23" x14ac:dyDescent="0.25">
      <c r="B8" t="s">
        <v>1</v>
      </c>
      <c r="C8">
        <v>-100</v>
      </c>
    </row>
    <row r="9" spans="1:23" x14ac:dyDescent="0.25">
      <c r="B9" t="s">
        <v>2</v>
      </c>
      <c r="D9">
        <f>-C8/20</f>
        <v>5</v>
      </c>
      <c r="E9">
        <f>D9</f>
        <v>5</v>
      </c>
      <c r="F9">
        <f t="shared" ref="F9:W9" si="0">E9</f>
        <v>5</v>
      </c>
      <c r="G9">
        <f t="shared" si="0"/>
        <v>5</v>
      </c>
      <c r="H9">
        <f t="shared" si="0"/>
        <v>5</v>
      </c>
      <c r="I9">
        <f t="shared" si="0"/>
        <v>5</v>
      </c>
      <c r="J9">
        <f t="shared" si="0"/>
        <v>5</v>
      </c>
      <c r="K9">
        <f t="shared" si="0"/>
        <v>5</v>
      </c>
      <c r="L9">
        <f t="shared" si="0"/>
        <v>5</v>
      </c>
      <c r="M9">
        <f t="shared" si="0"/>
        <v>5</v>
      </c>
      <c r="N9">
        <f t="shared" si="0"/>
        <v>5</v>
      </c>
      <c r="O9">
        <f t="shared" si="0"/>
        <v>5</v>
      </c>
      <c r="P9">
        <f t="shared" si="0"/>
        <v>5</v>
      </c>
      <c r="Q9">
        <f t="shared" si="0"/>
        <v>5</v>
      </c>
      <c r="R9">
        <f t="shared" si="0"/>
        <v>5</v>
      </c>
      <c r="S9">
        <f t="shared" si="0"/>
        <v>5</v>
      </c>
      <c r="T9">
        <f t="shared" si="0"/>
        <v>5</v>
      </c>
      <c r="U9">
        <f t="shared" si="0"/>
        <v>5</v>
      </c>
      <c r="V9">
        <f t="shared" si="0"/>
        <v>5</v>
      </c>
      <c r="W9">
        <f t="shared" si="0"/>
        <v>5</v>
      </c>
    </row>
    <row r="10" spans="1:23" x14ac:dyDescent="0.25">
      <c r="B10" t="s">
        <v>3</v>
      </c>
      <c r="C10">
        <f>-C8</f>
        <v>100</v>
      </c>
      <c r="D10">
        <f>-C8-D9</f>
        <v>95</v>
      </c>
      <c r="E10">
        <f>D10-E9</f>
        <v>90</v>
      </c>
      <c r="F10">
        <f t="shared" ref="F10:W10" si="1">E10-F9</f>
        <v>85</v>
      </c>
      <c r="G10">
        <f t="shared" si="1"/>
        <v>80</v>
      </c>
      <c r="H10">
        <f t="shared" si="1"/>
        <v>75</v>
      </c>
      <c r="I10">
        <f t="shared" si="1"/>
        <v>70</v>
      </c>
      <c r="J10">
        <f t="shared" si="1"/>
        <v>65</v>
      </c>
      <c r="K10">
        <f t="shared" si="1"/>
        <v>60</v>
      </c>
      <c r="L10">
        <f t="shared" si="1"/>
        <v>55</v>
      </c>
      <c r="M10">
        <f t="shared" si="1"/>
        <v>50</v>
      </c>
      <c r="N10">
        <f t="shared" si="1"/>
        <v>45</v>
      </c>
      <c r="O10">
        <f t="shared" si="1"/>
        <v>40</v>
      </c>
      <c r="P10">
        <f t="shared" si="1"/>
        <v>35</v>
      </c>
      <c r="Q10">
        <f t="shared" si="1"/>
        <v>30</v>
      </c>
      <c r="R10">
        <f t="shared" si="1"/>
        <v>25</v>
      </c>
      <c r="S10">
        <f t="shared" si="1"/>
        <v>20</v>
      </c>
      <c r="T10">
        <f t="shared" si="1"/>
        <v>15</v>
      </c>
      <c r="U10">
        <f t="shared" si="1"/>
        <v>10</v>
      </c>
      <c r="V10">
        <f t="shared" si="1"/>
        <v>5</v>
      </c>
      <c r="W10">
        <f t="shared" si="1"/>
        <v>0</v>
      </c>
    </row>
    <row r="11" spans="1:23" x14ac:dyDescent="0.25">
      <c r="B11" t="s">
        <v>4</v>
      </c>
      <c r="D11" s="3">
        <f>C10*$C$2</f>
        <v>6</v>
      </c>
      <c r="E11" s="3">
        <f t="shared" ref="E11:W11" si="2">D10*$C$2</f>
        <v>5.7</v>
      </c>
      <c r="F11" s="3">
        <f t="shared" si="2"/>
        <v>5.3999999999999995</v>
      </c>
      <c r="G11" s="3">
        <f t="shared" si="2"/>
        <v>5.0999999999999996</v>
      </c>
      <c r="H11" s="3">
        <f t="shared" si="2"/>
        <v>4.8</v>
      </c>
      <c r="I11" s="3">
        <f t="shared" si="2"/>
        <v>4.5</v>
      </c>
      <c r="J11" s="3">
        <f t="shared" si="2"/>
        <v>4.2</v>
      </c>
      <c r="K11" s="3">
        <f t="shared" si="2"/>
        <v>3.9</v>
      </c>
      <c r="L11" s="3">
        <f t="shared" si="2"/>
        <v>3.5999999999999996</v>
      </c>
      <c r="M11" s="3">
        <f t="shared" si="2"/>
        <v>3.3</v>
      </c>
      <c r="N11" s="3">
        <f t="shared" si="2"/>
        <v>3</v>
      </c>
      <c r="O11" s="3">
        <f t="shared" si="2"/>
        <v>2.6999999999999997</v>
      </c>
      <c r="P11" s="3">
        <f t="shared" si="2"/>
        <v>2.4</v>
      </c>
      <c r="Q11" s="3">
        <f t="shared" si="2"/>
        <v>2.1</v>
      </c>
      <c r="R11" s="3">
        <f t="shared" si="2"/>
        <v>1.7999999999999998</v>
      </c>
      <c r="S11" s="3">
        <f t="shared" si="2"/>
        <v>1.5</v>
      </c>
      <c r="T11" s="3">
        <f t="shared" si="2"/>
        <v>1.2</v>
      </c>
      <c r="U11" s="3">
        <f t="shared" si="2"/>
        <v>0.89999999999999991</v>
      </c>
      <c r="V11" s="3">
        <f t="shared" si="2"/>
        <v>0.6</v>
      </c>
      <c r="W11" s="3">
        <f t="shared" si="2"/>
        <v>0.3</v>
      </c>
    </row>
    <row r="12" spans="1:23" x14ac:dyDescent="0.25">
      <c r="B12" t="s">
        <v>27</v>
      </c>
      <c r="D12" s="3">
        <f>D11/(1-$C$3)-D11</f>
        <v>2.5714285714285712</v>
      </c>
      <c r="E12" s="3">
        <f t="shared" ref="E12:W12" si="3">E11/(1-$C$3)-E11</f>
        <v>2.4428571428571439</v>
      </c>
      <c r="F12" s="3">
        <f t="shared" si="3"/>
        <v>2.3142857142857149</v>
      </c>
      <c r="G12" s="3">
        <f t="shared" si="3"/>
        <v>2.1857142857142859</v>
      </c>
      <c r="H12" s="3">
        <f t="shared" si="3"/>
        <v>2.0571428571428578</v>
      </c>
      <c r="I12" s="3">
        <f t="shared" si="3"/>
        <v>1.9285714285714288</v>
      </c>
      <c r="J12" s="3">
        <f t="shared" si="3"/>
        <v>1.8000000000000007</v>
      </c>
      <c r="K12" s="3">
        <f t="shared" si="3"/>
        <v>1.6714285714285722</v>
      </c>
      <c r="L12" s="3">
        <f t="shared" si="3"/>
        <v>1.5428571428571427</v>
      </c>
      <c r="M12" s="3">
        <f t="shared" si="3"/>
        <v>1.4142857142857146</v>
      </c>
      <c r="N12" s="3">
        <f t="shared" si="3"/>
        <v>1.2857142857142856</v>
      </c>
      <c r="O12" s="3">
        <f t="shared" si="3"/>
        <v>1.1571428571428575</v>
      </c>
      <c r="P12" s="3">
        <f t="shared" si="3"/>
        <v>1.0285714285714289</v>
      </c>
      <c r="Q12" s="3">
        <f t="shared" si="3"/>
        <v>0.90000000000000036</v>
      </c>
      <c r="R12" s="3">
        <f t="shared" si="3"/>
        <v>0.77142857142857135</v>
      </c>
      <c r="S12" s="3">
        <f t="shared" si="3"/>
        <v>0.64285714285714279</v>
      </c>
      <c r="T12" s="3">
        <f t="shared" si="3"/>
        <v>0.51428571428571446</v>
      </c>
      <c r="U12" s="3">
        <f t="shared" si="3"/>
        <v>0.38571428571428568</v>
      </c>
      <c r="V12" s="3">
        <f t="shared" si="3"/>
        <v>0.25714285714285723</v>
      </c>
      <c r="W12" s="3">
        <f t="shared" si="3"/>
        <v>0.12857142857142861</v>
      </c>
    </row>
    <row r="13" spans="1:23" x14ac:dyDescent="0.25">
      <c r="B13" t="s">
        <v>6</v>
      </c>
      <c r="C13" s="5"/>
      <c r="D13" s="4">
        <f>D9+D11+D12</f>
        <v>13.571428571428571</v>
      </c>
      <c r="E13" s="4">
        <f t="shared" ref="E13:W13" si="4">E9+E11+E12</f>
        <v>13.142857142857142</v>
      </c>
      <c r="F13" s="4">
        <f t="shared" si="4"/>
        <v>12.714285714285714</v>
      </c>
      <c r="G13" s="4">
        <f t="shared" si="4"/>
        <v>12.285714285714285</v>
      </c>
      <c r="H13" s="4">
        <f t="shared" si="4"/>
        <v>11.857142857142858</v>
      </c>
      <c r="I13" s="6">
        <f t="shared" si="4"/>
        <v>11.428571428571429</v>
      </c>
      <c r="J13" s="6">
        <f t="shared" si="4"/>
        <v>11</v>
      </c>
      <c r="K13" s="6">
        <f t="shared" si="4"/>
        <v>10.571428571428573</v>
      </c>
      <c r="L13" s="6">
        <f t="shared" si="4"/>
        <v>10.142857142857142</v>
      </c>
      <c r="M13" s="6">
        <f t="shared" si="4"/>
        <v>9.7142857142857153</v>
      </c>
      <c r="N13" s="3">
        <f t="shared" si="4"/>
        <v>9.2857142857142847</v>
      </c>
      <c r="O13" s="3">
        <f t="shared" si="4"/>
        <v>8.8571428571428577</v>
      </c>
      <c r="P13" s="3">
        <f t="shared" si="4"/>
        <v>8.4285714285714288</v>
      </c>
      <c r="Q13" s="3">
        <f t="shared" si="4"/>
        <v>8</v>
      </c>
      <c r="R13" s="3">
        <f t="shared" si="4"/>
        <v>7.5714285714285712</v>
      </c>
      <c r="S13" s="3">
        <f t="shared" si="4"/>
        <v>7.1428571428571423</v>
      </c>
      <c r="T13" s="3">
        <f t="shared" si="4"/>
        <v>6.7142857142857144</v>
      </c>
      <c r="U13" s="3">
        <f t="shared" si="4"/>
        <v>6.2857142857142865</v>
      </c>
      <c r="V13" s="3">
        <f t="shared" si="4"/>
        <v>5.8571428571428568</v>
      </c>
      <c r="W13" s="3">
        <f t="shared" si="4"/>
        <v>5.4285714285714288</v>
      </c>
    </row>
    <row r="14" spans="1:23" x14ac:dyDescent="0.25">
      <c r="B14" t="s">
        <v>8</v>
      </c>
      <c r="D14" s="3">
        <f>D13-D9</f>
        <v>8.5714285714285712</v>
      </c>
      <c r="E14" s="3">
        <f t="shared" ref="E14:W14" si="5">E13-E9</f>
        <v>8.1428571428571423</v>
      </c>
      <c r="F14" s="3">
        <f t="shared" si="5"/>
        <v>7.7142857142857135</v>
      </c>
      <c r="G14" s="3">
        <f t="shared" si="5"/>
        <v>7.2857142857142847</v>
      </c>
      <c r="H14" s="3">
        <f t="shared" si="5"/>
        <v>6.8571428571428577</v>
      </c>
      <c r="I14" s="3">
        <f t="shared" si="5"/>
        <v>6.4285714285714288</v>
      </c>
      <c r="J14" s="3">
        <f t="shared" si="5"/>
        <v>6</v>
      </c>
      <c r="K14" s="3">
        <f t="shared" si="5"/>
        <v>5.571428571428573</v>
      </c>
      <c r="L14" s="3">
        <f t="shared" si="5"/>
        <v>5.1428571428571423</v>
      </c>
      <c r="M14" s="3">
        <f t="shared" si="5"/>
        <v>4.7142857142857153</v>
      </c>
      <c r="N14" s="3">
        <f t="shared" si="5"/>
        <v>4.2857142857142847</v>
      </c>
      <c r="O14" s="3">
        <f t="shared" si="5"/>
        <v>3.8571428571428577</v>
      </c>
      <c r="P14" s="3">
        <f t="shared" si="5"/>
        <v>3.4285714285714288</v>
      </c>
      <c r="Q14" s="3">
        <f t="shared" si="5"/>
        <v>3</v>
      </c>
      <c r="R14" s="3">
        <f t="shared" si="5"/>
        <v>2.5714285714285712</v>
      </c>
      <c r="S14" s="3">
        <f t="shared" si="5"/>
        <v>2.1428571428571423</v>
      </c>
      <c r="T14" s="3">
        <f t="shared" si="5"/>
        <v>1.7142857142857144</v>
      </c>
      <c r="U14" s="3">
        <f t="shared" si="5"/>
        <v>1.2857142857142865</v>
      </c>
      <c r="V14" s="3">
        <f t="shared" si="5"/>
        <v>0.85714285714285676</v>
      </c>
      <c r="W14" s="3">
        <f t="shared" si="5"/>
        <v>0.42857142857142883</v>
      </c>
    </row>
    <row r="15" spans="1:23" x14ac:dyDescent="0.25">
      <c r="B15" t="s">
        <v>9</v>
      </c>
      <c r="D15" s="3">
        <f>D14*$C$3</f>
        <v>2.5714285714285712</v>
      </c>
      <c r="E15" s="3">
        <f t="shared" ref="E15:W15" si="6">E14*$C$3</f>
        <v>2.4428571428571426</v>
      </c>
      <c r="F15" s="3">
        <f t="shared" si="6"/>
        <v>2.3142857142857141</v>
      </c>
      <c r="G15" s="3">
        <f t="shared" si="6"/>
        <v>2.1857142857142855</v>
      </c>
      <c r="H15" s="3">
        <f t="shared" si="6"/>
        <v>2.0571428571428574</v>
      </c>
      <c r="I15" s="3">
        <f t="shared" si="6"/>
        <v>1.9285714285714286</v>
      </c>
      <c r="J15" s="3">
        <f t="shared" si="6"/>
        <v>1.7999999999999998</v>
      </c>
      <c r="K15" s="3">
        <f t="shared" si="6"/>
        <v>1.6714285714285719</v>
      </c>
      <c r="L15" s="3">
        <f t="shared" si="6"/>
        <v>1.5428571428571427</v>
      </c>
      <c r="M15" s="3">
        <f t="shared" si="6"/>
        <v>1.4142857142857146</v>
      </c>
      <c r="N15" s="3">
        <f t="shared" si="6"/>
        <v>1.2857142857142854</v>
      </c>
      <c r="O15" s="3">
        <f t="shared" si="6"/>
        <v>1.1571428571428573</v>
      </c>
      <c r="P15" s="3">
        <f t="shared" si="6"/>
        <v>1.0285714285714287</v>
      </c>
      <c r="Q15" s="3">
        <f t="shared" si="6"/>
        <v>0.89999999999999991</v>
      </c>
      <c r="R15" s="3">
        <f t="shared" si="6"/>
        <v>0.77142857142857135</v>
      </c>
      <c r="S15" s="3">
        <f t="shared" si="6"/>
        <v>0.64285714285714268</v>
      </c>
      <c r="T15" s="3">
        <f t="shared" si="6"/>
        <v>0.51428571428571435</v>
      </c>
      <c r="U15" s="3">
        <f t="shared" si="6"/>
        <v>0.38571428571428595</v>
      </c>
      <c r="V15" s="3">
        <f t="shared" si="6"/>
        <v>0.25714285714285701</v>
      </c>
      <c r="W15" s="3">
        <f t="shared" si="6"/>
        <v>0.12857142857142864</v>
      </c>
    </row>
    <row r="17" spans="2:24" x14ac:dyDescent="0.25">
      <c r="B17" t="s">
        <v>28</v>
      </c>
      <c r="D17">
        <f t="shared" ref="D17:W17" si="7">D13-D15</f>
        <v>11</v>
      </c>
      <c r="E17">
        <f t="shared" si="7"/>
        <v>10.7</v>
      </c>
      <c r="F17">
        <f t="shared" si="7"/>
        <v>10.399999999999999</v>
      </c>
      <c r="G17">
        <f t="shared" si="7"/>
        <v>10.1</v>
      </c>
      <c r="H17">
        <f t="shared" si="7"/>
        <v>9.8000000000000007</v>
      </c>
      <c r="I17">
        <f t="shared" si="7"/>
        <v>9.5</v>
      </c>
      <c r="J17">
        <f t="shared" si="7"/>
        <v>9.1999999999999993</v>
      </c>
      <c r="K17">
        <f t="shared" si="7"/>
        <v>8.9</v>
      </c>
      <c r="L17">
        <f t="shared" si="7"/>
        <v>8.6</v>
      </c>
      <c r="M17">
        <f t="shared" si="7"/>
        <v>8.3000000000000007</v>
      </c>
      <c r="N17">
        <f t="shared" si="7"/>
        <v>7.9999999999999991</v>
      </c>
      <c r="O17">
        <f t="shared" si="7"/>
        <v>7.7</v>
      </c>
      <c r="P17">
        <f t="shared" si="7"/>
        <v>7.4</v>
      </c>
      <c r="Q17">
        <f t="shared" si="7"/>
        <v>7.1</v>
      </c>
      <c r="R17">
        <f t="shared" si="7"/>
        <v>6.8</v>
      </c>
      <c r="S17">
        <f t="shared" si="7"/>
        <v>6.5</v>
      </c>
      <c r="T17">
        <f t="shared" si="7"/>
        <v>6.2</v>
      </c>
      <c r="U17">
        <f t="shared" si="7"/>
        <v>5.9</v>
      </c>
      <c r="V17">
        <f t="shared" si="7"/>
        <v>5.6</v>
      </c>
      <c r="W17">
        <f t="shared" si="7"/>
        <v>5.3</v>
      </c>
    </row>
    <row r="18" spans="2:24" x14ac:dyDescent="0.25">
      <c r="B18" s="18" t="s">
        <v>7</v>
      </c>
      <c r="C18" s="19">
        <f>NPV($C$2,D17:W17)</f>
        <v>99.999999999999986</v>
      </c>
    </row>
    <row r="19" spans="2:24" x14ac:dyDescent="0.25">
      <c r="B19" t="s">
        <v>30</v>
      </c>
      <c r="C19" s="1">
        <f>NPV($C$2,D17:H17)</f>
        <v>43.955637035045704</v>
      </c>
      <c r="D19" s="11">
        <f>C19/C10</f>
        <v>0.43955637035045703</v>
      </c>
    </row>
    <row r="20" spans="2:24" x14ac:dyDescent="0.25">
      <c r="B20" t="s">
        <v>36</v>
      </c>
      <c r="C20" s="1"/>
      <c r="D20" s="14">
        <f>D17/(1+$C$2)^D6/$C$10</f>
        <v>0.10377358490566037</v>
      </c>
      <c r="E20" s="14">
        <f>E17/(1+$C$2)^E6/$C$10+D20</f>
        <v>0.19900320398718402</v>
      </c>
      <c r="F20" s="14">
        <f t="shared" ref="F20:W20" si="8">F17/(1+$C$2)^F6/$C$10+E20</f>
        <v>0.28632360942254337</v>
      </c>
      <c r="G20" s="14">
        <f t="shared" si="8"/>
        <v>0.36632506940958343</v>
      </c>
      <c r="H20" s="14">
        <f t="shared" si="8"/>
        <v>0.43955637035045703</v>
      </c>
      <c r="I20" s="14">
        <f t="shared" si="8"/>
        <v>0.50652762169222632</v>
      </c>
      <c r="J20" s="14">
        <f t="shared" si="8"/>
        <v>0.56771287614548127</v>
      </c>
      <c r="K20" s="14">
        <f t="shared" si="8"/>
        <v>0.62355257719490387</v>
      </c>
      <c r="L20" s="14">
        <f t="shared" si="8"/>
        <v>0.67445584505848599</v>
      </c>
      <c r="M20" s="14">
        <f t="shared" si="8"/>
        <v>0.72080261154244074</v>
      </c>
      <c r="N20" s="14">
        <f t="shared" si="8"/>
        <v>0.76294561357377044</v>
      </c>
      <c r="O20" s="14">
        <f t="shared" si="8"/>
        <v>0.80121225456919953</v>
      </c>
      <c r="P20" s="14">
        <f t="shared" si="8"/>
        <v>0.83590634221514104</v>
      </c>
      <c r="Q20" s="14">
        <f t="shared" si="8"/>
        <v>0.86730971068609786</v>
      </c>
      <c r="R20" s="14">
        <f t="shared" si="8"/>
        <v>0.89568373481611463</v>
      </c>
      <c r="S20" s="14">
        <f t="shared" si="8"/>
        <v>0.92127074325744496</v>
      </c>
      <c r="T20" s="14">
        <f t="shared" si="8"/>
        <v>0.94429533721045622</v>
      </c>
      <c r="U20" s="14">
        <f t="shared" si="8"/>
        <v>0.96496562088707927</v>
      </c>
      <c r="V20" s="14">
        <f t="shared" si="8"/>
        <v>0.9834743494750372</v>
      </c>
      <c r="W20" s="14">
        <f t="shared" si="8"/>
        <v>0.99999999999999967</v>
      </c>
    </row>
    <row r="21" spans="2:24" x14ac:dyDescent="0.25">
      <c r="C21" s="1"/>
      <c r="D21" s="11"/>
    </row>
    <row r="22" spans="2:24" ht="15.75" thickBot="1" x14ac:dyDescent="0.3">
      <c r="B22" s="9" t="s">
        <v>31</v>
      </c>
      <c r="C22" s="9"/>
      <c r="D22" s="9"/>
    </row>
    <row r="23" spans="2:24" x14ac:dyDescent="0.25">
      <c r="B23" t="s">
        <v>29</v>
      </c>
      <c r="C23" s="3">
        <f>C8*(1-C4)</f>
        <v>-30.000000000000004</v>
      </c>
    </row>
    <row r="24" spans="2:24" x14ac:dyDescent="0.25">
      <c r="B24" t="s">
        <v>38</v>
      </c>
      <c r="C24" s="3"/>
      <c r="D24" s="3">
        <f>-C23/20</f>
        <v>1.5000000000000002</v>
      </c>
      <c r="E24" s="3">
        <f>D24</f>
        <v>1.5000000000000002</v>
      </c>
      <c r="F24" s="3">
        <f t="shared" ref="F24:W24" si="9">E24</f>
        <v>1.5000000000000002</v>
      </c>
      <c r="G24" s="3">
        <f t="shared" si="9"/>
        <v>1.5000000000000002</v>
      </c>
      <c r="H24" s="3">
        <f t="shared" si="9"/>
        <v>1.5000000000000002</v>
      </c>
      <c r="I24" s="3">
        <f t="shared" si="9"/>
        <v>1.5000000000000002</v>
      </c>
      <c r="J24" s="3">
        <f t="shared" si="9"/>
        <v>1.5000000000000002</v>
      </c>
      <c r="K24" s="3">
        <f t="shared" si="9"/>
        <v>1.5000000000000002</v>
      </c>
      <c r="L24" s="3">
        <f t="shared" si="9"/>
        <v>1.5000000000000002</v>
      </c>
      <c r="M24" s="3">
        <f t="shared" si="9"/>
        <v>1.5000000000000002</v>
      </c>
      <c r="N24" s="3">
        <f t="shared" si="9"/>
        <v>1.5000000000000002</v>
      </c>
      <c r="O24" s="3">
        <f t="shared" si="9"/>
        <v>1.5000000000000002</v>
      </c>
      <c r="P24" s="3">
        <f t="shared" si="9"/>
        <v>1.5000000000000002</v>
      </c>
      <c r="Q24" s="3">
        <f t="shared" si="9"/>
        <v>1.5000000000000002</v>
      </c>
      <c r="R24" s="3">
        <f t="shared" si="9"/>
        <v>1.5000000000000002</v>
      </c>
      <c r="S24" s="3">
        <f t="shared" si="9"/>
        <v>1.5000000000000002</v>
      </c>
      <c r="T24" s="3">
        <f t="shared" si="9"/>
        <v>1.5000000000000002</v>
      </c>
      <c r="U24" s="3">
        <f t="shared" si="9"/>
        <v>1.5000000000000002</v>
      </c>
      <c r="V24" s="3">
        <f t="shared" si="9"/>
        <v>1.5000000000000002</v>
      </c>
      <c r="W24" s="3">
        <f t="shared" si="9"/>
        <v>1.5000000000000002</v>
      </c>
    </row>
    <row r="25" spans="2:24" x14ac:dyDescent="0.25">
      <c r="B25" t="s">
        <v>39</v>
      </c>
      <c r="C25" s="3">
        <f>-C23</f>
        <v>30.000000000000004</v>
      </c>
      <c r="D25" s="3">
        <f>-C23-D24</f>
        <v>28.500000000000004</v>
      </c>
      <c r="E25" s="3">
        <f t="shared" ref="E25:W25" si="10">D25-E24</f>
        <v>27.000000000000004</v>
      </c>
      <c r="F25" s="3">
        <f t="shared" si="10"/>
        <v>25.500000000000004</v>
      </c>
      <c r="G25" s="3">
        <f t="shared" si="10"/>
        <v>24.000000000000004</v>
      </c>
      <c r="H25" s="3">
        <f t="shared" si="10"/>
        <v>22.500000000000004</v>
      </c>
      <c r="I25" s="3">
        <f t="shared" si="10"/>
        <v>21.000000000000004</v>
      </c>
      <c r="J25" s="3">
        <f t="shared" si="10"/>
        <v>19.500000000000004</v>
      </c>
      <c r="K25" s="3">
        <f t="shared" si="10"/>
        <v>18.000000000000004</v>
      </c>
      <c r="L25" s="3">
        <f t="shared" si="10"/>
        <v>16.500000000000004</v>
      </c>
      <c r="M25" s="3">
        <f t="shared" si="10"/>
        <v>15.000000000000004</v>
      </c>
      <c r="N25" s="3">
        <f t="shared" si="10"/>
        <v>13.500000000000004</v>
      </c>
      <c r="O25" s="3">
        <f t="shared" si="10"/>
        <v>12.000000000000004</v>
      </c>
      <c r="P25" s="3">
        <f t="shared" si="10"/>
        <v>10.500000000000004</v>
      </c>
      <c r="Q25" s="3">
        <f t="shared" si="10"/>
        <v>9.0000000000000036</v>
      </c>
      <c r="R25" s="3">
        <f t="shared" si="10"/>
        <v>7.5000000000000036</v>
      </c>
      <c r="S25" s="3">
        <f t="shared" si="10"/>
        <v>6.0000000000000036</v>
      </c>
      <c r="T25" s="3">
        <f t="shared" si="10"/>
        <v>4.5000000000000036</v>
      </c>
      <c r="U25" s="3">
        <f t="shared" si="10"/>
        <v>3.0000000000000036</v>
      </c>
      <c r="V25" s="3">
        <f t="shared" si="10"/>
        <v>1.5000000000000033</v>
      </c>
      <c r="W25" s="3">
        <f t="shared" si="10"/>
        <v>3.1086244689504383E-15</v>
      </c>
    </row>
    <row r="26" spans="2:24" x14ac:dyDescent="0.25">
      <c r="B26" t="s">
        <v>44</v>
      </c>
      <c r="C26" s="3"/>
      <c r="D26" s="3">
        <f t="shared" ref="D26:W26" si="11">C25*$C$2</f>
        <v>1.8</v>
      </c>
      <c r="E26" s="3">
        <f t="shared" si="11"/>
        <v>1.7100000000000002</v>
      </c>
      <c r="F26" s="3">
        <f t="shared" si="11"/>
        <v>1.62</v>
      </c>
      <c r="G26" s="3">
        <f t="shared" si="11"/>
        <v>1.5300000000000002</v>
      </c>
      <c r="H26" s="3">
        <f t="shared" si="11"/>
        <v>1.4400000000000002</v>
      </c>
      <c r="I26" s="3">
        <f t="shared" si="11"/>
        <v>1.35</v>
      </c>
      <c r="J26" s="3">
        <f t="shared" si="11"/>
        <v>1.2600000000000002</v>
      </c>
      <c r="K26" s="3">
        <f t="shared" si="11"/>
        <v>1.1700000000000002</v>
      </c>
      <c r="L26" s="3">
        <f t="shared" si="11"/>
        <v>1.08</v>
      </c>
      <c r="M26" s="3">
        <f t="shared" si="11"/>
        <v>0.99000000000000021</v>
      </c>
      <c r="N26" s="3">
        <f t="shared" si="11"/>
        <v>0.90000000000000013</v>
      </c>
      <c r="O26" s="3">
        <f t="shared" si="11"/>
        <v>0.81000000000000016</v>
      </c>
      <c r="P26" s="3">
        <f t="shared" si="11"/>
        <v>0.7200000000000002</v>
      </c>
      <c r="Q26" s="3">
        <f t="shared" si="11"/>
        <v>0.63000000000000023</v>
      </c>
      <c r="R26" s="3">
        <f t="shared" si="11"/>
        <v>0.54000000000000015</v>
      </c>
      <c r="S26" s="3">
        <f t="shared" si="11"/>
        <v>0.45000000000000018</v>
      </c>
      <c r="T26" s="3">
        <f t="shared" si="11"/>
        <v>0.36000000000000021</v>
      </c>
      <c r="U26" s="3">
        <f t="shared" si="11"/>
        <v>0.27000000000000018</v>
      </c>
      <c r="V26" s="3">
        <f t="shared" si="11"/>
        <v>0.18000000000000022</v>
      </c>
      <c r="W26" s="3">
        <f t="shared" si="11"/>
        <v>9.0000000000000191E-2</v>
      </c>
    </row>
    <row r="27" spans="2:24" x14ac:dyDescent="0.25">
      <c r="B27" t="s">
        <v>27</v>
      </c>
      <c r="C27" s="3"/>
      <c r="D27" s="3">
        <f t="shared" ref="D27:W27" si="12">D26/(1-$C$3)-D26</f>
        <v>0.77142857142857157</v>
      </c>
      <c r="E27" s="3">
        <f t="shared" si="12"/>
        <v>0.73285714285714287</v>
      </c>
      <c r="F27" s="3">
        <f t="shared" si="12"/>
        <v>0.69428571428571439</v>
      </c>
      <c r="G27" s="3">
        <f t="shared" si="12"/>
        <v>0.65571428571428614</v>
      </c>
      <c r="H27" s="3">
        <f t="shared" si="12"/>
        <v>0.61714285714285722</v>
      </c>
      <c r="I27" s="3">
        <f t="shared" si="12"/>
        <v>0.57857142857142874</v>
      </c>
      <c r="J27" s="3">
        <f t="shared" si="12"/>
        <v>0.54000000000000026</v>
      </c>
      <c r="K27" s="3">
        <f t="shared" si="12"/>
        <v>0.50142857142857156</v>
      </c>
      <c r="L27" s="3">
        <f t="shared" si="12"/>
        <v>0.46285714285714308</v>
      </c>
      <c r="M27" s="3">
        <f t="shared" si="12"/>
        <v>0.42428571428571438</v>
      </c>
      <c r="N27" s="3">
        <f t="shared" si="12"/>
        <v>0.3857142857142859</v>
      </c>
      <c r="O27" s="3">
        <f t="shared" si="12"/>
        <v>0.34714285714285731</v>
      </c>
      <c r="P27" s="3">
        <f t="shared" si="12"/>
        <v>0.30857142857142872</v>
      </c>
      <c r="Q27" s="3">
        <f t="shared" si="12"/>
        <v>0.27000000000000013</v>
      </c>
      <c r="R27" s="3">
        <f t="shared" si="12"/>
        <v>0.23142857142857154</v>
      </c>
      <c r="S27" s="3">
        <f t="shared" si="12"/>
        <v>0.19285714285714295</v>
      </c>
      <c r="T27" s="3">
        <f t="shared" si="12"/>
        <v>0.15428571428571436</v>
      </c>
      <c r="U27" s="3">
        <f t="shared" si="12"/>
        <v>0.11571428571428582</v>
      </c>
      <c r="V27" s="3">
        <f t="shared" si="12"/>
        <v>7.7142857142857235E-2</v>
      </c>
      <c r="W27" s="3">
        <f t="shared" si="12"/>
        <v>3.8571428571428673E-2</v>
      </c>
      <c r="X27" s="3"/>
    </row>
    <row r="28" spans="2:24" x14ac:dyDescent="0.25">
      <c r="B28" t="s">
        <v>6</v>
      </c>
      <c r="C28" s="4"/>
      <c r="D28" s="4">
        <f t="shared" ref="D28:W28" si="13">D24+D26+D27</f>
        <v>4.0714285714285721</v>
      </c>
      <c r="E28" s="4">
        <f t="shared" si="13"/>
        <v>3.9428571428571431</v>
      </c>
      <c r="F28" s="4">
        <f t="shared" si="13"/>
        <v>3.8142857142857145</v>
      </c>
      <c r="G28" s="4">
        <f t="shared" si="13"/>
        <v>3.6857142857142864</v>
      </c>
      <c r="H28" s="4">
        <f t="shared" si="13"/>
        <v>3.5571428571428578</v>
      </c>
      <c r="I28" s="6">
        <f t="shared" si="13"/>
        <v>3.4285714285714293</v>
      </c>
      <c r="J28" s="6">
        <f t="shared" si="13"/>
        <v>3.3000000000000007</v>
      </c>
      <c r="K28" s="6">
        <f t="shared" si="13"/>
        <v>3.1714285714285717</v>
      </c>
      <c r="L28" s="6">
        <f t="shared" si="13"/>
        <v>3.0428571428571431</v>
      </c>
      <c r="M28" s="6">
        <f t="shared" si="13"/>
        <v>2.9142857142857146</v>
      </c>
      <c r="N28" s="3">
        <f t="shared" si="13"/>
        <v>2.7857142857142865</v>
      </c>
      <c r="O28" s="3">
        <f t="shared" si="13"/>
        <v>2.6571428571428579</v>
      </c>
      <c r="P28" s="3">
        <f t="shared" si="13"/>
        <v>2.5285714285714294</v>
      </c>
      <c r="Q28" s="3">
        <f t="shared" si="13"/>
        <v>2.4000000000000004</v>
      </c>
      <c r="R28" s="3">
        <f t="shared" si="13"/>
        <v>2.2714285714285722</v>
      </c>
      <c r="S28" s="3">
        <f t="shared" si="13"/>
        <v>2.1428571428571432</v>
      </c>
      <c r="T28" s="3">
        <f t="shared" si="13"/>
        <v>2.0142857142857147</v>
      </c>
      <c r="U28" s="3">
        <f t="shared" si="13"/>
        <v>1.8857142857142863</v>
      </c>
      <c r="V28" s="3">
        <f t="shared" si="13"/>
        <v>1.7571428571428576</v>
      </c>
      <c r="W28" s="3">
        <f t="shared" si="13"/>
        <v>1.628571428571429</v>
      </c>
    </row>
    <row r="29" spans="2:24" x14ac:dyDescent="0.25">
      <c r="B29" t="s">
        <v>8</v>
      </c>
      <c r="C29" s="3">
        <f>-C25</f>
        <v>-30.000000000000004</v>
      </c>
      <c r="D29" s="3">
        <f t="shared" ref="D29:W29" si="14">D28</f>
        <v>4.0714285714285721</v>
      </c>
      <c r="E29" s="3">
        <f t="shared" si="14"/>
        <v>3.9428571428571431</v>
      </c>
      <c r="F29" s="3">
        <f t="shared" si="14"/>
        <v>3.8142857142857145</v>
      </c>
      <c r="G29" s="3">
        <f t="shared" si="14"/>
        <v>3.6857142857142864</v>
      </c>
      <c r="H29" s="3">
        <f t="shared" si="14"/>
        <v>3.5571428571428578</v>
      </c>
      <c r="I29" s="3">
        <f t="shared" si="14"/>
        <v>3.4285714285714293</v>
      </c>
      <c r="J29" s="3">
        <f t="shared" si="14"/>
        <v>3.3000000000000007</v>
      </c>
      <c r="K29" s="3">
        <f t="shared" si="14"/>
        <v>3.1714285714285717</v>
      </c>
      <c r="L29" s="3">
        <f t="shared" si="14"/>
        <v>3.0428571428571431</v>
      </c>
      <c r="M29" s="3">
        <f t="shared" si="14"/>
        <v>2.9142857142857146</v>
      </c>
      <c r="N29" s="3">
        <f t="shared" si="14"/>
        <v>2.7857142857142865</v>
      </c>
      <c r="O29" s="3">
        <f t="shared" si="14"/>
        <v>2.6571428571428579</v>
      </c>
      <c r="P29" s="3">
        <f t="shared" si="14"/>
        <v>2.5285714285714294</v>
      </c>
      <c r="Q29" s="3">
        <f t="shared" si="14"/>
        <v>2.4000000000000004</v>
      </c>
      <c r="R29" s="3">
        <f t="shared" si="14"/>
        <v>2.2714285714285722</v>
      </c>
      <c r="S29" s="3">
        <f t="shared" si="14"/>
        <v>2.1428571428571432</v>
      </c>
      <c r="T29" s="3">
        <f t="shared" si="14"/>
        <v>2.0142857142857147</v>
      </c>
      <c r="U29" s="3">
        <f t="shared" si="14"/>
        <v>1.8857142857142863</v>
      </c>
      <c r="V29" s="3">
        <f t="shared" si="14"/>
        <v>1.7571428571428576</v>
      </c>
      <c r="W29" s="3">
        <f t="shared" si="14"/>
        <v>1.628571428571429</v>
      </c>
    </row>
    <row r="30" spans="2:24" x14ac:dyDescent="0.25">
      <c r="B30" t="s">
        <v>9</v>
      </c>
      <c r="C30" s="3">
        <f t="shared" ref="C30:W30" si="15">C29*$C$3</f>
        <v>-9</v>
      </c>
      <c r="D30" s="3">
        <f t="shared" si="15"/>
        <v>1.2214285714285715</v>
      </c>
      <c r="E30" s="3">
        <f t="shared" si="15"/>
        <v>1.1828571428571428</v>
      </c>
      <c r="F30" s="3">
        <f t="shared" si="15"/>
        <v>1.1442857142857144</v>
      </c>
      <c r="G30" s="3">
        <f t="shared" si="15"/>
        <v>1.1057142857142859</v>
      </c>
      <c r="H30" s="3">
        <f t="shared" si="15"/>
        <v>1.0671428571428574</v>
      </c>
      <c r="I30" s="3">
        <f t="shared" si="15"/>
        <v>1.0285714285714287</v>
      </c>
      <c r="J30" s="3">
        <f t="shared" si="15"/>
        <v>0.99000000000000021</v>
      </c>
      <c r="K30" s="3">
        <f t="shared" si="15"/>
        <v>0.95142857142857151</v>
      </c>
      <c r="L30" s="3">
        <f t="shared" si="15"/>
        <v>0.91285714285714292</v>
      </c>
      <c r="M30" s="3">
        <f t="shared" si="15"/>
        <v>0.87428571428571433</v>
      </c>
      <c r="N30" s="3">
        <f t="shared" si="15"/>
        <v>0.83571428571428596</v>
      </c>
      <c r="O30" s="3">
        <f t="shared" si="15"/>
        <v>0.79714285714285738</v>
      </c>
      <c r="P30" s="3">
        <f t="shared" si="15"/>
        <v>0.75857142857142879</v>
      </c>
      <c r="Q30" s="3">
        <f t="shared" si="15"/>
        <v>0.72000000000000008</v>
      </c>
      <c r="R30" s="3">
        <f t="shared" si="15"/>
        <v>0.68142857142857161</v>
      </c>
      <c r="S30" s="3">
        <f t="shared" si="15"/>
        <v>0.6428571428571429</v>
      </c>
      <c r="T30" s="3">
        <f t="shared" si="15"/>
        <v>0.60428571428571443</v>
      </c>
      <c r="U30" s="3">
        <f t="shared" si="15"/>
        <v>0.56571428571428584</v>
      </c>
      <c r="V30" s="3">
        <f t="shared" si="15"/>
        <v>0.52714285714285725</v>
      </c>
      <c r="W30" s="3">
        <f t="shared" si="15"/>
        <v>0.48857142857142866</v>
      </c>
      <c r="X30" s="3"/>
    </row>
    <row r="31" spans="2:24" hidden="1" outlineLevel="1" x14ac:dyDescent="0.25">
      <c r="B31" s="15" t="s">
        <v>40</v>
      </c>
      <c r="C31" s="16"/>
      <c r="D31" s="15">
        <f>-$C$23/10</f>
        <v>3.0000000000000004</v>
      </c>
      <c r="E31" s="15">
        <f t="shared" ref="E31:M31" si="16">-$C$23/10</f>
        <v>3.0000000000000004</v>
      </c>
      <c r="F31" s="15">
        <f t="shared" si="16"/>
        <v>3.0000000000000004</v>
      </c>
      <c r="G31" s="15">
        <f t="shared" si="16"/>
        <v>3.0000000000000004</v>
      </c>
      <c r="H31" s="15">
        <f t="shared" si="16"/>
        <v>3.0000000000000004</v>
      </c>
      <c r="I31" s="15">
        <f t="shared" si="16"/>
        <v>3.0000000000000004</v>
      </c>
      <c r="J31" s="15">
        <f t="shared" si="16"/>
        <v>3.0000000000000004</v>
      </c>
      <c r="K31" s="15">
        <f t="shared" si="16"/>
        <v>3.0000000000000004</v>
      </c>
      <c r="L31" s="15">
        <f t="shared" si="16"/>
        <v>3.0000000000000004</v>
      </c>
      <c r="M31" s="15">
        <f t="shared" si="16"/>
        <v>3.0000000000000004</v>
      </c>
    </row>
    <row r="32" spans="2:24" hidden="1" outlineLevel="1" x14ac:dyDescent="0.25">
      <c r="B32" s="15" t="s">
        <v>41</v>
      </c>
      <c r="C32" s="16">
        <f>C25</f>
        <v>30.000000000000004</v>
      </c>
      <c r="D32" s="15">
        <f>C25-D31</f>
        <v>27.000000000000004</v>
      </c>
      <c r="E32" s="15">
        <f t="shared" ref="E32:M32" si="17">D32-E31</f>
        <v>24.000000000000004</v>
      </c>
      <c r="F32" s="15">
        <f t="shared" si="17"/>
        <v>21.000000000000004</v>
      </c>
      <c r="G32" s="15">
        <f t="shared" si="17"/>
        <v>18.000000000000004</v>
      </c>
      <c r="H32" s="15">
        <f t="shared" si="17"/>
        <v>15.000000000000004</v>
      </c>
      <c r="I32" s="15">
        <f t="shared" si="17"/>
        <v>12.000000000000004</v>
      </c>
      <c r="J32" s="15">
        <f t="shared" si="17"/>
        <v>9.0000000000000036</v>
      </c>
      <c r="K32" s="15">
        <f t="shared" si="17"/>
        <v>6.0000000000000036</v>
      </c>
      <c r="L32" s="15">
        <f t="shared" si="17"/>
        <v>3.0000000000000031</v>
      </c>
      <c r="M32" s="15">
        <f t="shared" si="17"/>
        <v>0</v>
      </c>
      <c r="N32" s="15"/>
      <c r="O32" s="15"/>
      <c r="P32" s="15"/>
      <c r="Q32" s="15"/>
      <c r="R32" s="15"/>
      <c r="S32" s="15"/>
      <c r="T32" s="15"/>
      <c r="U32" s="15"/>
      <c r="V32" s="15"/>
      <c r="W32" s="15"/>
    </row>
    <row r="33" spans="2:23" hidden="1" outlineLevel="1" x14ac:dyDescent="0.25">
      <c r="B33" s="15" t="s">
        <v>42</v>
      </c>
      <c r="C33" s="16"/>
      <c r="D33" s="15">
        <f>C32*$C$2</f>
        <v>1.8</v>
      </c>
      <c r="E33" s="15">
        <f t="shared" ref="E33:M33" si="18">D32*$C$2</f>
        <v>1.62</v>
      </c>
      <c r="F33" s="15">
        <f t="shared" si="18"/>
        <v>1.4400000000000002</v>
      </c>
      <c r="G33" s="15">
        <f t="shared" si="18"/>
        <v>1.2600000000000002</v>
      </c>
      <c r="H33" s="15">
        <f t="shared" si="18"/>
        <v>1.08</v>
      </c>
      <c r="I33" s="15">
        <f t="shared" si="18"/>
        <v>0.90000000000000013</v>
      </c>
      <c r="J33" s="15">
        <f t="shared" si="18"/>
        <v>0.7200000000000002</v>
      </c>
      <c r="K33" s="15">
        <f t="shared" si="18"/>
        <v>0.54000000000000015</v>
      </c>
      <c r="L33" s="15">
        <f t="shared" si="18"/>
        <v>0.36000000000000021</v>
      </c>
      <c r="M33" s="15">
        <f t="shared" si="18"/>
        <v>0.18000000000000019</v>
      </c>
      <c r="N33" s="15"/>
      <c r="O33" s="15"/>
      <c r="P33" s="15"/>
      <c r="Q33" s="15"/>
      <c r="R33" s="15"/>
      <c r="S33" s="15"/>
      <c r="T33" s="15"/>
      <c r="U33" s="15"/>
      <c r="V33" s="15"/>
      <c r="W33" s="15"/>
    </row>
    <row r="34" spans="2:23" hidden="1" outlineLevel="1" x14ac:dyDescent="0.25">
      <c r="B34" s="15" t="s">
        <v>43</v>
      </c>
      <c r="C34" s="16"/>
      <c r="D34" s="16">
        <f t="shared" ref="D34:W34" si="19">(D24+D26)-(D31+D33)</f>
        <v>-1.5000000000000004</v>
      </c>
      <c r="E34" s="16">
        <f t="shared" si="19"/>
        <v>-1.4100000000000006</v>
      </c>
      <c r="F34" s="16">
        <f t="shared" si="19"/>
        <v>-1.3200000000000003</v>
      </c>
      <c r="G34" s="16">
        <f t="shared" si="19"/>
        <v>-1.2300000000000004</v>
      </c>
      <c r="H34" s="16">
        <f t="shared" si="19"/>
        <v>-1.1399999999999997</v>
      </c>
      <c r="I34" s="16">
        <f t="shared" si="19"/>
        <v>-1.0499999999999998</v>
      </c>
      <c r="J34" s="16">
        <f t="shared" si="19"/>
        <v>-0.96</v>
      </c>
      <c r="K34" s="16">
        <f t="shared" si="19"/>
        <v>-0.87000000000000011</v>
      </c>
      <c r="L34" s="16">
        <f t="shared" si="19"/>
        <v>-0.78000000000000069</v>
      </c>
      <c r="M34" s="16">
        <f t="shared" si="19"/>
        <v>-0.69000000000000039</v>
      </c>
      <c r="N34" s="16">
        <f t="shared" si="19"/>
        <v>2.4000000000000004</v>
      </c>
      <c r="O34" s="16">
        <f t="shared" si="19"/>
        <v>2.3100000000000005</v>
      </c>
      <c r="P34" s="16">
        <f t="shared" si="19"/>
        <v>2.2200000000000006</v>
      </c>
      <c r="Q34" s="16">
        <f t="shared" si="19"/>
        <v>2.1300000000000003</v>
      </c>
      <c r="R34" s="16">
        <f t="shared" si="19"/>
        <v>2.0400000000000005</v>
      </c>
      <c r="S34" s="16">
        <f t="shared" si="19"/>
        <v>1.9500000000000004</v>
      </c>
      <c r="T34" s="16">
        <f t="shared" si="19"/>
        <v>1.8600000000000003</v>
      </c>
      <c r="U34" s="16">
        <f t="shared" si="19"/>
        <v>1.7700000000000005</v>
      </c>
      <c r="V34" s="16">
        <f t="shared" si="19"/>
        <v>1.6800000000000004</v>
      </c>
      <c r="W34" s="16">
        <f t="shared" si="19"/>
        <v>1.5900000000000003</v>
      </c>
    </row>
    <row r="35" spans="2:23" hidden="1" outlineLevel="1" x14ac:dyDescent="0.25">
      <c r="B35" s="15" t="s">
        <v>7</v>
      </c>
      <c r="C35" s="16">
        <f>NPV(C2,D34:W34)</f>
        <v>-3.6658307416868376E-15</v>
      </c>
    </row>
    <row r="36" spans="2:23" collapsed="1" x14ac:dyDescent="0.25">
      <c r="B36" s="15"/>
      <c r="C36" s="16"/>
    </row>
    <row r="37" spans="2:23" x14ac:dyDescent="0.25">
      <c r="B37" t="s">
        <v>28</v>
      </c>
      <c r="C37" s="3">
        <f>C28-C30</f>
        <v>9</v>
      </c>
      <c r="D37" s="3">
        <f>D28-D30</f>
        <v>2.8500000000000005</v>
      </c>
      <c r="E37" s="3">
        <f t="shared" ref="E37:W37" si="20">E28-E30</f>
        <v>2.7600000000000002</v>
      </c>
      <c r="F37" s="3">
        <f t="shared" si="20"/>
        <v>2.67</v>
      </c>
      <c r="G37" s="3">
        <f t="shared" si="20"/>
        <v>2.5800000000000005</v>
      </c>
      <c r="H37" s="3">
        <f t="shared" si="20"/>
        <v>2.4900000000000002</v>
      </c>
      <c r="I37" s="3">
        <f t="shared" si="20"/>
        <v>2.4000000000000004</v>
      </c>
      <c r="J37" s="3">
        <f t="shared" si="20"/>
        <v>2.3100000000000005</v>
      </c>
      <c r="K37" s="3">
        <f t="shared" si="20"/>
        <v>2.2200000000000002</v>
      </c>
      <c r="L37" s="3">
        <f t="shared" si="20"/>
        <v>2.1300000000000003</v>
      </c>
      <c r="M37" s="3">
        <f t="shared" si="20"/>
        <v>2.04</v>
      </c>
      <c r="N37" s="3">
        <f t="shared" si="20"/>
        <v>1.9500000000000006</v>
      </c>
      <c r="O37" s="3">
        <f t="shared" si="20"/>
        <v>1.8600000000000005</v>
      </c>
      <c r="P37" s="3">
        <f t="shared" si="20"/>
        <v>1.7700000000000005</v>
      </c>
      <c r="Q37" s="3">
        <f t="shared" si="20"/>
        <v>1.6800000000000002</v>
      </c>
      <c r="R37" s="3">
        <f t="shared" si="20"/>
        <v>1.5900000000000007</v>
      </c>
      <c r="S37" s="3">
        <f t="shared" si="20"/>
        <v>1.5000000000000004</v>
      </c>
      <c r="T37" s="3">
        <f t="shared" si="20"/>
        <v>1.4100000000000001</v>
      </c>
      <c r="U37" s="3">
        <f t="shared" si="20"/>
        <v>1.3200000000000005</v>
      </c>
      <c r="V37" s="3">
        <f t="shared" si="20"/>
        <v>1.2300000000000004</v>
      </c>
      <c r="W37" s="3">
        <f t="shared" si="20"/>
        <v>1.1400000000000003</v>
      </c>
    </row>
    <row r="38" spans="2:23" x14ac:dyDescent="0.25">
      <c r="B38" s="18" t="s">
        <v>7</v>
      </c>
      <c r="C38" s="19">
        <f>NPV($C$2,D37:W37)+C37</f>
        <v>33.838535451645626</v>
      </c>
    </row>
    <row r="39" spans="2:23" x14ac:dyDescent="0.25">
      <c r="B39" t="s">
        <v>30</v>
      </c>
      <c r="C39" s="1">
        <f>NPV($C$2,D37:H37)+C37</f>
        <v>20.291127407009142</v>
      </c>
      <c r="D39" s="10">
        <f>C39/C25</f>
        <v>0.67637091356697132</v>
      </c>
    </row>
    <row r="40" spans="2:23" x14ac:dyDescent="0.25">
      <c r="B40" t="s">
        <v>51</v>
      </c>
      <c r="C40" s="20">
        <v>7.7017652656366134E-2</v>
      </c>
      <c r="D40" s="10"/>
    </row>
    <row r="41" spans="2:23" x14ac:dyDescent="0.25">
      <c r="B41" t="s">
        <v>45</v>
      </c>
      <c r="C41" s="17"/>
      <c r="D41" s="17"/>
      <c r="E41" s="17"/>
      <c r="F41" s="17"/>
      <c r="G41" s="17"/>
      <c r="H41" s="17"/>
      <c r="I41" s="17"/>
      <c r="J41" s="17"/>
      <c r="K41" s="17"/>
      <c r="L41" s="17"/>
      <c r="M41" s="17"/>
      <c r="N41" s="17">
        <f t="shared" ref="N41:W41" si="21">D28</f>
        <v>4.0714285714285721</v>
      </c>
      <c r="O41" s="17">
        <f t="shared" si="21"/>
        <v>3.9428571428571431</v>
      </c>
      <c r="P41" s="17">
        <f t="shared" si="21"/>
        <v>3.8142857142857145</v>
      </c>
      <c r="Q41" s="17">
        <f t="shared" si="21"/>
        <v>3.6857142857142864</v>
      </c>
      <c r="R41" s="17">
        <f t="shared" si="21"/>
        <v>3.5571428571428578</v>
      </c>
      <c r="S41" s="17">
        <f t="shared" si="21"/>
        <v>3.4285714285714293</v>
      </c>
      <c r="T41" s="17">
        <f t="shared" si="21"/>
        <v>3.3000000000000007</v>
      </c>
      <c r="U41" s="17">
        <f t="shared" si="21"/>
        <v>3.1714285714285717</v>
      </c>
      <c r="V41" s="17">
        <f t="shared" si="21"/>
        <v>3.0428571428571431</v>
      </c>
      <c r="W41" s="17">
        <f t="shared" si="21"/>
        <v>2.9142857142857146</v>
      </c>
    </row>
    <row r="42" spans="2:23" x14ac:dyDescent="0.25">
      <c r="B42" t="s">
        <v>46</v>
      </c>
      <c r="C42" s="17"/>
      <c r="D42" s="17">
        <f t="shared" ref="D42:W42" si="22">SUM(D28,D41)</f>
        <v>4.0714285714285721</v>
      </c>
      <c r="E42" s="17">
        <f t="shared" si="22"/>
        <v>3.9428571428571431</v>
      </c>
      <c r="F42" s="17">
        <f t="shared" si="22"/>
        <v>3.8142857142857145</v>
      </c>
      <c r="G42" s="17">
        <f t="shared" si="22"/>
        <v>3.6857142857142864</v>
      </c>
      <c r="H42" s="17">
        <f t="shared" si="22"/>
        <v>3.5571428571428578</v>
      </c>
      <c r="I42" s="17">
        <f t="shared" si="22"/>
        <v>3.4285714285714293</v>
      </c>
      <c r="J42" s="17">
        <f t="shared" si="22"/>
        <v>3.3000000000000007</v>
      </c>
      <c r="K42" s="17">
        <f t="shared" si="22"/>
        <v>3.1714285714285717</v>
      </c>
      <c r="L42" s="17">
        <f t="shared" si="22"/>
        <v>3.0428571428571431</v>
      </c>
      <c r="M42" s="17">
        <f t="shared" si="22"/>
        <v>2.9142857142857146</v>
      </c>
      <c r="N42" s="17">
        <f t="shared" si="22"/>
        <v>6.8571428571428585</v>
      </c>
      <c r="O42" s="17">
        <f t="shared" si="22"/>
        <v>6.6000000000000014</v>
      </c>
      <c r="P42" s="17">
        <f t="shared" si="22"/>
        <v>6.3428571428571434</v>
      </c>
      <c r="Q42" s="17">
        <f t="shared" si="22"/>
        <v>6.0857142857142872</v>
      </c>
      <c r="R42" s="17">
        <f t="shared" si="22"/>
        <v>5.8285714285714301</v>
      </c>
      <c r="S42" s="17">
        <f t="shared" si="22"/>
        <v>5.571428571428573</v>
      </c>
      <c r="T42" s="17">
        <f t="shared" si="22"/>
        <v>5.3142857142857149</v>
      </c>
      <c r="U42" s="17">
        <f t="shared" si="22"/>
        <v>5.0571428571428578</v>
      </c>
      <c r="V42" s="17">
        <f t="shared" si="22"/>
        <v>4.8000000000000007</v>
      </c>
      <c r="W42" s="17">
        <f t="shared" si="22"/>
        <v>4.5428571428571436</v>
      </c>
    </row>
    <row r="43" spans="2:23" x14ac:dyDescent="0.25">
      <c r="C43" s="1"/>
      <c r="D43" s="10"/>
    </row>
    <row r="44" spans="2:23" ht="15.75" thickBot="1" x14ac:dyDescent="0.3">
      <c r="B44" s="9" t="s">
        <v>32</v>
      </c>
      <c r="C44" s="9"/>
      <c r="D44" s="9"/>
    </row>
    <row r="45" spans="2:23" x14ac:dyDescent="0.25">
      <c r="B45" t="s">
        <v>1</v>
      </c>
      <c r="C45" s="3">
        <f>C8*(1-C4)</f>
        <v>-30.000000000000004</v>
      </c>
    </row>
    <row r="46" spans="2:23" x14ac:dyDescent="0.25">
      <c r="B46" t="s">
        <v>38</v>
      </c>
      <c r="C46" s="3"/>
      <c r="D46">
        <f>-C45/20</f>
        <v>1.5000000000000002</v>
      </c>
      <c r="E46">
        <f>D46</f>
        <v>1.5000000000000002</v>
      </c>
      <c r="F46">
        <f t="shared" ref="F46:W46" si="23">E46</f>
        <v>1.5000000000000002</v>
      </c>
      <c r="G46">
        <f t="shared" si="23"/>
        <v>1.5000000000000002</v>
      </c>
      <c r="H46">
        <f t="shared" si="23"/>
        <v>1.5000000000000002</v>
      </c>
      <c r="I46">
        <f t="shared" si="23"/>
        <v>1.5000000000000002</v>
      </c>
      <c r="J46">
        <f t="shared" si="23"/>
        <v>1.5000000000000002</v>
      </c>
      <c r="K46">
        <f t="shared" si="23"/>
        <v>1.5000000000000002</v>
      </c>
      <c r="L46">
        <f t="shared" si="23"/>
        <v>1.5000000000000002</v>
      </c>
      <c r="M46">
        <f t="shared" si="23"/>
        <v>1.5000000000000002</v>
      </c>
      <c r="N46">
        <f t="shared" si="23"/>
        <v>1.5000000000000002</v>
      </c>
      <c r="O46">
        <f t="shared" si="23"/>
        <v>1.5000000000000002</v>
      </c>
      <c r="P46">
        <f t="shared" si="23"/>
        <v>1.5000000000000002</v>
      </c>
      <c r="Q46">
        <f t="shared" si="23"/>
        <v>1.5000000000000002</v>
      </c>
      <c r="R46">
        <f t="shared" si="23"/>
        <v>1.5000000000000002</v>
      </c>
      <c r="S46">
        <f t="shared" si="23"/>
        <v>1.5000000000000002</v>
      </c>
      <c r="T46">
        <f t="shared" si="23"/>
        <v>1.5000000000000002</v>
      </c>
      <c r="U46">
        <f t="shared" si="23"/>
        <v>1.5000000000000002</v>
      </c>
      <c r="V46">
        <f t="shared" si="23"/>
        <v>1.5000000000000002</v>
      </c>
      <c r="W46">
        <f t="shared" si="23"/>
        <v>1.5000000000000002</v>
      </c>
    </row>
    <row r="47" spans="2:23" x14ac:dyDescent="0.25">
      <c r="B47" t="s">
        <v>39</v>
      </c>
      <c r="C47" s="3">
        <f>-C45</f>
        <v>30.000000000000004</v>
      </c>
      <c r="D47">
        <f>-C45-D46</f>
        <v>28.500000000000004</v>
      </c>
      <c r="E47">
        <f t="shared" ref="E47:W47" si="24">D47-E46</f>
        <v>27.000000000000004</v>
      </c>
      <c r="F47">
        <f t="shared" si="24"/>
        <v>25.500000000000004</v>
      </c>
      <c r="G47">
        <f t="shared" si="24"/>
        <v>24.000000000000004</v>
      </c>
      <c r="H47">
        <f t="shared" si="24"/>
        <v>22.500000000000004</v>
      </c>
      <c r="I47">
        <f t="shared" si="24"/>
        <v>21.000000000000004</v>
      </c>
      <c r="J47">
        <f t="shared" si="24"/>
        <v>19.500000000000004</v>
      </c>
      <c r="K47">
        <f t="shared" si="24"/>
        <v>18.000000000000004</v>
      </c>
      <c r="L47">
        <f t="shared" si="24"/>
        <v>16.500000000000004</v>
      </c>
      <c r="M47">
        <f t="shared" si="24"/>
        <v>15.000000000000004</v>
      </c>
      <c r="N47">
        <f t="shared" si="24"/>
        <v>13.500000000000004</v>
      </c>
      <c r="O47">
        <f t="shared" si="24"/>
        <v>12.000000000000004</v>
      </c>
      <c r="P47">
        <f t="shared" si="24"/>
        <v>10.500000000000004</v>
      </c>
      <c r="Q47">
        <f t="shared" si="24"/>
        <v>9.0000000000000036</v>
      </c>
      <c r="R47">
        <f t="shared" si="24"/>
        <v>7.5000000000000036</v>
      </c>
      <c r="S47">
        <f t="shared" si="24"/>
        <v>6.0000000000000036</v>
      </c>
      <c r="T47">
        <f t="shared" si="24"/>
        <v>4.5000000000000036</v>
      </c>
      <c r="U47">
        <f t="shared" si="24"/>
        <v>3.0000000000000036</v>
      </c>
      <c r="V47">
        <f t="shared" si="24"/>
        <v>1.5000000000000033</v>
      </c>
      <c r="W47">
        <f t="shared" si="24"/>
        <v>3.1086244689504383E-15</v>
      </c>
    </row>
    <row r="48" spans="2:23" x14ac:dyDescent="0.25">
      <c r="B48" t="s">
        <v>44</v>
      </c>
      <c r="C48" s="3"/>
      <c r="D48" s="3">
        <f>C47*$C$2</f>
        <v>1.8</v>
      </c>
      <c r="E48" s="3">
        <f t="shared" ref="E48:W48" si="25">D47*$C$2</f>
        <v>1.7100000000000002</v>
      </c>
      <c r="F48" s="3">
        <f t="shared" si="25"/>
        <v>1.62</v>
      </c>
      <c r="G48" s="3">
        <f t="shared" si="25"/>
        <v>1.5300000000000002</v>
      </c>
      <c r="H48" s="3">
        <f t="shared" si="25"/>
        <v>1.4400000000000002</v>
      </c>
      <c r="I48" s="3">
        <f t="shared" si="25"/>
        <v>1.35</v>
      </c>
      <c r="J48" s="3">
        <f t="shared" si="25"/>
        <v>1.2600000000000002</v>
      </c>
      <c r="K48" s="3">
        <f t="shared" si="25"/>
        <v>1.1700000000000002</v>
      </c>
      <c r="L48" s="3">
        <f t="shared" si="25"/>
        <v>1.08</v>
      </c>
      <c r="M48" s="3">
        <f t="shared" si="25"/>
        <v>0.99000000000000021</v>
      </c>
      <c r="N48" s="3">
        <f t="shared" si="25"/>
        <v>0.90000000000000013</v>
      </c>
      <c r="O48" s="3">
        <f t="shared" si="25"/>
        <v>0.81000000000000016</v>
      </c>
      <c r="P48" s="3">
        <f t="shared" si="25"/>
        <v>0.7200000000000002</v>
      </c>
      <c r="Q48" s="3">
        <f t="shared" si="25"/>
        <v>0.63000000000000023</v>
      </c>
      <c r="R48" s="3">
        <f t="shared" si="25"/>
        <v>0.54000000000000015</v>
      </c>
      <c r="S48" s="3">
        <f t="shared" si="25"/>
        <v>0.45000000000000018</v>
      </c>
      <c r="T48" s="3">
        <f t="shared" si="25"/>
        <v>0.36000000000000021</v>
      </c>
      <c r="U48" s="3">
        <f t="shared" si="25"/>
        <v>0.27000000000000018</v>
      </c>
      <c r="V48" s="3">
        <f t="shared" si="25"/>
        <v>0.18000000000000022</v>
      </c>
      <c r="W48" s="3">
        <f t="shared" si="25"/>
        <v>9.0000000000000191E-2</v>
      </c>
    </row>
    <row r="49" spans="2:24" x14ac:dyDescent="0.25">
      <c r="B49" t="s">
        <v>27</v>
      </c>
      <c r="C49" s="3">
        <f>C45*C3</f>
        <v>-9</v>
      </c>
      <c r="D49" s="3">
        <f>(D46+D48)/(1-$C$3)-(D46+D48)</f>
        <v>1.414285714285715</v>
      </c>
      <c r="E49" s="3">
        <f t="shared" ref="E49:W49" si="26">(E46+E48)/(1-$C$3)-(E46+E48)</f>
        <v>1.3757142857142859</v>
      </c>
      <c r="F49" s="3">
        <f t="shared" si="26"/>
        <v>1.3371428571428572</v>
      </c>
      <c r="G49" s="3">
        <f t="shared" si="26"/>
        <v>1.2985714285714289</v>
      </c>
      <c r="H49" s="3">
        <f t="shared" si="26"/>
        <v>1.2600000000000007</v>
      </c>
      <c r="I49" s="3">
        <f t="shared" si="26"/>
        <v>1.2214285714285715</v>
      </c>
      <c r="J49" s="3">
        <f t="shared" si="26"/>
        <v>1.1828571428571433</v>
      </c>
      <c r="K49" s="3">
        <f t="shared" si="26"/>
        <v>1.1442857142857146</v>
      </c>
      <c r="L49" s="3">
        <f t="shared" si="26"/>
        <v>1.1057142857142859</v>
      </c>
      <c r="M49" s="3">
        <f t="shared" si="26"/>
        <v>1.0671428571428576</v>
      </c>
      <c r="N49" s="3">
        <f t="shared" si="26"/>
        <v>1.0285714285714289</v>
      </c>
      <c r="O49" s="3">
        <f t="shared" si="26"/>
        <v>0.99000000000000021</v>
      </c>
      <c r="P49" s="3">
        <f t="shared" si="26"/>
        <v>0.95142857142857196</v>
      </c>
      <c r="Q49" s="3">
        <f t="shared" si="26"/>
        <v>0.91285714285714326</v>
      </c>
      <c r="R49" s="3">
        <f t="shared" si="26"/>
        <v>0.87428571428571455</v>
      </c>
      <c r="S49" s="3">
        <f t="shared" si="26"/>
        <v>0.83571428571428608</v>
      </c>
      <c r="T49" s="3">
        <f t="shared" si="26"/>
        <v>0.7971428571428576</v>
      </c>
      <c r="U49" s="3">
        <f t="shared" si="26"/>
        <v>0.7585714285714289</v>
      </c>
      <c r="V49" s="3">
        <f t="shared" si="26"/>
        <v>0.72000000000000042</v>
      </c>
      <c r="W49" s="3">
        <f t="shared" si="26"/>
        <v>0.68142857142857149</v>
      </c>
      <c r="X49" s="3"/>
    </row>
    <row r="50" spans="2:24" x14ac:dyDescent="0.25">
      <c r="B50" t="s">
        <v>6</v>
      </c>
      <c r="C50" s="4">
        <f>C49</f>
        <v>-9</v>
      </c>
      <c r="D50" s="4">
        <f t="shared" ref="D50:W50" si="27">D46+D48+D49</f>
        <v>4.7142857142857153</v>
      </c>
      <c r="E50" s="4">
        <f t="shared" si="27"/>
        <v>4.5857142857142863</v>
      </c>
      <c r="F50" s="4">
        <f t="shared" si="27"/>
        <v>4.4571428571428573</v>
      </c>
      <c r="G50" s="4">
        <f t="shared" si="27"/>
        <v>4.3285714285714292</v>
      </c>
      <c r="H50" s="4">
        <f t="shared" si="27"/>
        <v>4.2000000000000011</v>
      </c>
      <c r="I50" s="6">
        <f t="shared" si="27"/>
        <v>4.0714285714285721</v>
      </c>
      <c r="J50" s="6">
        <f t="shared" si="27"/>
        <v>3.9428571428571439</v>
      </c>
      <c r="K50" s="6">
        <f t="shared" si="27"/>
        <v>3.8142857142857149</v>
      </c>
      <c r="L50" s="6">
        <f t="shared" si="27"/>
        <v>3.6857142857142859</v>
      </c>
      <c r="M50" s="6">
        <f t="shared" si="27"/>
        <v>3.5571428571428578</v>
      </c>
      <c r="N50" s="3">
        <f t="shared" si="27"/>
        <v>3.4285714285714293</v>
      </c>
      <c r="O50" s="3">
        <f t="shared" si="27"/>
        <v>3.3000000000000007</v>
      </c>
      <c r="P50" s="3">
        <f t="shared" si="27"/>
        <v>3.1714285714285726</v>
      </c>
      <c r="Q50" s="3">
        <f t="shared" si="27"/>
        <v>3.0428571428571436</v>
      </c>
      <c r="R50" s="3">
        <f t="shared" si="27"/>
        <v>2.914285714285715</v>
      </c>
      <c r="S50" s="3">
        <f t="shared" si="27"/>
        <v>2.7857142857142865</v>
      </c>
      <c r="T50" s="3">
        <f t="shared" si="27"/>
        <v>2.6571428571428579</v>
      </c>
      <c r="U50" s="3">
        <f t="shared" si="27"/>
        <v>2.5285714285714294</v>
      </c>
      <c r="V50" s="3">
        <f t="shared" si="27"/>
        <v>2.4000000000000008</v>
      </c>
      <c r="W50" s="3">
        <f t="shared" si="27"/>
        <v>2.2714285714285718</v>
      </c>
    </row>
    <row r="51" spans="2:24" x14ac:dyDescent="0.25">
      <c r="B51" t="s">
        <v>8</v>
      </c>
      <c r="C51" s="3">
        <f>C45</f>
        <v>-30.000000000000004</v>
      </c>
      <c r="D51" s="3">
        <f t="shared" ref="D51:W51" si="28">D50</f>
        <v>4.7142857142857153</v>
      </c>
      <c r="E51" s="3">
        <f t="shared" si="28"/>
        <v>4.5857142857142863</v>
      </c>
      <c r="F51" s="3">
        <f t="shared" si="28"/>
        <v>4.4571428571428573</v>
      </c>
      <c r="G51" s="3">
        <f t="shared" si="28"/>
        <v>4.3285714285714292</v>
      </c>
      <c r="H51" s="3">
        <f t="shared" si="28"/>
        <v>4.2000000000000011</v>
      </c>
      <c r="I51" s="3">
        <f t="shared" si="28"/>
        <v>4.0714285714285721</v>
      </c>
      <c r="J51" s="3">
        <f t="shared" si="28"/>
        <v>3.9428571428571439</v>
      </c>
      <c r="K51" s="3">
        <f t="shared" si="28"/>
        <v>3.8142857142857149</v>
      </c>
      <c r="L51" s="3">
        <f t="shared" si="28"/>
        <v>3.6857142857142859</v>
      </c>
      <c r="M51" s="3">
        <f t="shared" si="28"/>
        <v>3.5571428571428578</v>
      </c>
      <c r="N51" s="3">
        <f t="shared" si="28"/>
        <v>3.4285714285714293</v>
      </c>
      <c r="O51" s="3">
        <f t="shared" si="28"/>
        <v>3.3000000000000007</v>
      </c>
      <c r="P51" s="3">
        <f t="shared" si="28"/>
        <v>3.1714285714285726</v>
      </c>
      <c r="Q51" s="3">
        <f t="shared" si="28"/>
        <v>3.0428571428571436</v>
      </c>
      <c r="R51" s="3">
        <f t="shared" si="28"/>
        <v>2.914285714285715</v>
      </c>
      <c r="S51" s="3">
        <f t="shared" si="28"/>
        <v>2.7857142857142865</v>
      </c>
      <c r="T51" s="3">
        <f t="shared" si="28"/>
        <v>2.6571428571428579</v>
      </c>
      <c r="U51" s="3">
        <f t="shared" si="28"/>
        <v>2.5285714285714294</v>
      </c>
      <c r="V51" s="3">
        <f t="shared" si="28"/>
        <v>2.4000000000000008</v>
      </c>
      <c r="W51" s="3">
        <f t="shared" si="28"/>
        <v>2.2714285714285718</v>
      </c>
    </row>
    <row r="52" spans="2:24" x14ac:dyDescent="0.25">
      <c r="B52" t="s">
        <v>9</v>
      </c>
      <c r="C52" s="3">
        <f>C49</f>
        <v>-9</v>
      </c>
      <c r="D52" s="3">
        <f t="shared" ref="D52:W52" si="29">D51*$C$3</f>
        <v>1.4142857142857146</v>
      </c>
      <c r="E52" s="3">
        <f t="shared" si="29"/>
        <v>1.3757142857142859</v>
      </c>
      <c r="F52" s="3">
        <f t="shared" si="29"/>
        <v>1.3371428571428572</v>
      </c>
      <c r="G52" s="3">
        <f t="shared" si="29"/>
        <v>1.2985714285714287</v>
      </c>
      <c r="H52" s="3">
        <f t="shared" si="29"/>
        <v>1.2600000000000002</v>
      </c>
      <c r="I52" s="3">
        <f t="shared" si="29"/>
        <v>1.2214285714285715</v>
      </c>
      <c r="J52" s="3">
        <f t="shared" si="29"/>
        <v>1.1828571428571431</v>
      </c>
      <c r="K52" s="3">
        <f t="shared" si="29"/>
        <v>1.1442857142857144</v>
      </c>
      <c r="L52" s="3">
        <f t="shared" si="29"/>
        <v>1.1057142857142856</v>
      </c>
      <c r="M52" s="3">
        <f t="shared" si="29"/>
        <v>1.0671428571428574</v>
      </c>
      <c r="N52" s="3">
        <f t="shared" si="29"/>
        <v>1.0285714285714287</v>
      </c>
      <c r="O52" s="3">
        <f t="shared" si="29"/>
        <v>0.99000000000000021</v>
      </c>
      <c r="P52" s="3">
        <f t="shared" si="29"/>
        <v>0.95142857142857173</v>
      </c>
      <c r="Q52" s="3">
        <f t="shared" si="29"/>
        <v>0.91285714285714303</v>
      </c>
      <c r="R52" s="3">
        <f t="shared" si="29"/>
        <v>0.87428571428571444</v>
      </c>
      <c r="S52" s="3">
        <f t="shared" si="29"/>
        <v>0.83571428571428596</v>
      </c>
      <c r="T52" s="3">
        <f t="shared" si="29"/>
        <v>0.79714285714285738</v>
      </c>
      <c r="U52" s="3">
        <f t="shared" si="29"/>
        <v>0.75857142857142879</v>
      </c>
      <c r="V52" s="3">
        <f t="shared" si="29"/>
        <v>0.7200000000000002</v>
      </c>
      <c r="W52" s="3">
        <f t="shared" si="29"/>
        <v>0.68142857142857149</v>
      </c>
      <c r="X52" s="3"/>
    </row>
    <row r="53" spans="2:24" hidden="1" outlineLevel="1" x14ac:dyDescent="0.25">
      <c r="B53" s="15" t="s">
        <v>40</v>
      </c>
      <c r="C53" s="16"/>
      <c r="D53" s="15">
        <f>-$C$23/10</f>
        <v>3.0000000000000004</v>
      </c>
      <c r="E53" s="15">
        <f t="shared" ref="E53:M53" si="30">-$C$23/10</f>
        <v>3.0000000000000004</v>
      </c>
      <c r="F53" s="15">
        <f t="shared" si="30"/>
        <v>3.0000000000000004</v>
      </c>
      <c r="G53" s="15">
        <f t="shared" si="30"/>
        <v>3.0000000000000004</v>
      </c>
      <c r="H53" s="15">
        <f t="shared" si="30"/>
        <v>3.0000000000000004</v>
      </c>
      <c r="I53" s="15">
        <f t="shared" si="30"/>
        <v>3.0000000000000004</v>
      </c>
      <c r="J53" s="15">
        <f t="shared" si="30"/>
        <v>3.0000000000000004</v>
      </c>
      <c r="K53" s="15">
        <f t="shared" si="30"/>
        <v>3.0000000000000004</v>
      </c>
      <c r="L53" s="15">
        <f t="shared" si="30"/>
        <v>3.0000000000000004</v>
      </c>
      <c r="M53" s="15">
        <f t="shared" si="30"/>
        <v>3.0000000000000004</v>
      </c>
      <c r="N53" s="16"/>
      <c r="O53" s="16"/>
      <c r="P53" s="16"/>
      <c r="Q53" s="16"/>
      <c r="R53" s="16"/>
      <c r="S53" s="16"/>
      <c r="T53" s="16"/>
      <c r="U53" s="16"/>
      <c r="V53" s="16"/>
      <c r="W53" s="16"/>
    </row>
    <row r="54" spans="2:24" hidden="1" outlineLevel="1" x14ac:dyDescent="0.25">
      <c r="B54" s="15" t="s">
        <v>41</v>
      </c>
      <c r="C54" s="16">
        <f>C47</f>
        <v>30.000000000000004</v>
      </c>
      <c r="D54" s="15">
        <f>C54-D53</f>
        <v>27.000000000000004</v>
      </c>
      <c r="E54" s="15">
        <f t="shared" ref="E54:M54" si="31">D54-E53</f>
        <v>24.000000000000004</v>
      </c>
      <c r="F54" s="15">
        <f t="shared" si="31"/>
        <v>21.000000000000004</v>
      </c>
      <c r="G54" s="15">
        <f t="shared" si="31"/>
        <v>18.000000000000004</v>
      </c>
      <c r="H54" s="15">
        <f t="shared" si="31"/>
        <v>15.000000000000004</v>
      </c>
      <c r="I54" s="15">
        <f t="shared" si="31"/>
        <v>12.000000000000004</v>
      </c>
      <c r="J54" s="15">
        <f t="shared" si="31"/>
        <v>9.0000000000000036</v>
      </c>
      <c r="K54" s="15">
        <f t="shared" si="31"/>
        <v>6.0000000000000036</v>
      </c>
      <c r="L54" s="15">
        <f t="shared" si="31"/>
        <v>3.0000000000000031</v>
      </c>
      <c r="M54" s="15">
        <f t="shared" si="31"/>
        <v>0</v>
      </c>
      <c r="N54" s="16"/>
      <c r="O54" s="16"/>
      <c r="P54" s="16"/>
      <c r="Q54" s="16"/>
      <c r="R54" s="16"/>
      <c r="S54" s="16"/>
      <c r="T54" s="16"/>
      <c r="U54" s="16"/>
      <c r="V54" s="16"/>
      <c r="W54" s="16"/>
    </row>
    <row r="55" spans="2:24" hidden="1" outlineLevel="1" x14ac:dyDescent="0.25">
      <c r="B55" s="15" t="s">
        <v>42</v>
      </c>
      <c r="C55" s="16"/>
      <c r="D55" s="15">
        <f>C54*$C$2</f>
        <v>1.8</v>
      </c>
      <c r="E55" s="15">
        <f t="shared" ref="E55:M55" si="32">D54*$C$2</f>
        <v>1.62</v>
      </c>
      <c r="F55" s="15">
        <f t="shared" si="32"/>
        <v>1.4400000000000002</v>
      </c>
      <c r="G55" s="15">
        <f t="shared" si="32"/>
        <v>1.2600000000000002</v>
      </c>
      <c r="H55" s="15">
        <f t="shared" si="32"/>
        <v>1.08</v>
      </c>
      <c r="I55" s="15">
        <f t="shared" si="32"/>
        <v>0.90000000000000013</v>
      </c>
      <c r="J55" s="15">
        <f t="shared" si="32"/>
        <v>0.7200000000000002</v>
      </c>
      <c r="K55" s="15">
        <f t="shared" si="32"/>
        <v>0.54000000000000015</v>
      </c>
      <c r="L55" s="15">
        <f t="shared" si="32"/>
        <v>0.36000000000000021</v>
      </c>
      <c r="M55" s="15">
        <f t="shared" si="32"/>
        <v>0.18000000000000019</v>
      </c>
      <c r="N55" s="15"/>
      <c r="O55" s="15"/>
      <c r="P55" s="15"/>
      <c r="Q55" s="15"/>
      <c r="R55" s="15"/>
      <c r="S55" s="15"/>
      <c r="T55" s="15"/>
      <c r="U55" s="15"/>
      <c r="V55" s="15"/>
      <c r="W55" s="15"/>
    </row>
    <row r="56" spans="2:24" hidden="1" outlineLevel="1" x14ac:dyDescent="0.25">
      <c r="B56" s="15" t="s">
        <v>43</v>
      </c>
      <c r="C56" s="16"/>
      <c r="D56" s="16">
        <f t="shared" ref="D56:W56" si="33">(D46+D48)-(D53+D55)</f>
        <v>-1.5000000000000004</v>
      </c>
      <c r="E56" s="16">
        <f t="shared" si="33"/>
        <v>-1.4100000000000006</v>
      </c>
      <c r="F56" s="16">
        <f t="shared" si="33"/>
        <v>-1.3200000000000003</v>
      </c>
      <c r="G56" s="16">
        <f t="shared" si="33"/>
        <v>-1.2300000000000004</v>
      </c>
      <c r="H56" s="16">
        <f t="shared" si="33"/>
        <v>-1.1399999999999997</v>
      </c>
      <c r="I56" s="16">
        <f t="shared" si="33"/>
        <v>-1.0499999999999998</v>
      </c>
      <c r="J56" s="16">
        <f t="shared" si="33"/>
        <v>-0.96</v>
      </c>
      <c r="K56" s="16">
        <f t="shared" si="33"/>
        <v>-0.87000000000000011</v>
      </c>
      <c r="L56" s="16">
        <f t="shared" si="33"/>
        <v>-0.78000000000000069</v>
      </c>
      <c r="M56" s="16">
        <f t="shared" si="33"/>
        <v>-0.69000000000000039</v>
      </c>
      <c r="N56" s="16">
        <f t="shared" si="33"/>
        <v>2.4000000000000004</v>
      </c>
      <c r="O56" s="16">
        <f t="shared" si="33"/>
        <v>2.3100000000000005</v>
      </c>
      <c r="P56" s="16">
        <f t="shared" si="33"/>
        <v>2.2200000000000006</v>
      </c>
      <c r="Q56" s="16">
        <f t="shared" si="33"/>
        <v>2.1300000000000003</v>
      </c>
      <c r="R56" s="16">
        <f t="shared" si="33"/>
        <v>2.0400000000000005</v>
      </c>
      <c r="S56" s="16">
        <f t="shared" si="33"/>
        <v>1.9500000000000004</v>
      </c>
      <c r="T56" s="16">
        <f t="shared" si="33"/>
        <v>1.8600000000000003</v>
      </c>
      <c r="U56" s="16">
        <f t="shared" si="33"/>
        <v>1.7700000000000005</v>
      </c>
      <c r="V56" s="16">
        <f t="shared" si="33"/>
        <v>1.6800000000000004</v>
      </c>
      <c r="W56" s="16">
        <f t="shared" si="33"/>
        <v>1.5900000000000003</v>
      </c>
    </row>
    <row r="57" spans="2:24" hidden="1" outlineLevel="1" x14ac:dyDescent="0.25">
      <c r="B57" s="15" t="s">
        <v>7</v>
      </c>
      <c r="C57" s="16">
        <f>NPV(C2,D56:W56)</f>
        <v>-3.6658307416868376E-15</v>
      </c>
      <c r="D57" s="3"/>
      <c r="E57" s="3"/>
      <c r="F57" s="3"/>
      <c r="G57" s="3"/>
      <c r="H57" s="3"/>
      <c r="I57" s="3"/>
      <c r="J57" s="3"/>
      <c r="K57" s="3"/>
      <c r="L57" s="3"/>
      <c r="M57" s="3"/>
      <c r="N57" s="3"/>
      <c r="O57" s="3"/>
      <c r="P57" s="3"/>
      <c r="Q57" s="3"/>
      <c r="R57" s="3"/>
      <c r="S57" s="3"/>
      <c r="T57" s="3"/>
      <c r="U57" s="3"/>
      <c r="V57" s="3"/>
      <c r="W57" s="3"/>
    </row>
    <row r="58" spans="2:24" collapsed="1" x14ac:dyDescent="0.25"/>
    <row r="59" spans="2:24" x14ac:dyDescent="0.25">
      <c r="B59" t="s">
        <v>28</v>
      </c>
      <c r="C59" s="3">
        <f>C50-C52</f>
        <v>0</v>
      </c>
      <c r="D59" s="3">
        <f>D50-D52</f>
        <v>3.3000000000000007</v>
      </c>
      <c r="E59" s="3">
        <f t="shared" ref="E59:W59" si="34">E50-E52</f>
        <v>3.2100000000000004</v>
      </c>
      <c r="F59" s="3">
        <f t="shared" si="34"/>
        <v>3.12</v>
      </c>
      <c r="G59" s="3">
        <f t="shared" si="34"/>
        <v>3.0300000000000002</v>
      </c>
      <c r="H59" s="3">
        <f t="shared" si="34"/>
        <v>2.9400000000000008</v>
      </c>
      <c r="I59" s="3">
        <f t="shared" si="34"/>
        <v>2.8500000000000005</v>
      </c>
      <c r="J59" s="3">
        <f t="shared" si="34"/>
        <v>2.7600000000000007</v>
      </c>
      <c r="K59" s="3">
        <f t="shared" si="34"/>
        <v>2.6700000000000008</v>
      </c>
      <c r="L59" s="3">
        <f t="shared" si="34"/>
        <v>2.58</v>
      </c>
      <c r="M59" s="3">
        <f t="shared" si="34"/>
        <v>2.4900000000000002</v>
      </c>
      <c r="N59" s="3">
        <f t="shared" si="34"/>
        <v>2.4000000000000004</v>
      </c>
      <c r="O59" s="3">
        <f t="shared" si="34"/>
        <v>2.3100000000000005</v>
      </c>
      <c r="P59" s="3">
        <f t="shared" si="34"/>
        <v>2.2200000000000006</v>
      </c>
      <c r="Q59" s="3">
        <f t="shared" si="34"/>
        <v>2.1300000000000008</v>
      </c>
      <c r="R59" s="3">
        <f t="shared" si="34"/>
        <v>2.0400000000000005</v>
      </c>
      <c r="S59" s="3">
        <f t="shared" si="34"/>
        <v>1.9500000000000006</v>
      </c>
      <c r="T59" s="3">
        <f t="shared" si="34"/>
        <v>1.8600000000000005</v>
      </c>
      <c r="U59" s="3">
        <f t="shared" si="34"/>
        <v>1.7700000000000005</v>
      </c>
      <c r="V59" s="3">
        <f t="shared" si="34"/>
        <v>1.6800000000000006</v>
      </c>
      <c r="W59" s="3">
        <f t="shared" si="34"/>
        <v>1.5900000000000003</v>
      </c>
    </row>
    <row r="60" spans="2:24" x14ac:dyDescent="0.25">
      <c r="B60" s="18" t="s">
        <v>7</v>
      </c>
      <c r="C60" s="19">
        <f>NPV($C$2,D59:W59)</f>
        <v>29.999999999999993</v>
      </c>
    </row>
    <row r="61" spans="2:24" x14ac:dyDescent="0.25">
      <c r="B61" t="s">
        <v>30</v>
      </c>
      <c r="C61" s="1">
        <f>NPV($C$2,D59:H59)</f>
        <v>13.186691110513713</v>
      </c>
      <c r="D61" s="11">
        <f>C61/C47</f>
        <v>0.43955637035045708</v>
      </c>
      <c r="E61" s="1"/>
    </row>
    <row r="62" spans="2:24" x14ac:dyDescent="0.25">
      <c r="C62" s="1"/>
      <c r="D62" s="11"/>
      <c r="E62" s="1"/>
    </row>
    <row r="63" spans="2:24" x14ac:dyDescent="0.25">
      <c r="B63" t="s">
        <v>35</v>
      </c>
      <c r="C63" s="1"/>
      <c r="D63" s="12">
        <f t="shared" ref="D63:W63" si="35">MIN(D49,C64)</f>
        <v>1.414285714285715</v>
      </c>
      <c r="E63" s="12">
        <f t="shared" si="35"/>
        <v>1.3757142857142859</v>
      </c>
      <c r="F63" s="12">
        <f t="shared" si="35"/>
        <v>1.3371428571428572</v>
      </c>
      <c r="G63" s="12">
        <f t="shared" si="35"/>
        <v>1.2985714285714289</v>
      </c>
      <c r="H63" s="12">
        <f t="shared" si="35"/>
        <v>1.2600000000000007</v>
      </c>
      <c r="I63" s="12">
        <f t="shared" si="35"/>
        <v>1.2214285714285715</v>
      </c>
      <c r="J63" s="12">
        <f t="shared" si="35"/>
        <v>1.0928571428571408</v>
      </c>
      <c r="K63" s="12">
        <f t="shared" si="35"/>
        <v>0</v>
      </c>
      <c r="L63" s="12">
        <f t="shared" si="35"/>
        <v>0</v>
      </c>
      <c r="M63" s="12">
        <f t="shared" si="35"/>
        <v>0</v>
      </c>
      <c r="N63" s="12">
        <f t="shared" si="35"/>
        <v>0</v>
      </c>
      <c r="O63" s="12">
        <f t="shared" si="35"/>
        <v>0</v>
      </c>
      <c r="P63" s="12">
        <f t="shared" si="35"/>
        <v>0</v>
      </c>
      <c r="Q63" s="12">
        <f t="shared" si="35"/>
        <v>0</v>
      </c>
      <c r="R63" s="12">
        <f t="shared" si="35"/>
        <v>0</v>
      </c>
      <c r="S63" s="12">
        <f t="shared" si="35"/>
        <v>0</v>
      </c>
      <c r="T63" s="12">
        <f t="shared" si="35"/>
        <v>0</v>
      </c>
      <c r="U63" s="12">
        <f t="shared" si="35"/>
        <v>0</v>
      </c>
      <c r="V63" s="12">
        <f t="shared" si="35"/>
        <v>0</v>
      </c>
      <c r="W63" s="12">
        <f t="shared" si="35"/>
        <v>0</v>
      </c>
    </row>
    <row r="64" spans="2:24" x14ac:dyDescent="0.25">
      <c r="B64" t="s">
        <v>34</v>
      </c>
      <c r="C64" s="3">
        <f>-C50</f>
        <v>9</v>
      </c>
      <c r="D64" s="3">
        <f>C64-D63</f>
        <v>7.5857142857142854</v>
      </c>
      <c r="E64" s="3">
        <f t="shared" ref="E64:K64" si="36">D64-E63</f>
        <v>6.2099999999999991</v>
      </c>
      <c r="F64" s="3">
        <f t="shared" si="36"/>
        <v>4.8728571428571419</v>
      </c>
      <c r="G64" s="3">
        <f t="shared" si="36"/>
        <v>3.574285714285713</v>
      </c>
      <c r="H64" s="3">
        <f t="shared" si="36"/>
        <v>2.3142857142857123</v>
      </c>
      <c r="I64" s="3">
        <f t="shared" si="36"/>
        <v>1.0928571428571408</v>
      </c>
      <c r="J64" s="3">
        <f t="shared" si="36"/>
        <v>0</v>
      </c>
      <c r="K64" s="3">
        <f t="shared" si="36"/>
        <v>0</v>
      </c>
      <c r="L64" s="3">
        <f t="shared" ref="L64:W64" si="37">K64-L63</f>
        <v>0</v>
      </c>
      <c r="M64" s="3">
        <f t="shared" si="37"/>
        <v>0</v>
      </c>
      <c r="N64" s="3">
        <f t="shared" si="37"/>
        <v>0</v>
      </c>
      <c r="O64" s="3">
        <f t="shared" si="37"/>
        <v>0</v>
      </c>
      <c r="P64" s="3">
        <f t="shared" si="37"/>
        <v>0</v>
      </c>
      <c r="Q64" s="3">
        <f t="shared" si="37"/>
        <v>0</v>
      </c>
      <c r="R64" s="3">
        <f t="shared" si="37"/>
        <v>0</v>
      </c>
      <c r="S64" s="3">
        <f t="shared" si="37"/>
        <v>0</v>
      </c>
      <c r="T64" s="3">
        <f t="shared" si="37"/>
        <v>0</v>
      </c>
      <c r="U64" s="3">
        <f t="shared" si="37"/>
        <v>0</v>
      </c>
      <c r="V64" s="3">
        <f t="shared" si="37"/>
        <v>0</v>
      </c>
      <c r="W64" s="3">
        <f t="shared" si="37"/>
        <v>0</v>
      </c>
    </row>
    <row r="66" spans="2:23" x14ac:dyDescent="0.25">
      <c r="B66" t="s">
        <v>37</v>
      </c>
      <c r="D66" s="3">
        <f t="shared" ref="D66:W66" si="38">D50-D63</f>
        <v>3.3000000000000003</v>
      </c>
      <c r="E66" s="3">
        <f t="shared" si="38"/>
        <v>3.2100000000000004</v>
      </c>
      <c r="F66" s="3">
        <f t="shared" si="38"/>
        <v>3.12</v>
      </c>
      <c r="G66" s="3">
        <f t="shared" si="38"/>
        <v>3.0300000000000002</v>
      </c>
      <c r="H66" s="3">
        <f t="shared" si="38"/>
        <v>2.9400000000000004</v>
      </c>
      <c r="I66" s="3">
        <f t="shared" si="38"/>
        <v>2.8500000000000005</v>
      </c>
      <c r="J66" s="3">
        <f t="shared" si="38"/>
        <v>2.8500000000000032</v>
      </c>
      <c r="K66" s="3">
        <f t="shared" si="38"/>
        <v>3.8142857142857149</v>
      </c>
      <c r="L66" s="3">
        <f t="shared" si="38"/>
        <v>3.6857142857142859</v>
      </c>
      <c r="M66" s="3">
        <f t="shared" si="38"/>
        <v>3.5571428571428578</v>
      </c>
      <c r="N66" s="3">
        <f t="shared" si="38"/>
        <v>3.4285714285714293</v>
      </c>
      <c r="O66" s="3">
        <f t="shared" si="38"/>
        <v>3.3000000000000007</v>
      </c>
      <c r="P66" s="3">
        <f t="shared" si="38"/>
        <v>3.1714285714285726</v>
      </c>
      <c r="Q66" s="3">
        <f t="shared" si="38"/>
        <v>3.0428571428571436</v>
      </c>
      <c r="R66" s="3">
        <f t="shared" si="38"/>
        <v>2.914285714285715</v>
      </c>
      <c r="S66" s="3">
        <f t="shared" si="38"/>
        <v>2.7857142857142865</v>
      </c>
      <c r="T66" s="3">
        <f t="shared" si="38"/>
        <v>2.6571428571428579</v>
      </c>
      <c r="U66" s="3">
        <f t="shared" si="38"/>
        <v>2.5285714285714294</v>
      </c>
      <c r="V66" s="3">
        <f t="shared" si="38"/>
        <v>2.4000000000000008</v>
      </c>
      <c r="W66" s="3">
        <f t="shared" si="38"/>
        <v>2.2714285714285718</v>
      </c>
    </row>
    <row r="67" spans="2:23" ht="30" x14ac:dyDescent="0.25">
      <c r="B67" s="21" t="s">
        <v>52</v>
      </c>
      <c r="D67" s="3">
        <f>D66-D28</f>
        <v>-0.7714285714285718</v>
      </c>
      <c r="E67" s="3">
        <f t="shared" ref="E67:W67" si="39">E66-E28</f>
        <v>-0.73285714285714265</v>
      </c>
      <c r="F67" s="3">
        <f t="shared" si="39"/>
        <v>-0.69428571428571439</v>
      </c>
      <c r="G67" s="3">
        <f t="shared" si="39"/>
        <v>-0.65571428571428614</v>
      </c>
      <c r="H67" s="3">
        <f t="shared" si="39"/>
        <v>-0.61714285714285744</v>
      </c>
      <c r="I67" s="3">
        <f t="shared" si="39"/>
        <v>-0.57857142857142874</v>
      </c>
      <c r="J67" s="3">
        <f t="shared" si="39"/>
        <v>-0.44999999999999751</v>
      </c>
      <c r="K67" s="3">
        <f t="shared" si="39"/>
        <v>0.64285714285714324</v>
      </c>
      <c r="L67" s="3">
        <f t="shared" si="39"/>
        <v>0.64285714285714279</v>
      </c>
      <c r="M67" s="3">
        <f t="shared" si="39"/>
        <v>0.64285714285714324</v>
      </c>
      <c r="N67" s="3">
        <f t="shared" si="39"/>
        <v>0.64285714285714279</v>
      </c>
      <c r="O67" s="3">
        <f t="shared" si="39"/>
        <v>0.64285714285714279</v>
      </c>
      <c r="P67" s="3">
        <f t="shared" si="39"/>
        <v>0.64285714285714324</v>
      </c>
      <c r="Q67" s="3">
        <f t="shared" si="39"/>
        <v>0.64285714285714324</v>
      </c>
      <c r="R67" s="3">
        <f t="shared" si="39"/>
        <v>0.64285714285714279</v>
      </c>
      <c r="S67" s="3">
        <f t="shared" si="39"/>
        <v>0.64285714285714324</v>
      </c>
      <c r="T67" s="3">
        <f t="shared" si="39"/>
        <v>0.64285714285714324</v>
      </c>
      <c r="U67" s="3">
        <f t="shared" si="39"/>
        <v>0.64285714285714302</v>
      </c>
      <c r="V67" s="3">
        <f t="shared" si="39"/>
        <v>0.64285714285714324</v>
      </c>
      <c r="W67" s="3">
        <f t="shared" si="39"/>
        <v>0.64285714285714279</v>
      </c>
    </row>
    <row r="68" spans="2:23" x14ac:dyDescent="0.25">
      <c r="B68" t="s">
        <v>36</v>
      </c>
      <c r="D68" s="14">
        <f>D59/(1+$C$2)^D6/$C$47</f>
        <v>0.10377358490566038</v>
      </c>
      <c r="E68" s="14">
        <f t="shared" ref="E68:W68" si="40">E59/(1+$C$2)^E6/$C$47+D68</f>
        <v>0.19900320398718402</v>
      </c>
      <c r="F68" s="14">
        <f t="shared" si="40"/>
        <v>0.28632360942254337</v>
      </c>
      <c r="G68" s="14">
        <f t="shared" si="40"/>
        <v>0.36632506940958343</v>
      </c>
      <c r="H68" s="14">
        <f t="shared" si="40"/>
        <v>0.43955637035045703</v>
      </c>
      <c r="I68" s="14">
        <f t="shared" si="40"/>
        <v>0.50652762169222632</v>
      </c>
      <c r="J68" s="14">
        <f t="shared" si="40"/>
        <v>0.56771287614548127</v>
      </c>
      <c r="K68" s="14">
        <f t="shared" si="40"/>
        <v>0.62355257719490387</v>
      </c>
      <c r="L68" s="14">
        <f t="shared" si="40"/>
        <v>0.67445584505848599</v>
      </c>
      <c r="M68" s="14">
        <f t="shared" si="40"/>
        <v>0.72080261154244074</v>
      </c>
      <c r="N68" s="14">
        <f t="shared" si="40"/>
        <v>0.76294561357377044</v>
      </c>
      <c r="O68" s="14">
        <f t="shared" si="40"/>
        <v>0.80121225456919953</v>
      </c>
      <c r="P68" s="14">
        <f t="shared" si="40"/>
        <v>0.83590634221514104</v>
      </c>
      <c r="Q68" s="14">
        <f t="shared" si="40"/>
        <v>0.86730971068609786</v>
      </c>
      <c r="R68" s="14">
        <f t="shared" si="40"/>
        <v>0.89568373481611463</v>
      </c>
      <c r="S68" s="14">
        <f t="shared" si="40"/>
        <v>0.92127074325744496</v>
      </c>
      <c r="T68" s="14">
        <f t="shared" si="40"/>
        <v>0.94429533721045622</v>
      </c>
      <c r="U68" s="14">
        <f t="shared" si="40"/>
        <v>0.96496562088707927</v>
      </c>
      <c r="V68" s="14">
        <f t="shared" si="40"/>
        <v>0.9834743494750372</v>
      </c>
      <c r="W68" s="14">
        <f t="shared" si="40"/>
        <v>0.99999999999999967</v>
      </c>
    </row>
    <row r="70" spans="2:23" x14ac:dyDescent="0.25">
      <c r="D70" s="3">
        <f>D50+C50</f>
        <v>-4.2857142857142847</v>
      </c>
      <c r="E70" s="3">
        <f>E50</f>
        <v>4.5857142857142863</v>
      </c>
      <c r="F70" s="3">
        <f t="shared" ref="F70:M70" si="41">F50</f>
        <v>4.4571428571428573</v>
      </c>
      <c r="G70" s="3">
        <f t="shared" si="41"/>
        <v>4.3285714285714292</v>
      </c>
      <c r="H70" s="3">
        <f t="shared" si="41"/>
        <v>4.2000000000000011</v>
      </c>
      <c r="I70" s="3">
        <f t="shared" si="41"/>
        <v>4.0714285714285721</v>
      </c>
      <c r="J70" s="3">
        <f t="shared" si="41"/>
        <v>3.9428571428571439</v>
      </c>
      <c r="K70" s="3">
        <f t="shared" si="41"/>
        <v>3.8142857142857149</v>
      </c>
      <c r="L70" s="3">
        <f t="shared" si="41"/>
        <v>3.6857142857142859</v>
      </c>
      <c r="M70" s="3">
        <f t="shared" si="41"/>
        <v>3.5571428571428578</v>
      </c>
    </row>
    <row r="71" spans="2:23" x14ac:dyDescent="0.25">
      <c r="D71" s="3"/>
      <c r="E71" s="3"/>
      <c r="F71" s="3"/>
      <c r="G71" s="3"/>
      <c r="H71" s="3"/>
      <c r="I71" s="3"/>
      <c r="J71" s="3"/>
      <c r="K71" s="3"/>
      <c r="L71" s="3"/>
      <c r="M71" s="3"/>
    </row>
    <row r="72" spans="2:23" x14ac:dyDescent="0.25">
      <c r="D72" s="3"/>
      <c r="E72" s="3"/>
      <c r="F72" s="3"/>
      <c r="G72" s="3"/>
      <c r="H72" s="3"/>
      <c r="I72" s="3"/>
      <c r="J72" s="3"/>
      <c r="K72" s="3"/>
      <c r="L72" s="3"/>
      <c r="M72" s="3"/>
    </row>
    <row r="74" spans="2:23" x14ac:dyDescent="0.25">
      <c r="B74" t="s">
        <v>47</v>
      </c>
      <c r="D74" s="3">
        <f>D13</f>
        <v>13.571428571428571</v>
      </c>
      <c r="E74" s="3">
        <f t="shared" ref="E74:M74" si="42">D74+E13</f>
        <v>26.714285714285715</v>
      </c>
      <c r="F74" s="3">
        <f t="shared" si="42"/>
        <v>39.428571428571431</v>
      </c>
      <c r="G74" s="3">
        <f t="shared" si="42"/>
        <v>51.714285714285715</v>
      </c>
      <c r="H74" s="3">
        <f t="shared" si="42"/>
        <v>63.571428571428569</v>
      </c>
      <c r="I74" s="3">
        <f t="shared" si="42"/>
        <v>75</v>
      </c>
      <c r="J74" s="3">
        <f t="shared" si="42"/>
        <v>86</v>
      </c>
      <c r="K74" s="3">
        <f t="shared" si="42"/>
        <v>96.571428571428569</v>
      </c>
      <c r="L74" s="3">
        <f t="shared" si="42"/>
        <v>106.71428571428571</v>
      </c>
      <c r="M74" s="3">
        <f t="shared" si="42"/>
        <v>116.42857142857142</v>
      </c>
    </row>
    <row r="75" spans="2:23" x14ac:dyDescent="0.25">
      <c r="B75" t="s">
        <v>48</v>
      </c>
      <c r="D75" s="3">
        <f>D70</f>
        <v>-4.2857142857142847</v>
      </c>
      <c r="E75" s="3">
        <f t="shared" ref="E75:M75" si="43">D75+E70</f>
        <v>0.3000000000000016</v>
      </c>
      <c r="F75" s="3">
        <f t="shared" si="43"/>
        <v>4.7571428571428589</v>
      </c>
      <c r="G75" s="3">
        <f t="shared" si="43"/>
        <v>9.085714285714289</v>
      </c>
      <c r="H75" s="3">
        <f t="shared" si="43"/>
        <v>13.28571428571429</v>
      </c>
      <c r="I75" s="3">
        <f t="shared" si="43"/>
        <v>17.357142857142861</v>
      </c>
      <c r="J75" s="3">
        <f t="shared" si="43"/>
        <v>21.300000000000004</v>
      </c>
      <c r="K75" s="3">
        <f t="shared" si="43"/>
        <v>25.114285714285721</v>
      </c>
      <c r="L75" s="3">
        <f t="shared" si="43"/>
        <v>28.800000000000008</v>
      </c>
      <c r="M75" s="3">
        <f t="shared" si="43"/>
        <v>32.357142857142868</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4:F10"/>
  <sheetViews>
    <sheetView workbookViewId="0">
      <selection activeCell="D4" sqref="D4:F10"/>
    </sheetView>
  </sheetViews>
  <sheetFormatPr defaultRowHeight="15" x14ac:dyDescent="0.25"/>
  <cols>
    <col min="4" max="4" width="35.140625" customWidth="1"/>
    <col min="5" max="5" width="33.5703125" bestFit="1" customWidth="1"/>
    <col min="6" max="6" width="24.85546875" customWidth="1"/>
  </cols>
  <sheetData>
    <row r="4" spans="4:6" x14ac:dyDescent="0.25">
      <c r="D4" s="2" t="s">
        <v>11</v>
      </c>
      <c r="E4" s="2" t="s">
        <v>12</v>
      </c>
      <c r="F4" s="2" t="s">
        <v>13</v>
      </c>
    </row>
    <row r="5" spans="4:6" x14ac:dyDescent="0.25">
      <c r="D5" t="s">
        <v>14</v>
      </c>
      <c r="E5" t="s">
        <v>17</v>
      </c>
      <c r="F5" t="s">
        <v>15</v>
      </c>
    </row>
    <row r="6" spans="4:6" x14ac:dyDescent="0.25">
      <c r="D6" t="s">
        <v>16</v>
      </c>
      <c r="E6" t="s">
        <v>18</v>
      </c>
      <c r="F6" t="s">
        <v>15</v>
      </c>
    </row>
    <row r="7" spans="4:6" x14ac:dyDescent="0.25">
      <c r="D7" t="s">
        <v>2</v>
      </c>
      <c r="E7" t="s">
        <v>25</v>
      </c>
      <c r="F7" t="s">
        <v>15</v>
      </c>
    </row>
    <row r="8" spans="4:6" x14ac:dyDescent="0.25">
      <c r="D8" t="s">
        <v>19</v>
      </c>
      <c r="E8" t="s">
        <v>20</v>
      </c>
      <c r="F8" t="s">
        <v>17</v>
      </c>
    </row>
    <row r="9" spans="4:6" x14ac:dyDescent="0.25">
      <c r="D9" t="s">
        <v>21</v>
      </c>
      <c r="E9" t="s">
        <v>22</v>
      </c>
      <c r="F9" t="s">
        <v>23</v>
      </c>
    </row>
    <row r="10" spans="4:6" x14ac:dyDescent="0.25">
      <c r="D10" t="s">
        <v>24</v>
      </c>
      <c r="E10" t="s">
        <v>26</v>
      </c>
      <c r="F10"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University of Queensland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Gray</dc:creator>
  <cp:lastModifiedBy>OW</cp:lastModifiedBy>
  <dcterms:created xsi:type="dcterms:W3CDTF">2018-11-05T02:31:07Z</dcterms:created>
  <dcterms:modified xsi:type="dcterms:W3CDTF">2018-12-05T05:05:47Z</dcterms:modified>
</cp:coreProperties>
</file>