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C:\Users\OW\OneDrive\Documents\AER-CCP\Tax\Rersearch\"/>
    </mc:Choice>
  </mc:AlternateContent>
  <xr:revisionPtr revIDLastSave="0" documentId="6_{B103710E-74FB-4A52-8DA9-7AE43AD3047B}" xr6:coauthVersionLast="38" xr6:coauthVersionMax="38" xr10:uidLastSave="{00000000-0000-0000-0000-000000000000}"/>
  <bookViews>
    <workbookView xWindow="0" yWindow="0" windowWidth="22560" windowHeight="10395"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48" i="1" l="1"/>
  <c r="M46" i="1"/>
  <c r="M47" i="1"/>
  <c r="E51" i="1"/>
  <c r="F51" i="1"/>
  <c r="G51" i="1"/>
  <c r="H51" i="1"/>
  <c r="I51" i="1"/>
  <c r="J51" i="1"/>
  <c r="K51" i="1"/>
  <c r="L51" i="1"/>
  <c r="N51" i="1"/>
  <c r="O51" i="1"/>
  <c r="P51" i="1"/>
  <c r="Q51" i="1"/>
  <c r="R51" i="1"/>
  <c r="S51" i="1"/>
  <c r="T51" i="1"/>
  <c r="U51" i="1"/>
  <c r="V51" i="1"/>
  <c r="W51" i="1"/>
  <c r="D51" i="1"/>
  <c r="E33" i="1"/>
  <c r="F33" i="1"/>
  <c r="G33" i="1"/>
  <c r="H33" i="1"/>
  <c r="I33" i="1"/>
  <c r="J33" i="1"/>
  <c r="K33" i="1"/>
  <c r="L33" i="1"/>
  <c r="M33" i="1"/>
  <c r="N33" i="1"/>
  <c r="O33" i="1"/>
  <c r="P33" i="1"/>
  <c r="Q33" i="1"/>
  <c r="R33" i="1"/>
  <c r="S33" i="1"/>
  <c r="T33" i="1"/>
  <c r="U33" i="1"/>
  <c r="V33" i="1"/>
  <c r="W33" i="1"/>
  <c r="D33" i="1"/>
  <c r="M23" i="1" l="1"/>
  <c r="C24" i="1" s="1"/>
  <c r="C41" i="1"/>
  <c r="D43" i="1" s="1"/>
  <c r="D25" i="1"/>
  <c r="M41" i="1" l="1"/>
  <c r="N25" i="1"/>
  <c r="N26" i="1" s="1"/>
  <c r="N43" i="1" l="1"/>
  <c r="O43" i="1" s="1"/>
  <c r="N44" i="1"/>
  <c r="O44" i="1" s="1"/>
  <c r="C48" i="1" l="1"/>
  <c r="C46" i="1"/>
  <c r="C47" i="1" s="1"/>
  <c r="C44" i="1"/>
  <c r="C26" i="1"/>
  <c r="C30" i="1" s="1"/>
  <c r="C10" i="1"/>
  <c r="D9" i="1"/>
  <c r="D10" i="1" s="1"/>
  <c r="C56" i="1" l="1"/>
  <c r="D44" i="1"/>
  <c r="E45" i="1" s="1"/>
  <c r="D27" i="1"/>
  <c r="D28" i="1" s="1"/>
  <c r="D45" i="1"/>
  <c r="D11" i="1"/>
  <c r="D12" i="1" s="1"/>
  <c r="D13" i="1" s="1"/>
  <c r="E9" i="1"/>
  <c r="F9" i="1" s="1"/>
  <c r="G9" i="1" s="1"/>
  <c r="H9" i="1" s="1"/>
  <c r="I9" i="1" s="1"/>
  <c r="J9" i="1" s="1"/>
  <c r="K9" i="1" s="1"/>
  <c r="L9" i="1" s="1"/>
  <c r="M9" i="1" s="1"/>
  <c r="N9" i="1" s="1"/>
  <c r="O9" i="1" s="1"/>
  <c r="P9" i="1" s="1"/>
  <c r="Q9" i="1" s="1"/>
  <c r="R9" i="1" s="1"/>
  <c r="S9" i="1" s="1"/>
  <c r="T9" i="1" s="1"/>
  <c r="U9" i="1" s="1"/>
  <c r="V9" i="1" s="1"/>
  <c r="W9" i="1" s="1"/>
  <c r="C49" i="1"/>
  <c r="C51" i="1" s="1"/>
  <c r="E43" i="1"/>
  <c r="C31" i="1"/>
  <c r="E25" i="1"/>
  <c r="D26" i="1"/>
  <c r="E11" i="1"/>
  <c r="E12" i="1" s="1"/>
  <c r="D46" i="1" l="1"/>
  <c r="E46" i="1"/>
  <c r="D29" i="1"/>
  <c r="D30" i="1" s="1"/>
  <c r="C33" i="1"/>
  <c r="E44" i="1"/>
  <c r="F45" i="1" s="1"/>
  <c r="D14" i="1"/>
  <c r="D15" i="1" s="1"/>
  <c r="D17" i="1" s="1"/>
  <c r="D20" i="1" s="1"/>
  <c r="E13" i="1"/>
  <c r="E10" i="1"/>
  <c r="F43" i="1"/>
  <c r="E26" i="1"/>
  <c r="E27" i="1"/>
  <c r="E28" i="1" s="1"/>
  <c r="F25" i="1"/>
  <c r="F46" i="1" l="1"/>
  <c r="D31" i="1"/>
  <c r="D38" i="1"/>
  <c r="F44" i="1"/>
  <c r="G45" i="1" s="1"/>
  <c r="G43" i="1"/>
  <c r="E14" i="1"/>
  <c r="E15" i="1" s="1"/>
  <c r="E17" i="1" s="1"/>
  <c r="E20" i="1" s="1"/>
  <c r="F10" i="1"/>
  <c r="F11" i="1"/>
  <c r="G25" i="1"/>
  <c r="E29" i="1"/>
  <c r="F27" i="1"/>
  <c r="F28" i="1" s="1"/>
  <c r="F26" i="1"/>
  <c r="G46" i="1" l="1"/>
  <c r="E38" i="1"/>
  <c r="G44" i="1"/>
  <c r="H45" i="1" s="1"/>
  <c r="H43" i="1"/>
  <c r="F12" i="1"/>
  <c r="F13" i="1" s="1"/>
  <c r="E30" i="1"/>
  <c r="G11" i="1"/>
  <c r="G12" i="1" s="1"/>
  <c r="G13" i="1" s="1"/>
  <c r="G10" i="1"/>
  <c r="H25" i="1"/>
  <c r="G27" i="1"/>
  <c r="G28" i="1" s="1"/>
  <c r="G29" i="1" s="1"/>
  <c r="G26" i="1"/>
  <c r="F29" i="1"/>
  <c r="E31" i="1" l="1"/>
  <c r="H46" i="1"/>
  <c r="F38" i="1"/>
  <c r="G38" i="1"/>
  <c r="I43" i="1"/>
  <c r="H44" i="1"/>
  <c r="I45" i="1" s="1"/>
  <c r="G14" i="1"/>
  <c r="G15" i="1" s="1"/>
  <c r="G17" i="1" s="1"/>
  <c r="F14" i="1"/>
  <c r="F15" i="1" s="1"/>
  <c r="F17" i="1" s="1"/>
  <c r="F20" i="1" s="1"/>
  <c r="G30" i="1"/>
  <c r="H11" i="1"/>
  <c r="H10" i="1"/>
  <c r="F30" i="1"/>
  <c r="H27" i="1"/>
  <c r="H28" i="1" s="1"/>
  <c r="H26" i="1"/>
  <c r="I25" i="1"/>
  <c r="F31" i="1" l="1"/>
  <c r="G31" i="1"/>
  <c r="J43" i="1"/>
  <c r="K43" i="1" s="1"/>
  <c r="I46" i="1"/>
  <c r="I44" i="1"/>
  <c r="J45" i="1" s="1"/>
  <c r="G20" i="1"/>
  <c r="I10" i="1"/>
  <c r="I11" i="1"/>
  <c r="I12" i="1" s="1"/>
  <c r="I13" i="1" s="1"/>
  <c r="H12" i="1"/>
  <c r="H13" i="1" s="1"/>
  <c r="H29" i="1"/>
  <c r="J25" i="1"/>
  <c r="I27" i="1"/>
  <c r="I28" i="1" s="1"/>
  <c r="I26" i="1"/>
  <c r="J46" i="1" l="1"/>
  <c r="H38" i="1"/>
  <c r="J44" i="1"/>
  <c r="K44" i="1" s="1"/>
  <c r="H14" i="1"/>
  <c r="H15" i="1" s="1"/>
  <c r="H17" i="1" s="1"/>
  <c r="H20" i="1" s="1"/>
  <c r="I14" i="1"/>
  <c r="I15" i="1" s="1"/>
  <c r="I17" i="1" s="1"/>
  <c r="H30" i="1"/>
  <c r="J10" i="1"/>
  <c r="J11" i="1"/>
  <c r="L43" i="1"/>
  <c r="I29" i="1"/>
  <c r="K25" i="1"/>
  <c r="J27" i="1"/>
  <c r="J28" i="1" s="1"/>
  <c r="J26" i="1"/>
  <c r="K45" i="1" l="1"/>
  <c r="K46" i="1" s="1"/>
  <c r="H31" i="1"/>
  <c r="C35" i="1" s="1"/>
  <c r="D35" i="1" s="1"/>
  <c r="I38" i="1"/>
  <c r="I20" i="1"/>
  <c r="C19" i="1"/>
  <c r="D19" i="1" s="1"/>
  <c r="K11" i="1"/>
  <c r="K10" i="1"/>
  <c r="I30" i="1"/>
  <c r="J12" i="1"/>
  <c r="J13" i="1" s="1"/>
  <c r="M43" i="1"/>
  <c r="L44" i="1"/>
  <c r="M44" i="1" s="1"/>
  <c r="L45" i="1"/>
  <c r="J29" i="1"/>
  <c r="L25" i="1"/>
  <c r="K27" i="1"/>
  <c r="K28" i="1" s="1"/>
  <c r="K26" i="1"/>
  <c r="I31" i="1" l="1"/>
  <c r="J38" i="1"/>
  <c r="K47" i="1"/>
  <c r="J14" i="1"/>
  <c r="J15" i="1" s="1"/>
  <c r="J17" i="1" s="1"/>
  <c r="J20" i="1" s="1"/>
  <c r="L10" i="1"/>
  <c r="L11" i="1"/>
  <c r="J30" i="1"/>
  <c r="K12" i="1"/>
  <c r="K13" i="1" s="1"/>
  <c r="L46" i="1"/>
  <c r="M45" i="1"/>
  <c r="M25" i="1"/>
  <c r="K29" i="1"/>
  <c r="L27" i="1"/>
  <c r="L28" i="1" s="1"/>
  <c r="L26" i="1"/>
  <c r="M26" i="1" s="1"/>
  <c r="K62" i="1" l="1"/>
  <c r="J31" i="1"/>
  <c r="K38" i="1"/>
  <c r="L47" i="1"/>
  <c r="K48" i="1"/>
  <c r="K49" i="1" s="1"/>
  <c r="K14" i="1"/>
  <c r="K15" i="1" s="1"/>
  <c r="K17" i="1" s="1"/>
  <c r="K20" i="1" s="1"/>
  <c r="L12" i="1"/>
  <c r="L13" i="1" s="1"/>
  <c r="K30" i="1"/>
  <c r="M11" i="1"/>
  <c r="M12" i="1" s="1"/>
  <c r="M13" i="1" s="1"/>
  <c r="M10" i="1"/>
  <c r="N45" i="1"/>
  <c r="N46" i="1" s="1"/>
  <c r="M27" i="1"/>
  <c r="M28" i="1" s="1"/>
  <c r="L29" i="1"/>
  <c r="L62" i="1" l="1"/>
  <c r="K31" i="1"/>
  <c r="L38" i="1"/>
  <c r="L48" i="1"/>
  <c r="L49" i="1" s="1"/>
  <c r="M14" i="1"/>
  <c r="M15" i="1" s="1"/>
  <c r="M17" i="1" s="1"/>
  <c r="L14" i="1"/>
  <c r="L15" i="1" s="1"/>
  <c r="L17" i="1" s="1"/>
  <c r="L20" i="1" s="1"/>
  <c r="N11" i="1"/>
  <c r="N10" i="1"/>
  <c r="L30" i="1"/>
  <c r="N47" i="1"/>
  <c r="P43" i="1"/>
  <c r="P44" i="1" s="1"/>
  <c r="M29" i="1"/>
  <c r="O25" i="1"/>
  <c r="N27" i="1"/>
  <c r="N28" i="1" s="1"/>
  <c r="M30" i="1" l="1"/>
  <c r="M49" i="1"/>
  <c r="M62" i="1"/>
  <c r="L31" i="1"/>
  <c r="M38" i="1"/>
  <c r="M20" i="1"/>
  <c r="N48" i="1"/>
  <c r="N49" i="1" s="1"/>
  <c r="O10" i="1"/>
  <c r="O11" i="1"/>
  <c r="O12" i="1" s="1"/>
  <c r="O13" i="1" s="1"/>
  <c r="O14" i="1" s="1"/>
  <c r="O15" i="1" s="1"/>
  <c r="N12" i="1"/>
  <c r="N13" i="1" s="1"/>
  <c r="Q43" i="1"/>
  <c r="Q44" i="1" s="1"/>
  <c r="O27" i="1"/>
  <c r="O28" i="1" s="1"/>
  <c r="O26" i="1"/>
  <c r="P25" i="1"/>
  <c r="N29" i="1"/>
  <c r="M56" i="1" l="1"/>
  <c r="N55" i="1" s="1"/>
  <c r="M51" i="1"/>
  <c r="M31" i="1"/>
  <c r="N38" i="1"/>
  <c r="N14" i="1"/>
  <c r="N15" i="1" s="1"/>
  <c r="N17" i="1" s="1"/>
  <c r="N20" i="1" s="1"/>
  <c r="O17" i="1"/>
  <c r="N30" i="1"/>
  <c r="P10" i="1"/>
  <c r="P11" i="1"/>
  <c r="O29" i="1"/>
  <c r="R43" i="1"/>
  <c r="R44" i="1" s="1"/>
  <c r="P27" i="1"/>
  <c r="P28" i="1" s="1"/>
  <c r="P26" i="1"/>
  <c r="Q25" i="1"/>
  <c r="N31" i="1" l="1"/>
  <c r="O38" i="1"/>
  <c r="O20" i="1"/>
  <c r="Q10" i="1"/>
  <c r="Q11" i="1"/>
  <c r="Q12" i="1" s="1"/>
  <c r="Q13" i="1" s="1"/>
  <c r="O30" i="1"/>
  <c r="P12" i="1"/>
  <c r="P13" i="1" s="1"/>
  <c r="S43" i="1"/>
  <c r="S44" i="1" s="1"/>
  <c r="Q26" i="1"/>
  <c r="Q27" i="1"/>
  <c r="Q28" i="1" s="1"/>
  <c r="R25" i="1"/>
  <c r="P29" i="1"/>
  <c r="O31" i="1" l="1"/>
  <c r="P38" i="1"/>
  <c r="P14" i="1"/>
  <c r="P15" i="1" s="1"/>
  <c r="P17" i="1" s="1"/>
  <c r="P20" i="1" s="1"/>
  <c r="Q14" i="1"/>
  <c r="Q15" i="1" s="1"/>
  <c r="Q17" i="1" s="1"/>
  <c r="P30" i="1"/>
  <c r="R10" i="1"/>
  <c r="R11" i="1"/>
  <c r="Q29" i="1"/>
  <c r="T43" i="1"/>
  <c r="T44" i="1" s="1"/>
  <c r="S25" i="1"/>
  <c r="R27" i="1"/>
  <c r="R28" i="1" s="1"/>
  <c r="R26" i="1"/>
  <c r="P31" i="1" l="1"/>
  <c r="Q38" i="1"/>
  <c r="Q20" i="1"/>
  <c r="S11" i="1"/>
  <c r="S10" i="1"/>
  <c r="Q30" i="1"/>
  <c r="R12" i="1"/>
  <c r="R13" i="1" s="1"/>
  <c r="U43" i="1"/>
  <c r="U44" i="1" s="1"/>
  <c r="R29" i="1"/>
  <c r="T25" i="1"/>
  <c r="S27" i="1"/>
  <c r="S28" i="1" s="1"/>
  <c r="S26" i="1"/>
  <c r="Q31" i="1" l="1"/>
  <c r="R38" i="1"/>
  <c r="R14" i="1"/>
  <c r="R15" i="1" s="1"/>
  <c r="R17" i="1" s="1"/>
  <c r="R20" i="1" s="1"/>
  <c r="T11" i="1"/>
  <c r="T10" i="1"/>
  <c r="S12" i="1"/>
  <c r="S13" i="1" s="1"/>
  <c r="R30" i="1"/>
  <c r="V43" i="1"/>
  <c r="V44" i="1" s="1"/>
  <c r="T27" i="1"/>
  <c r="T28" i="1" s="1"/>
  <c r="T26" i="1"/>
  <c r="U25" i="1"/>
  <c r="S29" i="1"/>
  <c r="R31" i="1" l="1"/>
  <c r="S38" i="1"/>
  <c r="S14" i="1"/>
  <c r="S15" i="1" s="1"/>
  <c r="S17" i="1" s="1"/>
  <c r="S20" i="1" s="1"/>
  <c r="U11" i="1"/>
  <c r="U10" i="1"/>
  <c r="S30" i="1"/>
  <c r="T12" i="1"/>
  <c r="T13" i="1" s="1"/>
  <c r="W43" i="1"/>
  <c r="W44" i="1" s="1"/>
  <c r="T29" i="1"/>
  <c r="U26" i="1"/>
  <c r="U27" i="1"/>
  <c r="U28" i="1" s="1"/>
  <c r="V25" i="1"/>
  <c r="S31" i="1" l="1"/>
  <c r="T38" i="1"/>
  <c r="T14" i="1"/>
  <c r="T15" i="1" s="1"/>
  <c r="T17" i="1" s="1"/>
  <c r="T20" i="1" s="1"/>
  <c r="V10" i="1"/>
  <c r="V11" i="1"/>
  <c r="U12" i="1"/>
  <c r="U13" i="1" s="1"/>
  <c r="T30" i="1"/>
  <c r="U29" i="1"/>
  <c r="V27" i="1"/>
  <c r="V28" i="1" s="1"/>
  <c r="V29" i="1" s="1"/>
  <c r="V26" i="1"/>
  <c r="W25" i="1"/>
  <c r="T31" i="1" l="1"/>
  <c r="V38" i="1"/>
  <c r="U38" i="1"/>
  <c r="U14" i="1"/>
  <c r="U15" i="1" s="1"/>
  <c r="U17" i="1" s="1"/>
  <c r="U20" i="1" s="1"/>
  <c r="U30" i="1"/>
  <c r="V12" i="1"/>
  <c r="V13" i="1" s="1"/>
  <c r="V30" i="1"/>
  <c r="W11" i="1"/>
  <c r="W10" i="1"/>
  <c r="W27" i="1"/>
  <c r="W28" i="1" s="1"/>
  <c r="W26" i="1"/>
  <c r="U31" i="1" l="1"/>
  <c r="V31" i="1"/>
  <c r="V14" i="1"/>
  <c r="V15" i="1" s="1"/>
  <c r="V17" i="1" s="1"/>
  <c r="V20" i="1" s="1"/>
  <c r="W12" i="1"/>
  <c r="W13" i="1" s="1"/>
  <c r="W29" i="1"/>
  <c r="W38" i="1" l="1"/>
  <c r="W30" i="1"/>
  <c r="W14" i="1"/>
  <c r="W15" i="1" s="1"/>
  <c r="W17" i="1" s="1"/>
  <c r="W20" i="1" s="1"/>
  <c r="W31" i="1" l="1"/>
  <c r="C34" i="1" s="1"/>
  <c r="C18" i="1"/>
  <c r="E47" i="1" l="1"/>
  <c r="F47" i="1"/>
  <c r="G47" i="1"/>
  <c r="I47" i="1"/>
  <c r="I48" i="1" s="1"/>
  <c r="I49" i="1" s="1"/>
  <c r="H47" i="1"/>
  <c r="J47" i="1"/>
  <c r="J48" i="1" l="1"/>
  <c r="J49" i="1" s="1"/>
  <c r="G62" i="1"/>
  <c r="H62" i="1"/>
  <c r="F62" i="1"/>
  <c r="I62" i="1"/>
  <c r="G48" i="1"/>
  <c r="G49" i="1" s="1"/>
  <c r="E48" i="1"/>
  <c r="E49" i="1" s="1"/>
  <c r="E62" i="1"/>
  <c r="F48" i="1"/>
  <c r="F49" i="1" s="1"/>
  <c r="J62" i="1"/>
  <c r="H48" i="1"/>
  <c r="H49" i="1" s="1"/>
  <c r="D55" i="1"/>
  <c r="D56" i="1" s="1"/>
  <c r="E55" i="1" s="1"/>
  <c r="D47" i="1"/>
  <c r="D48" i="1" l="1"/>
  <c r="D49" i="1" s="1"/>
  <c r="D58" i="1"/>
  <c r="D59" i="1" s="1"/>
  <c r="E56" i="1"/>
  <c r="E58" i="1"/>
  <c r="E59" i="1" s="1"/>
  <c r="D62" i="1"/>
  <c r="F55" i="1" l="1"/>
  <c r="F58" i="1" s="1"/>
  <c r="F59" i="1" s="1"/>
  <c r="C53" i="1"/>
  <c r="D53" i="1" s="1"/>
  <c r="D60" i="1"/>
  <c r="E60" i="1" s="1"/>
  <c r="F60" i="1" s="1"/>
  <c r="G60" i="1" s="1"/>
  <c r="H60" i="1" s="1"/>
  <c r="I60" i="1" s="1"/>
  <c r="J60" i="1" s="1"/>
  <c r="K60" i="1" s="1"/>
  <c r="L60" i="1" s="1"/>
  <c r="M60" i="1" s="1"/>
  <c r="N60" i="1" s="1"/>
  <c r="F56" i="1" l="1"/>
  <c r="G55" i="1"/>
  <c r="G58" i="1" s="1"/>
  <c r="G59" i="1" s="1"/>
  <c r="G56" i="1" l="1"/>
  <c r="H55" i="1" l="1"/>
  <c r="H58" i="1" s="1"/>
  <c r="H59" i="1" s="1"/>
  <c r="H56" i="1" l="1"/>
  <c r="I55" i="1"/>
  <c r="I58" i="1" s="1"/>
  <c r="I59" i="1" s="1"/>
  <c r="I56" i="1" l="1"/>
  <c r="J55" i="1"/>
  <c r="J58" i="1" s="1"/>
  <c r="J59" i="1" s="1"/>
  <c r="J56" i="1" l="1"/>
  <c r="K55" i="1" s="1"/>
  <c r="K58" i="1" s="1"/>
  <c r="K59" i="1" s="1"/>
  <c r="K56" i="1" l="1"/>
  <c r="L55" i="1" l="1"/>
  <c r="L58" i="1" s="1"/>
  <c r="L59" i="1" s="1"/>
  <c r="L56" i="1" l="1"/>
  <c r="M58" i="1"/>
  <c r="M59" i="1" s="1"/>
  <c r="N58" i="1"/>
  <c r="N59" i="1" s="1"/>
  <c r="N56" i="1" l="1"/>
  <c r="O45" i="1"/>
  <c r="Q45" i="1" l="1"/>
  <c r="O46" i="1"/>
  <c r="O55" i="1" s="1"/>
  <c r="O56" i="1" s="1"/>
  <c r="P45" i="1"/>
  <c r="R45" i="1" l="1"/>
  <c r="Q46" i="1"/>
  <c r="P46" i="1"/>
  <c r="P55" i="1" s="1"/>
  <c r="P56" i="1" s="1"/>
  <c r="O47" i="1"/>
  <c r="P47" i="1" l="1"/>
  <c r="O58" i="1"/>
  <c r="O59" i="1" s="1"/>
  <c r="O48" i="1"/>
  <c r="O49" i="1" s="1"/>
  <c r="S45" i="1"/>
  <c r="Q55" i="1"/>
  <c r="Q56" i="1" s="1"/>
  <c r="P48" i="1"/>
  <c r="P49" i="1" s="1"/>
  <c r="P58" i="1"/>
  <c r="P59" i="1" s="1"/>
  <c r="R46" i="1"/>
  <c r="Q47" i="1"/>
  <c r="O60" i="1" l="1"/>
  <c r="P60" i="1" s="1"/>
  <c r="R55" i="1"/>
  <c r="R56" i="1" s="1"/>
  <c r="R47" i="1"/>
  <c r="S46" i="1"/>
  <c r="Q48" i="1"/>
  <c r="Q49" i="1" s="1"/>
  <c r="Q58" i="1"/>
  <c r="Q59" i="1" s="1"/>
  <c r="T45" i="1"/>
  <c r="S55" i="1" l="1"/>
  <c r="S56" i="1" s="1"/>
  <c r="T46" i="1"/>
  <c r="T47" i="1" s="1"/>
  <c r="Q60" i="1"/>
  <c r="S47" i="1"/>
  <c r="R58" i="1"/>
  <c r="R59" i="1" s="1"/>
  <c r="R48" i="1"/>
  <c r="R49" i="1" s="1"/>
  <c r="U45" i="1"/>
  <c r="R60" i="1" l="1"/>
  <c r="U46" i="1"/>
  <c r="V45" i="1"/>
  <c r="T48" i="1"/>
  <c r="T49" i="1" s="1"/>
  <c r="S48" i="1"/>
  <c r="S49" i="1" s="1"/>
  <c r="S58" i="1"/>
  <c r="S59" i="1" s="1"/>
  <c r="T55" i="1"/>
  <c r="T56" i="1" s="1"/>
  <c r="S60" i="1" l="1"/>
  <c r="T60" i="1" s="1"/>
  <c r="U55" i="1"/>
  <c r="U56" i="1" s="1"/>
  <c r="W45" i="1"/>
  <c r="U47" i="1"/>
  <c r="V46" i="1"/>
  <c r="T58" i="1"/>
  <c r="T59" i="1" s="1"/>
  <c r="U48" i="1" l="1"/>
  <c r="U49" i="1" s="1"/>
  <c r="U58" i="1"/>
  <c r="U59" i="1" s="1"/>
  <c r="W46" i="1"/>
  <c r="W47" i="1" s="1"/>
  <c r="V55" i="1"/>
  <c r="V56" i="1" s="1"/>
  <c r="V47" i="1"/>
  <c r="V58" i="1" l="1"/>
  <c r="V59" i="1" s="1"/>
  <c r="V48" i="1"/>
  <c r="V49" i="1" s="1"/>
  <c r="U60" i="1"/>
  <c r="W48" i="1"/>
  <c r="W49" i="1" s="1"/>
  <c r="W55" i="1"/>
  <c r="W56" i="1" s="1"/>
  <c r="W58" i="1" l="1"/>
  <c r="W59" i="1" s="1"/>
  <c r="V60" i="1"/>
  <c r="W60" i="1" s="1"/>
  <c r="C52" i="1"/>
</calcChain>
</file>

<file path=xl/sharedStrings.xml><?xml version="1.0" encoding="utf-8"?>
<sst xmlns="http://schemas.openxmlformats.org/spreadsheetml/2006/main" count="71" uniqueCount="46">
  <si>
    <t>Year</t>
  </si>
  <si>
    <t>Replace asset</t>
  </si>
  <si>
    <t>Depreciation</t>
  </si>
  <si>
    <t>Return on capital</t>
  </si>
  <si>
    <t>WACC</t>
  </si>
  <si>
    <t>Allowed revenue</t>
  </si>
  <si>
    <t>NPV</t>
  </si>
  <si>
    <t>Taxable income</t>
  </si>
  <si>
    <t>Tax paid</t>
  </si>
  <si>
    <t>Tax</t>
  </si>
  <si>
    <t>Issue</t>
  </si>
  <si>
    <t>AER Position</t>
  </si>
  <si>
    <t>ENA position</t>
  </si>
  <si>
    <t>Actual tax pass through vs BEE approach</t>
  </si>
  <si>
    <t>Agree</t>
  </si>
  <si>
    <t>Entity structure and ownership</t>
  </si>
  <si>
    <t>Maintain BEE approach</t>
  </si>
  <si>
    <t>Maintain Australian corporate 30% rate</t>
  </si>
  <si>
    <t>Interest expense</t>
  </si>
  <si>
    <t>Still considering</t>
  </si>
  <si>
    <t>Refurbishments</t>
  </si>
  <si>
    <t>Reflect up-front deduction</t>
  </si>
  <si>
    <t>Maintain current approach</t>
  </si>
  <si>
    <t>Asset lives for gas pipelines</t>
  </si>
  <si>
    <t>Move to DV where appropriate</t>
  </si>
  <si>
    <t>Reflect 20-year asset life</t>
  </si>
  <si>
    <t>Tax allowance</t>
  </si>
  <si>
    <t>Net cash flow to firm</t>
  </si>
  <si>
    <t>Refurbish asset</t>
  </si>
  <si>
    <t>NPV5</t>
  </si>
  <si>
    <t>Tax loss balance</t>
  </si>
  <si>
    <t>Tax losses used</t>
  </si>
  <si>
    <t>NSP recovery</t>
  </si>
  <si>
    <t>Allowed revenue (TLCF)</t>
  </si>
  <si>
    <t>Reg depreciation</t>
  </si>
  <si>
    <t>Reg return on capital</t>
  </si>
  <si>
    <t>Total allowed revenue</t>
  </si>
  <si>
    <t>Case:</t>
  </si>
  <si>
    <t>IRR</t>
  </si>
  <si>
    <t>Difference from current approach</t>
  </si>
  <si>
    <t>Outlay is capitalised  for tax</t>
  </si>
  <si>
    <t>Outlay expensed for tax purposes: Current AER approach (i.e. assumes it is capitalised)</t>
  </si>
  <si>
    <t>Outlay expensed for tax purposes: Proposed AER approach (i.e. assumes it is expensed)</t>
  </si>
  <si>
    <t>Comparison of refurb and replacement options including second round of refurnb to provide equivalent service levels</t>
  </si>
  <si>
    <t>PV of expenditure</t>
  </si>
  <si>
    <t>Asset value (eoy)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</si>
</sst>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_);[Red]\(&quot;$&quot;#,##0.00\)"/>
    <numFmt numFmtId="165" formatCode="0.0%"/>
  </numFmts>
  <fonts count="5"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1"/>
      <color theme="1" tint="0.499984740745262"/>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rgb="FF00B0F0"/>
        <bgColor indexed="64"/>
      </patternFill>
    </fill>
  </fills>
  <borders count="2">
    <border>
      <left/>
      <right/>
      <top/>
      <bottom/>
      <diagonal/>
    </border>
    <border>
      <left/>
      <right/>
      <top/>
      <bottom style="medium">
        <color theme="4" tint="0.39997558519241921"/>
      </bottom>
      <diagonal/>
    </border>
  </borders>
  <cellStyleXfs count="3">
    <xf numFmtId="0" fontId="0" fillId="0" borderId="0"/>
    <xf numFmtId="9" fontId="1" fillId="0" borderId="0" applyFont="0" applyFill="0" applyBorder="0" applyAlignment="0" applyProtection="0"/>
    <xf numFmtId="0" fontId="2" fillId="0" borderId="1" applyNumberFormat="0" applyFill="0" applyAlignment="0" applyProtection="0"/>
  </cellStyleXfs>
  <cellXfs count="22">
    <xf numFmtId="0" fontId="0" fillId="0" borderId="0" xfId="0"/>
    <xf numFmtId="164" fontId="0" fillId="0" borderId="0" xfId="0" applyNumberFormat="1"/>
    <xf numFmtId="0" fontId="3" fillId="0" borderId="0" xfId="0" applyFont="1"/>
    <xf numFmtId="2" fontId="0" fillId="0" borderId="0" xfId="0" applyNumberFormat="1"/>
    <xf numFmtId="2" fontId="0" fillId="2" borderId="0" xfId="0" applyNumberFormat="1" applyFill="1"/>
    <xf numFmtId="0" fontId="0" fillId="2" borderId="0" xfId="0" applyFill="1"/>
    <xf numFmtId="2" fontId="0" fillId="3" borderId="0" xfId="0" applyNumberFormat="1" applyFill="1"/>
    <xf numFmtId="0" fontId="3" fillId="0" borderId="0" xfId="0" applyFont="1" applyAlignment="1">
      <alignment horizontal="center"/>
    </xf>
    <xf numFmtId="9" fontId="3" fillId="0" borderId="0" xfId="0" applyNumberFormat="1" applyFont="1"/>
    <xf numFmtId="0" fontId="2" fillId="0" borderId="1" xfId="2"/>
    <xf numFmtId="9" fontId="0" fillId="0" borderId="0" xfId="1" applyFont="1"/>
    <xf numFmtId="9" fontId="0" fillId="0" borderId="0" xfId="1" applyNumberFormat="1" applyFont="1"/>
    <xf numFmtId="2" fontId="0" fillId="0" borderId="0" xfId="1" applyNumberFormat="1" applyFont="1"/>
    <xf numFmtId="9" fontId="0" fillId="0" borderId="0" xfId="0" applyNumberFormat="1"/>
    <xf numFmtId="10" fontId="0" fillId="0" borderId="0" xfId="1" applyNumberFormat="1" applyFont="1"/>
    <xf numFmtId="0" fontId="4" fillId="0" borderId="0" xfId="0" applyFont="1"/>
    <xf numFmtId="2" fontId="4" fillId="0" borderId="0" xfId="0" applyNumberFormat="1" applyFont="1"/>
    <xf numFmtId="2" fontId="0" fillId="0" borderId="0" xfId="0" applyNumberFormat="1" applyFill="1"/>
    <xf numFmtId="0" fontId="0" fillId="4" borderId="0" xfId="0" applyFill="1"/>
    <xf numFmtId="164" fontId="0" fillId="4" borderId="0" xfId="0" applyNumberFormat="1" applyFill="1"/>
    <xf numFmtId="165" fontId="0" fillId="0" borderId="0" xfId="1" applyNumberFormat="1" applyFont="1"/>
    <xf numFmtId="0" fontId="0" fillId="0" borderId="0" xfId="0" applyAlignment="1">
      <alignment wrapText="1"/>
    </xf>
  </cellXfs>
  <cellStyles count="3">
    <cellStyle name="Heading 3" xfId="2" builtinId="1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Sheet1!$C$13:$W$13</c:f>
              <c:numCache>
                <c:formatCode>0.00</c:formatCode>
                <c:ptCount val="21"/>
                <c:pt idx="1">
                  <c:v>13.571428571428571</c:v>
                </c:pt>
                <c:pt idx="2">
                  <c:v>13.142857142857142</c:v>
                </c:pt>
                <c:pt idx="3">
                  <c:v>12.714285714285714</c:v>
                </c:pt>
                <c:pt idx="4">
                  <c:v>12.285714285714285</c:v>
                </c:pt>
                <c:pt idx="5">
                  <c:v>11.857142857142858</c:v>
                </c:pt>
                <c:pt idx="6">
                  <c:v>11.428571428571429</c:v>
                </c:pt>
                <c:pt idx="7">
                  <c:v>11</c:v>
                </c:pt>
                <c:pt idx="8">
                  <c:v>10.571428571428573</c:v>
                </c:pt>
                <c:pt idx="9">
                  <c:v>10.142857142857142</c:v>
                </c:pt>
                <c:pt idx="10">
                  <c:v>9.7142857142857153</c:v>
                </c:pt>
                <c:pt idx="11">
                  <c:v>9.2857142857142847</c:v>
                </c:pt>
                <c:pt idx="12">
                  <c:v>8.8571428571428577</c:v>
                </c:pt>
                <c:pt idx="13">
                  <c:v>8.4285714285714288</c:v>
                </c:pt>
                <c:pt idx="14">
                  <c:v>8</c:v>
                </c:pt>
                <c:pt idx="15">
                  <c:v>7.5714285714285712</c:v>
                </c:pt>
                <c:pt idx="16">
                  <c:v>7.1428571428571423</c:v>
                </c:pt>
                <c:pt idx="17">
                  <c:v>6.7142857142857144</c:v>
                </c:pt>
                <c:pt idx="18">
                  <c:v>6.2857142857142865</c:v>
                </c:pt>
                <c:pt idx="19">
                  <c:v>5.8571428571428568</c:v>
                </c:pt>
                <c:pt idx="20">
                  <c:v>5.4285714285714288</c:v>
                </c:pt>
              </c:numCache>
            </c:numRef>
          </c:yVal>
          <c:smooth val="0"/>
          <c:extLst>
            <c:ext xmlns:c16="http://schemas.microsoft.com/office/drawing/2014/chart" uri="{C3380CC4-5D6E-409C-BE32-E72D297353CC}">
              <c16:uniqueId val="{00000000-367F-43FD-84E8-14B57F7BFA32}"/>
            </c:ext>
          </c:extLst>
        </c:ser>
        <c:ser>
          <c:idx val="1"/>
          <c:order val="1"/>
          <c:tx>
            <c:v>Refurbishment</c:v>
          </c:tx>
          <c:spPr>
            <a:ln w="19050" cap="rnd">
              <a:solidFill>
                <a:schemeClr val="accent2"/>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Sheet1!$C$38:$W$38</c:f>
              <c:numCache>
                <c:formatCode>0.00</c:formatCode>
                <c:ptCount val="21"/>
                <c:pt idx="1">
                  <c:v>12.155364881519303</c:v>
                </c:pt>
                <c:pt idx="2">
                  <c:v>11.594348040833797</c:v>
                </c:pt>
                <c:pt idx="3">
                  <c:v>11.033331200148291</c:v>
                </c:pt>
                <c:pt idx="4">
                  <c:v>10.472314359462786</c:v>
                </c:pt>
                <c:pt idx="5">
                  <c:v>9.9112975187772783</c:v>
                </c:pt>
                <c:pt idx="6">
                  <c:v>9.3502806780917727</c:v>
                </c:pt>
                <c:pt idx="7">
                  <c:v>8.789263837406267</c:v>
                </c:pt>
                <c:pt idx="8">
                  <c:v>8.2282469967207597</c:v>
                </c:pt>
                <c:pt idx="9">
                  <c:v>7.6672301560352532</c:v>
                </c:pt>
                <c:pt idx="10">
                  <c:v>7.1062133153497475</c:v>
                </c:pt>
                <c:pt idx="11">
                  <c:v>12.155364881519306</c:v>
                </c:pt>
                <c:pt idx="12">
                  <c:v>11.594348040833797</c:v>
                </c:pt>
                <c:pt idx="13">
                  <c:v>11.033331200148291</c:v>
                </c:pt>
                <c:pt idx="14">
                  <c:v>10.472314359462786</c:v>
                </c:pt>
                <c:pt idx="15">
                  <c:v>9.9112975187772783</c:v>
                </c:pt>
                <c:pt idx="16">
                  <c:v>9.3502806780917727</c:v>
                </c:pt>
                <c:pt idx="17">
                  <c:v>8.789263837406267</c:v>
                </c:pt>
                <c:pt idx="18">
                  <c:v>8.2282469967207597</c:v>
                </c:pt>
                <c:pt idx="19">
                  <c:v>7.6672301560352532</c:v>
                </c:pt>
                <c:pt idx="20">
                  <c:v>7.1062133153497475</c:v>
                </c:pt>
              </c:numCache>
            </c:numRef>
          </c:yVal>
          <c:smooth val="0"/>
          <c:extLst>
            <c:ext xmlns:c16="http://schemas.microsoft.com/office/drawing/2014/chart" uri="{C3380CC4-5D6E-409C-BE32-E72D297353CC}">
              <c16:uniqueId val="{00000001-367F-43FD-84E8-14B57F7BFA32}"/>
            </c:ext>
          </c:extLst>
        </c:ser>
        <c:dLbls>
          <c:showLegendKey val="0"/>
          <c:showVal val="0"/>
          <c:showCatName val="0"/>
          <c:showSerName val="0"/>
          <c:showPercent val="0"/>
          <c:showBubbleSize val="0"/>
        </c:dLbls>
        <c:axId val="825262760"/>
        <c:axId val="825265056"/>
      </c:scatterChart>
      <c:valAx>
        <c:axId val="825262760"/>
        <c:scaling>
          <c:orientation val="minMax"/>
          <c:max val="20"/>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5056"/>
        <c:crosses val="autoZero"/>
        <c:crossBetween val="midCat"/>
      </c:valAx>
      <c:valAx>
        <c:axId val="825265056"/>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Consumer payment</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2760"/>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38234229342022"/>
          <c:y val="5.3147072832112202E-2"/>
          <c:w val="0.82296248529278671"/>
          <c:h val="0.73751228731543694"/>
        </c:manualLayout>
      </c:layout>
      <c:scatterChart>
        <c:scatterStyle val="lineMarker"/>
        <c:varyColors val="0"/>
        <c:ser>
          <c:idx val="0"/>
          <c:order val="0"/>
          <c:tx>
            <c:v>Current approach</c:v>
          </c:tx>
          <c:spPr>
            <a:ln w="19050" cap="rnd">
              <a:solidFill>
                <a:schemeClr val="accent1"/>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Sheet1!$C$29:$W$29</c:f>
              <c:numCache>
                <c:formatCode>0.00</c:formatCode>
                <c:ptCount val="21"/>
                <c:pt idx="1">
                  <c:v>12.155364881519303</c:v>
                </c:pt>
                <c:pt idx="2">
                  <c:v>11.594348040833797</c:v>
                </c:pt>
                <c:pt idx="3">
                  <c:v>11.033331200148291</c:v>
                </c:pt>
                <c:pt idx="4">
                  <c:v>10.472314359462786</c:v>
                </c:pt>
                <c:pt idx="5">
                  <c:v>9.9112975187772783</c:v>
                </c:pt>
                <c:pt idx="6">
                  <c:v>9.3502806780917727</c:v>
                </c:pt>
                <c:pt idx="7">
                  <c:v>8.789263837406267</c:v>
                </c:pt>
                <c:pt idx="8">
                  <c:v>8.2282469967207597</c:v>
                </c:pt>
                <c:pt idx="9">
                  <c:v>7.6672301560352532</c:v>
                </c:pt>
                <c:pt idx="10">
                  <c:v>7.1062133153497475</c:v>
                </c:pt>
                <c:pt idx="11">
                  <c:v>12.155364881519306</c:v>
                </c:pt>
                <c:pt idx="12">
                  <c:v>11.594348040833797</c:v>
                </c:pt>
                <c:pt idx="13">
                  <c:v>11.033331200148291</c:v>
                </c:pt>
                <c:pt idx="14">
                  <c:v>10.472314359462786</c:v>
                </c:pt>
                <c:pt idx="15">
                  <c:v>9.9112975187772783</c:v>
                </c:pt>
                <c:pt idx="16">
                  <c:v>9.3502806780917727</c:v>
                </c:pt>
                <c:pt idx="17">
                  <c:v>8.789263837406267</c:v>
                </c:pt>
                <c:pt idx="18">
                  <c:v>8.2282469967207597</c:v>
                </c:pt>
                <c:pt idx="19">
                  <c:v>7.6672301560352532</c:v>
                </c:pt>
                <c:pt idx="20">
                  <c:v>7.1062133153497475</c:v>
                </c:pt>
              </c:numCache>
            </c:numRef>
          </c:yVal>
          <c:smooth val="0"/>
          <c:extLst>
            <c:ext xmlns:c16="http://schemas.microsoft.com/office/drawing/2014/chart" uri="{C3380CC4-5D6E-409C-BE32-E72D297353CC}">
              <c16:uniqueId val="{00000000-73C4-4CC8-84F9-9A82FD83E873}"/>
            </c:ext>
          </c:extLst>
        </c:ser>
        <c:ser>
          <c:idx val="1"/>
          <c:order val="1"/>
          <c:tx>
            <c:v>Proposed change</c:v>
          </c:tx>
          <c:spPr>
            <a:ln w="19050" cap="rnd">
              <a:solidFill>
                <a:schemeClr val="accent2"/>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Sheet1!$C$58:$W$58</c:f>
              <c:numCache>
                <c:formatCode>0.00</c:formatCode>
                <c:ptCount val="21"/>
                <c:pt idx="1">
                  <c:v>10.472314359462784</c:v>
                </c:pt>
                <c:pt idx="2">
                  <c:v>10.07960257098293</c:v>
                </c:pt>
                <c:pt idx="3">
                  <c:v>9.6868907825030757</c:v>
                </c:pt>
                <c:pt idx="4">
                  <c:v>9.2941789940232216</c:v>
                </c:pt>
                <c:pt idx="5">
                  <c:v>10.023500886914386</c:v>
                </c:pt>
                <c:pt idx="6">
                  <c:v>12.155364881519306</c:v>
                </c:pt>
                <c:pt idx="7">
                  <c:v>11.5943480408338</c:v>
                </c:pt>
                <c:pt idx="8">
                  <c:v>11.033331200148293</c:v>
                </c:pt>
                <c:pt idx="9">
                  <c:v>10.472314359462786</c:v>
                </c:pt>
                <c:pt idx="10">
                  <c:v>-10.616308681905398</c:v>
                </c:pt>
                <c:pt idx="11">
                  <c:v>10.472314359462786</c:v>
                </c:pt>
                <c:pt idx="12">
                  <c:v>10.07960257098293</c:v>
                </c:pt>
                <c:pt idx="13">
                  <c:v>9.6868907825030757</c:v>
                </c:pt>
                <c:pt idx="14">
                  <c:v>9.2941789940232216</c:v>
                </c:pt>
                <c:pt idx="15">
                  <c:v>12.104873365857612</c:v>
                </c:pt>
                <c:pt idx="16">
                  <c:v>12.155364881519306</c:v>
                </c:pt>
                <c:pt idx="17">
                  <c:v>11.5943480408338</c:v>
                </c:pt>
                <c:pt idx="18">
                  <c:v>11.033331200148293</c:v>
                </c:pt>
                <c:pt idx="19">
                  <c:v>10.472314359462786</c:v>
                </c:pt>
                <c:pt idx="20">
                  <c:v>9.91129751877728</c:v>
                </c:pt>
              </c:numCache>
            </c:numRef>
          </c:yVal>
          <c:smooth val="0"/>
          <c:extLst>
            <c:ext xmlns:c16="http://schemas.microsoft.com/office/drawing/2014/chart" uri="{C3380CC4-5D6E-409C-BE32-E72D297353CC}">
              <c16:uniqueId val="{00000001-73C4-4CC8-84F9-9A82FD83E873}"/>
            </c:ext>
          </c:extLst>
        </c:ser>
        <c:dLbls>
          <c:showLegendKey val="0"/>
          <c:showVal val="0"/>
          <c:showCatName val="0"/>
          <c:showSerName val="0"/>
          <c:showPercent val="0"/>
          <c:showBubbleSize val="0"/>
        </c:dLbls>
        <c:axId val="825266368"/>
        <c:axId val="825262104"/>
      </c:scatterChart>
      <c:valAx>
        <c:axId val="825266368"/>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2104"/>
        <c:crosses val="autoZero"/>
        <c:crossBetween val="midCat"/>
      </c:valAx>
      <c:valAx>
        <c:axId val="825262104"/>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Payments by consumers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0.00"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6368"/>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Sheet1!$C$20:$M$20</c:f>
              <c:numCache>
                <c:formatCode>0.00%</c:formatCode>
                <c:ptCount val="11"/>
                <c:pt idx="1">
                  <c:v>0.10377358490566037</c:v>
                </c:pt>
                <c:pt idx="2">
                  <c:v>0.19900320398718402</c:v>
                </c:pt>
                <c:pt idx="3">
                  <c:v>0.28632360942254337</c:v>
                </c:pt>
                <c:pt idx="4">
                  <c:v>0.36632506940958343</c:v>
                </c:pt>
                <c:pt idx="5">
                  <c:v>0.43955637035045703</c:v>
                </c:pt>
                <c:pt idx="6">
                  <c:v>0.50652762169222632</c:v>
                </c:pt>
                <c:pt idx="7">
                  <c:v>0.56771287614548127</c:v>
                </c:pt>
                <c:pt idx="8">
                  <c:v>0.62355257719490387</c:v>
                </c:pt>
                <c:pt idx="9">
                  <c:v>0.67445584505848599</c:v>
                </c:pt>
                <c:pt idx="10">
                  <c:v>0.72080261154244074</c:v>
                </c:pt>
              </c:numCache>
            </c:numRef>
          </c:yVal>
          <c:smooth val="0"/>
          <c:extLst>
            <c:ext xmlns:c16="http://schemas.microsoft.com/office/drawing/2014/chart" uri="{C3380CC4-5D6E-409C-BE32-E72D297353CC}">
              <c16:uniqueId val="{00000000-BA38-408B-B6BD-83FCBA82AE24}"/>
            </c:ext>
          </c:extLst>
        </c:ser>
        <c:ser>
          <c:idx val="1"/>
          <c:order val="1"/>
          <c:tx>
            <c:v>Refurbishment</c:v>
          </c:tx>
          <c:spPr>
            <a:ln w="19050" cap="rnd">
              <a:solidFill>
                <a:schemeClr val="accent2"/>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Sheet1!$C$60:$M$60</c:f>
              <c:numCache>
                <c:formatCode>0.00%</c:formatCode>
                <c:ptCount val="11"/>
                <c:pt idx="1">
                  <c:v>0.15094339622641509</c:v>
                </c:pt>
                <c:pt idx="2">
                  <c:v>0.28800284798860798</c:v>
                </c:pt>
                <c:pt idx="3">
                  <c:v>0.41226650187738867</c:v>
                </c:pt>
                <c:pt idx="4">
                  <c:v>0.52474380205718762</c:v>
                </c:pt>
                <c:pt idx="5">
                  <c:v>0.62637091356697139</c:v>
                </c:pt>
                <c:pt idx="6">
                  <c:v>0.71801578382412934</c:v>
                </c:pt>
                <c:pt idx="7">
                  <c:v>0.80048286591329898</c:v>
                </c:pt>
                <c:pt idx="8">
                  <c:v>0.87451752573163455</c:v>
                </c:pt>
                <c:pt idx="9">
                  <c:v>0.94081015364699738</c:v>
                </c:pt>
                <c:pt idx="10">
                  <c:v>0.99999999999999989</c:v>
                </c:pt>
              </c:numCache>
            </c:numRef>
          </c:yVal>
          <c:smooth val="0"/>
          <c:extLst>
            <c:ext xmlns:c16="http://schemas.microsoft.com/office/drawing/2014/chart" uri="{C3380CC4-5D6E-409C-BE32-E72D297353CC}">
              <c16:uniqueId val="{00000001-BA38-408B-B6BD-83FCBA82AE24}"/>
            </c:ext>
          </c:extLst>
        </c:ser>
        <c:dLbls>
          <c:showLegendKey val="0"/>
          <c:showVal val="0"/>
          <c:showCatName val="0"/>
          <c:showSerName val="0"/>
          <c:showPercent val="0"/>
          <c:showBubbleSize val="0"/>
        </c:dLbls>
        <c:axId val="780301968"/>
        <c:axId val="780303608"/>
      </c:scatterChart>
      <c:valAx>
        <c:axId val="780301968"/>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780303608"/>
        <c:crosses val="autoZero"/>
        <c:crossBetween val="midCat"/>
      </c:valAx>
      <c:valAx>
        <c:axId val="780303608"/>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Proportion of investment recovered</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0%" sourceLinked="0"/>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780301968"/>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Sheet1!#REF!</c:f>
              <c:numCache>
                <c:formatCode>General</c:formatCode>
                <c:ptCount val="1"/>
                <c:pt idx="0">
                  <c:v>1</c:v>
                </c:pt>
              </c:numCache>
            </c:numRef>
          </c:yVal>
          <c:smooth val="0"/>
          <c:extLst>
            <c:ext xmlns:c16="http://schemas.microsoft.com/office/drawing/2014/chart" uri="{C3380CC4-5D6E-409C-BE32-E72D297353CC}">
              <c16:uniqueId val="{00000000-F2A7-454D-91A9-96585A956FA5}"/>
            </c:ext>
          </c:extLst>
        </c:ser>
        <c:ser>
          <c:idx val="1"/>
          <c:order val="1"/>
          <c:tx>
            <c:v>Refurbishment</c:v>
          </c:tx>
          <c:spPr>
            <a:ln w="19050" cap="rnd">
              <a:solidFill>
                <a:schemeClr val="accent2"/>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Sheet1!#REF!</c:f>
              <c:numCache>
                <c:formatCode>General</c:formatCode>
                <c:ptCount val="1"/>
                <c:pt idx="0">
                  <c:v>1</c:v>
                </c:pt>
              </c:numCache>
            </c:numRef>
          </c:yVal>
          <c:smooth val="0"/>
          <c:extLst>
            <c:ext xmlns:c16="http://schemas.microsoft.com/office/drawing/2014/chart" uri="{C3380CC4-5D6E-409C-BE32-E72D297353CC}">
              <c16:uniqueId val="{00000001-F2A7-454D-91A9-96585A956FA5}"/>
            </c:ext>
          </c:extLst>
        </c:ser>
        <c:dLbls>
          <c:showLegendKey val="0"/>
          <c:showVal val="0"/>
          <c:showCatName val="0"/>
          <c:showSerName val="0"/>
          <c:showPercent val="0"/>
          <c:showBubbleSize val="0"/>
        </c:dLbls>
        <c:axId val="654019400"/>
        <c:axId val="654023992"/>
      </c:scatterChart>
      <c:valAx>
        <c:axId val="654019400"/>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654023992"/>
        <c:crosses val="autoZero"/>
        <c:crossBetween val="midCat"/>
      </c:valAx>
      <c:valAx>
        <c:axId val="654023992"/>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Allowed revenue</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654019400"/>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24</xdr:col>
      <xdr:colOff>236220</xdr:colOff>
      <xdr:row>1</xdr:row>
      <xdr:rowOff>45720</xdr:rowOff>
    </xdr:from>
    <xdr:to>
      <xdr:col>33</xdr:col>
      <xdr:colOff>441960</xdr:colOff>
      <xdr:row>22</xdr:row>
      <xdr:rowOff>45720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76200</xdr:colOff>
      <xdr:row>21</xdr:row>
      <xdr:rowOff>144780</xdr:rowOff>
    </xdr:from>
    <xdr:to>
      <xdr:col>33</xdr:col>
      <xdr:colOff>502920</xdr:colOff>
      <xdr:row>44</xdr:row>
      <xdr:rowOff>53340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167640</xdr:colOff>
      <xdr:row>48</xdr:row>
      <xdr:rowOff>64770</xdr:rowOff>
    </xdr:from>
    <xdr:to>
      <xdr:col>34</xdr:col>
      <xdr:colOff>601980</xdr:colOff>
      <xdr:row>64</xdr:row>
      <xdr:rowOff>60960</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116541</xdr:colOff>
      <xdr:row>65</xdr:row>
      <xdr:rowOff>161366</xdr:rowOff>
    </xdr:from>
    <xdr:to>
      <xdr:col>35</xdr:col>
      <xdr:colOff>80682</xdr:colOff>
      <xdr:row>84</xdr:row>
      <xdr:rowOff>71717</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441296</xdr:colOff>
      <xdr:row>63</xdr:row>
      <xdr:rowOff>29252</xdr:rowOff>
    </xdr:from>
    <xdr:to>
      <xdr:col>23</xdr:col>
      <xdr:colOff>59070</xdr:colOff>
      <xdr:row>102</xdr:row>
      <xdr:rowOff>0</xdr:rowOff>
    </xdr:to>
    <xdr:sp macro="" textlink="">
      <xdr:nvSpPr>
        <xdr:cNvPr id="8" name="TextBox 7">
          <a:extLst>
            <a:ext uri="{FF2B5EF4-FFF2-40B4-BE49-F238E27FC236}">
              <a16:creationId xmlns:a16="http://schemas.microsoft.com/office/drawing/2014/main" id="{8284DB60-CEF0-48B7-891D-4694B4DCFFE0}"/>
            </a:ext>
          </a:extLst>
        </xdr:cNvPr>
        <xdr:cNvSpPr txBox="1"/>
      </xdr:nvSpPr>
      <xdr:spPr>
        <a:xfrm>
          <a:off x="441296" y="11865357"/>
          <a:ext cx="15374634" cy="7169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b="1"/>
            <a:t>Notes:</a:t>
          </a:r>
        </a:p>
        <a:p>
          <a:r>
            <a:rPr lang="en-AU" sz="1200" b="0"/>
            <a:t>This example looks at two</a:t>
          </a:r>
          <a:r>
            <a:rPr lang="en-AU" sz="1200" b="0" baseline="0"/>
            <a:t> options of refubishment or replacement that factors in the shorter life of refurbishmen.  It assumes refurbishment has a service life of 10 years and tha</a:t>
          </a:r>
          <a:r>
            <a:rPr lang="en-AU" sz="1200" b="0"/>
            <a:t>t the same refurbishment can be</a:t>
          </a:r>
          <a:r>
            <a:rPr lang="en-AU" sz="1200" b="0" baseline="0"/>
            <a:t> repeated. IN this case the repalcements option requires initial expenditure of $100m and refurbishment requires and initial expenditure of $65.45m and furtehr expenditure of $65.45m in year 10.  The NPV of the refubishement expenditure ($102m) is slightly higher than that of repalcement.  Hence refurbishment is the less efficient option in this case.</a:t>
          </a:r>
        </a:p>
        <a:p>
          <a:endParaRPr lang="en-AU" sz="1200" b="0" baseline="0"/>
        </a:p>
        <a:p>
          <a:r>
            <a:rPr lang="en-AU" sz="1200" b="1" i="1" baseline="0"/>
            <a:t>Excess returns</a:t>
          </a:r>
        </a:p>
        <a:p>
          <a:r>
            <a:rPr lang="en-AU" sz="1200" b="0" i="1" baseline="0"/>
            <a:t>The current tax approach provides an excess return if the utility choose to expense the outlay for tax purposes.  The proposed approach removes this excess return.</a:t>
          </a:r>
        </a:p>
        <a:p>
          <a:endParaRPr lang="en-AU" sz="1200" b="0" i="0" baseline="0"/>
        </a:p>
        <a:p>
          <a:r>
            <a:rPr lang="en-AU" sz="1200" b="0" i="0" baseline="0"/>
            <a:t>Under the replacement option the future after tax cash flows equals the original expenditure (i.e NPV=100).  This satisfies the NPV=0 principle and the return on original expenditure equals the AER-determined WACC.</a:t>
          </a:r>
        </a:p>
        <a:p>
          <a:endParaRPr lang="en-AU" sz="1200" b="0" i="0" baseline="0"/>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Under the AER's current approach to estimating tax (which assumes the expenditure is capitalised) the utility earns an excess return under the refurbishment option.  In this case, the DNSP earns an excess return of $110.8m (cf NPV of costs of $102m) and the rate of return on the original expenditure is  7.2% which exceeds the AER-determined WACC of 6.0% .</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Under the AERs proposed approach, if the utility undertakes the refurbishment option the NPV of the future after tax cash flows equals the original expenditure (i.e NPV=102).  This satisfies the NPV=0 principle and the return on original expenditure equals the AER-determined WACC.</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1" i="1" baseline="0">
              <a:solidFill>
                <a:schemeClr val="dk1"/>
              </a:solidFill>
              <a:effectLst/>
              <a:latin typeface="+mn-lt"/>
              <a:ea typeface="+mn-ea"/>
              <a:cs typeface="+mn-cs"/>
            </a:rPr>
            <a:t>Intergenerational equity</a:t>
          </a:r>
        </a:p>
        <a:p>
          <a:pPr eaLnBrk="1" fontAlgn="auto" latinLnBrk="0" hangingPunct="1"/>
          <a:r>
            <a:rPr lang="en-AU" sz="1200" b="0" i="0" baseline="0">
              <a:solidFill>
                <a:schemeClr val="dk1"/>
              </a:solidFill>
              <a:effectLst/>
              <a:latin typeface="+mn-lt"/>
              <a:ea typeface="+mn-ea"/>
              <a:cs typeface="+mn-cs"/>
            </a:rPr>
            <a:t>The instrument for achieving intergenerational equity is the depreciation allowance in the revenue building blocks.  In all three cases the initial expenditure is recovered over the service  life of the assets through the depreciation allowance. Thus refurbishment costs are recovered through the return of and return on assets which is $3.3m in year 1 and drops to $1.59m in the last year.</a:t>
          </a:r>
        </a:p>
        <a:p>
          <a:pPr eaLnBrk="1" fontAlgn="auto" latinLnBrk="0" hangingPunct="1"/>
          <a:endParaRPr lang="en-AU" sz="1200">
            <a:effectLst/>
          </a:endParaRPr>
        </a:p>
        <a:p>
          <a:pPr eaLnBrk="1" fontAlgn="auto" latinLnBrk="0" hangingPunct="1"/>
          <a:r>
            <a:rPr lang="en-AU" sz="1200" b="0" i="0" baseline="0">
              <a:solidFill>
                <a:schemeClr val="dk1"/>
              </a:solidFill>
              <a:effectLst/>
              <a:latin typeface="+mn-lt"/>
              <a:ea typeface="+mn-ea"/>
              <a:cs typeface="+mn-cs"/>
            </a:rPr>
            <a:t>The  change in the estimation of tax affects the pattern of tax allowances and revenues.  Under the proposed approach  the revenues are lower in the four years of the life of the refurbishment (compared to the current approach)  as the tax losses are used up, and then higher in the remaining years.  While this introduces a step change in revenues for these assets in the middle of the life of the the overall cash flows better match those of the utility and the excess return under the current approach is avoided.  Furthermore, it should be noted that refurbishment is only part of the capex in any year and the aggregate RAB comprises assets of various ages.  Hence the practical effect on the pattern of overall revenues and prices over time is likely to be small.</a:t>
          </a:r>
          <a:endParaRPr lang="en-AU" sz="12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1" i="1" baseline="0">
              <a:solidFill>
                <a:schemeClr val="dk1"/>
              </a:solidFill>
              <a:effectLst/>
              <a:latin typeface="+mn-lt"/>
              <a:ea typeface="+mn-ea"/>
              <a:cs typeface="+mn-cs"/>
            </a:rPr>
            <a:t>Efficiency incentives</a:t>
          </a:r>
        </a:p>
        <a:p>
          <a:pPr eaLnBrk="1" fontAlgn="auto" latinLnBrk="0" hangingPunct="1"/>
          <a:r>
            <a:rPr lang="en-AU" sz="1100" b="0" i="0" baseline="0">
              <a:solidFill>
                <a:schemeClr val="dk1"/>
              </a:solidFill>
              <a:effectLst/>
              <a:latin typeface="+mn-lt"/>
              <a:ea typeface="+mn-ea"/>
              <a:cs typeface="+mn-cs"/>
            </a:rPr>
            <a:t>The primary mechanism for encouraging efficiency under incentive regulation is the delinking of revenues and costs for a fixed period (5 years) together with the operation of the CESS and EBSS.  These mechanisms are designed so that teh utility retains 30% (in NPV terms) of any efficiency gains made during the period.  In order to protect against inflated projections and try to ensure that the consumers only pay for the efficient costs of service provision the AER undertakes reviews of the capex and opex forecasts.  In the case of capex the reviews are quite forensic and look at the efficient capex requirements specific to the utility for that period. </a:t>
          </a:r>
        </a:p>
        <a:p>
          <a:pPr eaLnBrk="1" fontAlgn="auto" latinLnBrk="0" hangingPunct="1"/>
          <a:endParaRPr lang="en-AU" sz="1200">
            <a:effectLst/>
          </a:endParaRPr>
        </a:p>
        <a:p>
          <a:pPr eaLnBrk="1" fontAlgn="auto" latinLnBrk="0" hangingPunct="1"/>
          <a:r>
            <a:rPr lang="en-AU" sz="1100" b="0" i="0" baseline="0">
              <a:solidFill>
                <a:schemeClr val="dk1"/>
              </a:solidFill>
              <a:effectLst/>
              <a:latin typeface="+mn-lt"/>
              <a:ea typeface="+mn-ea"/>
              <a:cs typeface="+mn-cs"/>
            </a:rPr>
            <a:t>In this case the projects are alternative options for providing the same services.  If the AER were to conclude that the replacement option were the most efficient, the allowed revenues for the utility would be set on basis of that (i.e. the allowed revenues at row 13 above).  Howver, the utility would be better off choosing teh less efficient refudbishment because teh tax advantages of immediate expensing more than offset the additional costs under this option.  This tax-induced distotion is removed under the AER's preferred approach to tax estimation for refurbishments.  Hence, the incetives created through the setting of teh allowed capex and operation of the CESS should guide the utility to choocing the most efficient option.  </a:t>
          </a:r>
        </a:p>
        <a:p>
          <a:pPr eaLnBrk="1" fontAlgn="auto" latinLnBrk="0" hangingPunct="1"/>
          <a:endParaRPr lang="en-AU" sz="1100" b="0" i="0" baseline="0">
            <a:solidFill>
              <a:schemeClr val="dk1"/>
            </a:solidFill>
            <a:effectLst/>
            <a:latin typeface="+mn-lt"/>
            <a:ea typeface="+mn-ea"/>
            <a:cs typeface="+mn-cs"/>
          </a:endParaRPr>
        </a:p>
        <a:p>
          <a:pPr eaLnBrk="1" fontAlgn="auto" latinLnBrk="0" hangingPunct="1"/>
          <a:r>
            <a:rPr lang="en-AU" sz="1100" b="0" i="0" baseline="0">
              <a:solidFill>
                <a:schemeClr val="dk1"/>
              </a:solidFill>
              <a:effectLst/>
              <a:latin typeface="+mn-lt"/>
              <a:ea typeface="+mn-ea"/>
              <a:cs typeface="+mn-cs"/>
            </a:rPr>
            <a:t>This highlights that the incentive framework for setting the allowed revenues based on the opex and asset building blocks is the fundamental mechanism for promoting efficiency.  Mismatches in the calculation of the allowed tax may in some cases promote more efficient options but could just as easily promote less efficient options.</a:t>
          </a:r>
          <a:endParaRPr lang="en-AU" sz="1200">
            <a:effectLst/>
          </a:endParaRPr>
        </a:p>
        <a:p>
          <a:pPr eaLnBrk="1" fontAlgn="auto" latinLnBrk="0" hangingPunct="1"/>
          <a:endParaRPr lang="en-AU" sz="12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200">
            <a:effectLst/>
          </a:endParaRPr>
        </a:p>
        <a:p>
          <a:endParaRPr lang="en-AU" sz="1200" b="0" i="0" baseline="0"/>
        </a:p>
        <a:p>
          <a:endParaRPr lang="en-AU" sz="1200" b="0" i="0" baseline="0"/>
        </a:p>
        <a:p>
          <a:endParaRPr lang="en-AU" sz="1200" b="0" i="0" baseline="0"/>
        </a:p>
        <a:p>
          <a:endParaRPr lang="en-AU" sz="1200" b="0" i="0" baseline="0"/>
        </a:p>
        <a:p>
          <a:endParaRPr lang="en-AU" sz="1200" b="0"/>
        </a:p>
      </xdr:txBody>
    </xdr:sp>
    <xdr:clientData/>
  </xdr:twoCellAnchor>
</xdr:wsDr>
</file>

<file path=xl/theme/theme1.xml><?xml version="1.0" encoding="utf-8"?>
<a:theme xmlns:a="http://schemas.openxmlformats.org/drawingml/2006/main" name="Office Theme">
  <a:themeElements>
    <a:clrScheme name="Frontier_2016">
      <a:dk1>
        <a:sysClr val="windowText" lastClr="000000"/>
      </a:dk1>
      <a:lt1>
        <a:sysClr val="window" lastClr="FFFFFF"/>
      </a:lt1>
      <a:dk2>
        <a:srgbClr val="37424A"/>
      </a:dk2>
      <a:lt2>
        <a:srgbClr val="D1DBD2"/>
      </a:lt2>
      <a:accent1>
        <a:srgbClr val="E83F35"/>
      </a:accent1>
      <a:accent2>
        <a:srgbClr val="007B87"/>
      </a:accent2>
      <a:accent3>
        <a:srgbClr val="EBC000"/>
      </a:accent3>
      <a:accent4>
        <a:srgbClr val="8DD0D2"/>
      </a:accent4>
      <a:accent5>
        <a:srgbClr val="683C5B"/>
      </a:accent5>
      <a:accent6>
        <a:srgbClr val="8BB96A"/>
      </a:accent6>
      <a:hlink>
        <a:srgbClr val="0000FF"/>
      </a:hlink>
      <a:folHlink>
        <a:srgbClr val="E83F3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2"/>
  <sheetViews>
    <sheetView tabSelected="1" topLeftCell="A43" zoomScale="86" zoomScaleNormal="70" workbookViewId="0">
      <selection activeCell="L53" sqref="L53"/>
    </sheetView>
  </sheetViews>
  <sheetFormatPr defaultRowHeight="15" x14ac:dyDescent="0.25"/>
  <cols>
    <col min="1" max="1" width="6.5703125" customWidth="1"/>
    <col min="2" max="2" width="21.85546875" customWidth="1"/>
    <col min="3" max="3" width="10.85546875" customWidth="1"/>
    <col min="5" max="13" width="9.85546875" customWidth="1"/>
    <col min="14" max="22" width="8.85546875" customWidth="1"/>
    <col min="23" max="23" width="9.140625" customWidth="1"/>
  </cols>
  <sheetData>
    <row r="1" spans="1:23" x14ac:dyDescent="0.25">
      <c r="A1" s="2"/>
      <c r="B1" s="2" t="s">
        <v>37</v>
      </c>
      <c r="C1" s="2" t="s">
        <v>43</v>
      </c>
      <c r="D1" s="2"/>
      <c r="E1" s="2"/>
      <c r="F1" s="2"/>
      <c r="G1" s="2"/>
      <c r="H1" s="2"/>
      <c r="I1" s="2"/>
      <c r="J1" s="2"/>
    </row>
    <row r="2" spans="1:23" x14ac:dyDescent="0.25">
      <c r="B2" s="2" t="s">
        <v>4</v>
      </c>
      <c r="C2" s="8">
        <v>0.06</v>
      </c>
      <c r="D2" s="13"/>
    </row>
    <row r="3" spans="1:23" x14ac:dyDescent="0.25">
      <c r="B3" s="2" t="s">
        <v>9</v>
      </c>
      <c r="C3" s="8">
        <v>0.3</v>
      </c>
    </row>
    <row r="4" spans="1:23" x14ac:dyDescent="0.25">
      <c r="B4" s="2"/>
      <c r="C4" s="8"/>
    </row>
    <row r="6" spans="1:23" s="2" customFormat="1" x14ac:dyDescent="0.25">
      <c r="B6" s="2" t="s">
        <v>0</v>
      </c>
      <c r="C6" s="7">
        <v>0</v>
      </c>
      <c r="D6" s="7">
        <v>1</v>
      </c>
      <c r="E6" s="7">
        <v>2</v>
      </c>
      <c r="F6" s="7">
        <v>3</v>
      </c>
      <c r="G6" s="7">
        <v>4</v>
      </c>
      <c r="H6" s="7">
        <v>5</v>
      </c>
      <c r="I6" s="7">
        <v>6</v>
      </c>
      <c r="J6" s="7">
        <v>7</v>
      </c>
      <c r="K6" s="7">
        <v>8</v>
      </c>
      <c r="L6" s="7">
        <v>9</v>
      </c>
      <c r="M6" s="7">
        <v>10</v>
      </c>
      <c r="N6" s="7">
        <v>11</v>
      </c>
      <c r="O6" s="7">
        <v>12</v>
      </c>
      <c r="P6" s="7">
        <v>13</v>
      </c>
      <c r="Q6" s="7">
        <v>14</v>
      </c>
      <c r="R6" s="7">
        <v>15</v>
      </c>
      <c r="S6" s="7">
        <v>16</v>
      </c>
      <c r="T6" s="7">
        <v>17</v>
      </c>
      <c r="U6" s="7">
        <v>18</v>
      </c>
      <c r="V6" s="7">
        <v>19</v>
      </c>
      <c r="W6" s="7">
        <v>20</v>
      </c>
    </row>
    <row r="7" spans="1:23" ht="15.75" thickBot="1" x14ac:dyDescent="0.3">
      <c r="B7" s="9" t="s">
        <v>40</v>
      </c>
      <c r="C7" s="9"/>
      <c r="D7" s="9"/>
    </row>
    <row r="8" spans="1:23" x14ac:dyDescent="0.25">
      <c r="B8" t="s">
        <v>1</v>
      </c>
      <c r="C8">
        <v>-100</v>
      </c>
    </row>
    <row r="9" spans="1:23" x14ac:dyDescent="0.25">
      <c r="B9" t="s">
        <v>2</v>
      </c>
      <c r="D9">
        <f>-C8/20</f>
        <v>5</v>
      </c>
      <c r="E9">
        <f>D9</f>
        <v>5</v>
      </c>
      <c r="F9">
        <f t="shared" ref="F9:W9" si="0">E9</f>
        <v>5</v>
      </c>
      <c r="G9">
        <f t="shared" si="0"/>
        <v>5</v>
      </c>
      <c r="H9">
        <f t="shared" si="0"/>
        <v>5</v>
      </c>
      <c r="I9">
        <f t="shared" si="0"/>
        <v>5</v>
      </c>
      <c r="J9">
        <f t="shared" si="0"/>
        <v>5</v>
      </c>
      <c r="K9">
        <f t="shared" si="0"/>
        <v>5</v>
      </c>
      <c r="L9">
        <f t="shared" si="0"/>
        <v>5</v>
      </c>
      <c r="M9">
        <f t="shared" si="0"/>
        <v>5</v>
      </c>
      <c r="N9">
        <f t="shared" si="0"/>
        <v>5</v>
      </c>
      <c r="O9">
        <f t="shared" si="0"/>
        <v>5</v>
      </c>
      <c r="P9">
        <f t="shared" si="0"/>
        <v>5</v>
      </c>
      <c r="Q9">
        <f t="shared" si="0"/>
        <v>5</v>
      </c>
      <c r="R9">
        <f t="shared" si="0"/>
        <v>5</v>
      </c>
      <c r="S9">
        <f t="shared" si="0"/>
        <v>5</v>
      </c>
      <c r="T9">
        <f t="shared" si="0"/>
        <v>5</v>
      </c>
      <c r="U9">
        <f t="shared" si="0"/>
        <v>5</v>
      </c>
      <c r="V9">
        <f t="shared" si="0"/>
        <v>5</v>
      </c>
      <c r="W9">
        <f t="shared" si="0"/>
        <v>5</v>
      </c>
    </row>
    <row r="10" spans="1:23" x14ac:dyDescent="0.25">
      <c r="B10" t="s">
        <v>45</v>
      </c>
      <c r="C10">
        <f>-C8</f>
        <v>100</v>
      </c>
      <c r="D10">
        <f>-C8-D9</f>
        <v>95</v>
      </c>
      <c r="E10">
        <f>D10-E9</f>
        <v>90</v>
      </c>
      <c r="F10">
        <f t="shared" ref="F10:W10" si="1">E10-F9</f>
        <v>85</v>
      </c>
      <c r="G10">
        <f t="shared" si="1"/>
        <v>80</v>
      </c>
      <c r="H10">
        <f t="shared" si="1"/>
        <v>75</v>
      </c>
      <c r="I10">
        <f t="shared" si="1"/>
        <v>70</v>
      </c>
      <c r="J10">
        <f t="shared" si="1"/>
        <v>65</v>
      </c>
      <c r="K10">
        <f t="shared" si="1"/>
        <v>60</v>
      </c>
      <c r="L10">
        <f t="shared" si="1"/>
        <v>55</v>
      </c>
      <c r="M10">
        <f t="shared" si="1"/>
        <v>50</v>
      </c>
      <c r="N10">
        <f t="shared" si="1"/>
        <v>45</v>
      </c>
      <c r="O10">
        <f t="shared" si="1"/>
        <v>40</v>
      </c>
      <c r="P10">
        <f t="shared" si="1"/>
        <v>35</v>
      </c>
      <c r="Q10">
        <f t="shared" si="1"/>
        <v>30</v>
      </c>
      <c r="R10">
        <f t="shared" si="1"/>
        <v>25</v>
      </c>
      <c r="S10">
        <f t="shared" si="1"/>
        <v>20</v>
      </c>
      <c r="T10">
        <f t="shared" si="1"/>
        <v>15</v>
      </c>
      <c r="U10">
        <f t="shared" si="1"/>
        <v>10</v>
      </c>
      <c r="V10">
        <f t="shared" si="1"/>
        <v>5</v>
      </c>
      <c r="W10">
        <f t="shared" si="1"/>
        <v>0</v>
      </c>
    </row>
    <row r="11" spans="1:23" x14ac:dyDescent="0.25">
      <c r="B11" t="s">
        <v>3</v>
      </c>
      <c r="D11" s="3">
        <f>C10*$C$2</f>
        <v>6</v>
      </c>
      <c r="E11" s="3">
        <f t="shared" ref="E11:W11" si="2">D10*$C$2</f>
        <v>5.7</v>
      </c>
      <c r="F11" s="3">
        <f t="shared" si="2"/>
        <v>5.3999999999999995</v>
      </c>
      <c r="G11" s="3">
        <f t="shared" si="2"/>
        <v>5.0999999999999996</v>
      </c>
      <c r="H11" s="3">
        <f t="shared" si="2"/>
        <v>4.8</v>
      </c>
      <c r="I11" s="3">
        <f t="shared" si="2"/>
        <v>4.5</v>
      </c>
      <c r="J11" s="3">
        <f t="shared" si="2"/>
        <v>4.2</v>
      </c>
      <c r="K11" s="3">
        <f t="shared" si="2"/>
        <v>3.9</v>
      </c>
      <c r="L11" s="3">
        <f t="shared" si="2"/>
        <v>3.5999999999999996</v>
      </c>
      <c r="M11" s="3">
        <f t="shared" si="2"/>
        <v>3.3</v>
      </c>
      <c r="N11" s="3">
        <f t="shared" si="2"/>
        <v>3</v>
      </c>
      <c r="O11" s="3">
        <f t="shared" si="2"/>
        <v>2.6999999999999997</v>
      </c>
      <c r="P11" s="3">
        <f t="shared" si="2"/>
        <v>2.4</v>
      </c>
      <c r="Q11" s="3">
        <f t="shared" si="2"/>
        <v>2.1</v>
      </c>
      <c r="R11" s="3">
        <f t="shared" si="2"/>
        <v>1.7999999999999998</v>
      </c>
      <c r="S11" s="3">
        <f t="shared" si="2"/>
        <v>1.5</v>
      </c>
      <c r="T11" s="3">
        <f t="shared" si="2"/>
        <v>1.2</v>
      </c>
      <c r="U11" s="3">
        <f t="shared" si="2"/>
        <v>0.89999999999999991</v>
      </c>
      <c r="V11" s="3">
        <f t="shared" si="2"/>
        <v>0.6</v>
      </c>
      <c r="W11" s="3">
        <f t="shared" si="2"/>
        <v>0.3</v>
      </c>
    </row>
    <row r="12" spans="1:23" x14ac:dyDescent="0.25">
      <c r="B12" t="s">
        <v>26</v>
      </c>
      <c r="D12" s="3">
        <f>D11/(1-$C$3)-D11</f>
        <v>2.5714285714285712</v>
      </c>
      <c r="E12" s="3">
        <f t="shared" ref="E12:W12" si="3">E11/(1-$C$3)-E11</f>
        <v>2.4428571428571439</v>
      </c>
      <c r="F12" s="3">
        <f t="shared" si="3"/>
        <v>2.3142857142857149</v>
      </c>
      <c r="G12" s="3">
        <f t="shared" si="3"/>
        <v>2.1857142857142859</v>
      </c>
      <c r="H12" s="3">
        <f t="shared" si="3"/>
        <v>2.0571428571428578</v>
      </c>
      <c r="I12" s="3">
        <f t="shared" si="3"/>
        <v>1.9285714285714288</v>
      </c>
      <c r="J12" s="3">
        <f t="shared" si="3"/>
        <v>1.8000000000000007</v>
      </c>
      <c r="K12" s="3">
        <f t="shared" si="3"/>
        <v>1.6714285714285722</v>
      </c>
      <c r="L12" s="3">
        <f t="shared" si="3"/>
        <v>1.5428571428571427</v>
      </c>
      <c r="M12" s="3">
        <f t="shared" si="3"/>
        <v>1.4142857142857146</v>
      </c>
      <c r="N12" s="3">
        <f t="shared" si="3"/>
        <v>1.2857142857142856</v>
      </c>
      <c r="O12" s="3">
        <f t="shared" si="3"/>
        <v>1.1571428571428575</v>
      </c>
      <c r="P12" s="3">
        <f t="shared" si="3"/>
        <v>1.0285714285714289</v>
      </c>
      <c r="Q12" s="3">
        <f t="shared" si="3"/>
        <v>0.90000000000000036</v>
      </c>
      <c r="R12" s="3">
        <f t="shared" si="3"/>
        <v>0.77142857142857135</v>
      </c>
      <c r="S12" s="3">
        <f t="shared" si="3"/>
        <v>0.64285714285714279</v>
      </c>
      <c r="T12" s="3">
        <f t="shared" si="3"/>
        <v>0.51428571428571446</v>
      </c>
      <c r="U12" s="3">
        <f t="shared" si="3"/>
        <v>0.38571428571428568</v>
      </c>
      <c r="V12" s="3">
        <f t="shared" si="3"/>
        <v>0.25714285714285723</v>
      </c>
      <c r="W12" s="3">
        <f t="shared" si="3"/>
        <v>0.12857142857142861</v>
      </c>
    </row>
    <row r="13" spans="1:23" x14ac:dyDescent="0.25">
      <c r="B13" t="s">
        <v>5</v>
      </c>
      <c r="C13" s="5"/>
      <c r="D13" s="4">
        <f>D9+D11+D12</f>
        <v>13.571428571428571</v>
      </c>
      <c r="E13" s="4">
        <f t="shared" ref="E13:W13" si="4">E9+E11+E12</f>
        <v>13.142857142857142</v>
      </c>
      <c r="F13" s="4">
        <f t="shared" si="4"/>
        <v>12.714285714285714</v>
      </c>
      <c r="G13" s="4">
        <f t="shared" si="4"/>
        <v>12.285714285714285</v>
      </c>
      <c r="H13" s="4">
        <f t="shared" si="4"/>
        <v>11.857142857142858</v>
      </c>
      <c r="I13" s="6">
        <f t="shared" si="4"/>
        <v>11.428571428571429</v>
      </c>
      <c r="J13" s="6">
        <f t="shared" si="4"/>
        <v>11</v>
      </c>
      <c r="K13" s="6">
        <f t="shared" si="4"/>
        <v>10.571428571428573</v>
      </c>
      <c r="L13" s="6">
        <f t="shared" si="4"/>
        <v>10.142857142857142</v>
      </c>
      <c r="M13" s="6">
        <f t="shared" si="4"/>
        <v>9.7142857142857153</v>
      </c>
      <c r="N13" s="3">
        <f t="shared" si="4"/>
        <v>9.2857142857142847</v>
      </c>
      <c r="O13" s="3">
        <f t="shared" si="4"/>
        <v>8.8571428571428577</v>
      </c>
      <c r="P13" s="3">
        <f t="shared" si="4"/>
        <v>8.4285714285714288</v>
      </c>
      <c r="Q13" s="3">
        <f t="shared" si="4"/>
        <v>8</v>
      </c>
      <c r="R13" s="3">
        <f t="shared" si="4"/>
        <v>7.5714285714285712</v>
      </c>
      <c r="S13" s="3">
        <f t="shared" si="4"/>
        <v>7.1428571428571423</v>
      </c>
      <c r="T13" s="3">
        <f t="shared" si="4"/>
        <v>6.7142857142857144</v>
      </c>
      <c r="U13" s="3">
        <f t="shared" si="4"/>
        <v>6.2857142857142865</v>
      </c>
      <c r="V13" s="3">
        <f t="shared" si="4"/>
        <v>5.8571428571428568</v>
      </c>
      <c r="W13" s="3">
        <f t="shared" si="4"/>
        <v>5.4285714285714288</v>
      </c>
    </row>
    <row r="14" spans="1:23" x14ac:dyDescent="0.25">
      <c r="B14" t="s">
        <v>7</v>
      </c>
      <c r="D14" s="3">
        <f>D13-D9</f>
        <v>8.5714285714285712</v>
      </c>
      <c r="E14" s="3">
        <f t="shared" ref="E14:W14" si="5">E13-E9</f>
        <v>8.1428571428571423</v>
      </c>
      <c r="F14" s="3">
        <f t="shared" si="5"/>
        <v>7.7142857142857135</v>
      </c>
      <c r="G14" s="3">
        <f t="shared" si="5"/>
        <v>7.2857142857142847</v>
      </c>
      <c r="H14" s="3">
        <f t="shared" si="5"/>
        <v>6.8571428571428577</v>
      </c>
      <c r="I14" s="3">
        <f t="shared" si="5"/>
        <v>6.4285714285714288</v>
      </c>
      <c r="J14" s="3">
        <f t="shared" si="5"/>
        <v>6</v>
      </c>
      <c r="K14" s="3">
        <f t="shared" si="5"/>
        <v>5.571428571428573</v>
      </c>
      <c r="L14" s="3">
        <f t="shared" si="5"/>
        <v>5.1428571428571423</v>
      </c>
      <c r="M14" s="3">
        <f t="shared" si="5"/>
        <v>4.7142857142857153</v>
      </c>
      <c r="N14" s="3">
        <f t="shared" si="5"/>
        <v>4.2857142857142847</v>
      </c>
      <c r="O14" s="3">
        <f t="shared" si="5"/>
        <v>3.8571428571428577</v>
      </c>
      <c r="P14" s="3">
        <f t="shared" si="5"/>
        <v>3.4285714285714288</v>
      </c>
      <c r="Q14" s="3">
        <f t="shared" si="5"/>
        <v>3</v>
      </c>
      <c r="R14" s="3">
        <f t="shared" si="5"/>
        <v>2.5714285714285712</v>
      </c>
      <c r="S14" s="3">
        <f t="shared" si="5"/>
        <v>2.1428571428571423</v>
      </c>
      <c r="T14" s="3">
        <f t="shared" si="5"/>
        <v>1.7142857142857144</v>
      </c>
      <c r="U14" s="3">
        <f t="shared" si="5"/>
        <v>1.2857142857142865</v>
      </c>
      <c r="V14" s="3">
        <f t="shared" si="5"/>
        <v>0.85714285714285676</v>
      </c>
      <c r="W14" s="3">
        <f t="shared" si="5"/>
        <v>0.42857142857142883</v>
      </c>
    </row>
    <row r="15" spans="1:23" x14ac:dyDescent="0.25">
      <c r="B15" t="s">
        <v>8</v>
      </c>
      <c r="D15" s="3">
        <f>D14*$C$3</f>
        <v>2.5714285714285712</v>
      </c>
      <c r="E15" s="3">
        <f t="shared" ref="E15:W15" si="6">E14*$C$3</f>
        <v>2.4428571428571426</v>
      </c>
      <c r="F15" s="3">
        <f t="shared" si="6"/>
        <v>2.3142857142857141</v>
      </c>
      <c r="G15" s="3">
        <f t="shared" si="6"/>
        <v>2.1857142857142855</v>
      </c>
      <c r="H15" s="3">
        <f t="shared" si="6"/>
        <v>2.0571428571428574</v>
      </c>
      <c r="I15" s="3">
        <f t="shared" si="6"/>
        <v>1.9285714285714286</v>
      </c>
      <c r="J15" s="3">
        <f t="shared" si="6"/>
        <v>1.7999999999999998</v>
      </c>
      <c r="K15" s="3">
        <f t="shared" si="6"/>
        <v>1.6714285714285719</v>
      </c>
      <c r="L15" s="3">
        <f t="shared" si="6"/>
        <v>1.5428571428571427</v>
      </c>
      <c r="M15" s="3">
        <f t="shared" si="6"/>
        <v>1.4142857142857146</v>
      </c>
      <c r="N15" s="3">
        <f t="shared" si="6"/>
        <v>1.2857142857142854</v>
      </c>
      <c r="O15" s="3">
        <f t="shared" si="6"/>
        <v>1.1571428571428573</v>
      </c>
      <c r="P15" s="3">
        <f t="shared" si="6"/>
        <v>1.0285714285714287</v>
      </c>
      <c r="Q15" s="3">
        <f t="shared" si="6"/>
        <v>0.89999999999999991</v>
      </c>
      <c r="R15" s="3">
        <f t="shared" si="6"/>
        <v>0.77142857142857135</v>
      </c>
      <c r="S15" s="3">
        <f t="shared" si="6"/>
        <v>0.64285714285714268</v>
      </c>
      <c r="T15" s="3">
        <f t="shared" si="6"/>
        <v>0.51428571428571435</v>
      </c>
      <c r="U15" s="3">
        <f t="shared" si="6"/>
        <v>0.38571428571428595</v>
      </c>
      <c r="V15" s="3">
        <f t="shared" si="6"/>
        <v>0.25714285714285701</v>
      </c>
      <c r="W15" s="3">
        <f t="shared" si="6"/>
        <v>0.12857142857142864</v>
      </c>
    </row>
    <row r="17" spans="2:24" x14ac:dyDescent="0.25">
      <c r="B17" t="s">
        <v>27</v>
      </c>
      <c r="D17">
        <f t="shared" ref="D17:W17" si="7">D13-D15</f>
        <v>11</v>
      </c>
      <c r="E17">
        <f t="shared" si="7"/>
        <v>10.7</v>
      </c>
      <c r="F17">
        <f t="shared" si="7"/>
        <v>10.399999999999999</v>
      </c>
      <c r="G17">
        <f t="shared" si="7"/>
        <v>10.1</v>
      </c>
      <c r="H17">
        <f t="shared" si="7"/>
        <v>9.8000000000000007</v>
      </c>
      <c r="I17">
        <f t="shared" si="7"/>
        <v>9.5</v>
      </c>
      <c r="J17">
        <f t="shared" si="7"/>
        <v>9.1999999999999993</v>
      </c>
      <c r="K17">
        <f t="shared" si="7"/>
        <v>8.9</v>
      </c>
      <c r="L17">
        <f t="shared" si="7"/>
        <v>8.6</v>
      </c>
      <c r="M17">
        <f t="shared" si="7"/>
        <v>8.3000000000000007</v>
      </c>
      <c r="N17">
        <f t="shared" si="7"/>
        <v>7.9999999999999991</v>
      </c>
      <c r="O17">
        <f t="shared" si="7"/>
        <v>7.7</v>
      </c>
      <c r="P17">
        <f t="shared" si="7"/>
        <v>7.4</v>
      </c>
      <c r="Q17">
        <f t="shared" si="7"/>
        <v>7.1</v>
      </c>
      <c r="R17">
        <f t="shared" si="7"/>
        <v>6.8</v>
      </c>
      <c r="S17">
        <f t="shared" si="7"/>
        <v>6.5</v>
      </c>
      <c r="T17">
        <f t="shared" si="7"/>
        <v>6.2</v>
      </c>
      <c r="U17">
        <f t="shared" si="7"/>
        <v>5.9</v>
      </c>
      <c r="V17">
        <f t="shared" si="7"/>
        <v>5.6</v>
      </c>
      <c r="W17">
        <f t="shared" si="7"/>
        <v>5.3</v>
      </c>
    </row>
    <row r="18" spans="2:24" x14ac:dyDescent="0.25">
      <c r="B18" s="18" t="s">
        <v>6</v>
      </c>
      <c r="C18" s="19">
        <f>NPV($C$2,D17:W17)</f>
        <v>99.999999999999986</v>
      </c>
    </row>
    <row r="19" spans="2:24" x14ac:dyDescent="0.25">
      <c r="B19" t="s">
        <v>29</v>
      </c>
      <c r="C19" s="1">
        <f>NPV($C$2,D17:H17)</f>
        <v>43.955637035045704</v>
      </c>
      <c r="D19" s="11">
        <f>C19/C10</f>
        <v>0.43955637035045703</v>
      </c>
    </row>
    <row r="20" spans="2:24" x14ac:dyDescent="0.25">
      <c r="B20" t="s">
        <v>32</v>
      </c>
      <c r="C20" s="1"/>
      <c r="D20" s="14">
        <f>D17/(1+$C$2)^D6/$C$10</f>
        <v>0.10377358490566037</v>
      </c>
      <c r="E20" s="14">
        <f>E17/(1+$C$2)^E6/$C$10+D20</f>
        <v>0.19900320398718402</v>
      </c>
      <c r="F20" s="14">
        <f t="shared" ref="F20:W20" si="8">F17/(1+$C$2)^F6/$C$10+E20</f>
        <v>0.28632360942254337</v>
      </c>
      <c r="G20" s="14">
        <f t="shared" si="8"/>
        <v>0.36632506940958343</v>
      </c>
      <c r="H20" s="14">
        <f t="shared" si="8"/>
        <v>0.43955637035045703</v>
      </c>
      <c r="I20" s="14">
        <f t="shared" si="8"/>
        <v>0.50652762169222632</v>
      </c>
      <c r="J20" s="14">
        <f t="shared" si="8"/>
        <v>0.56771287614548127</v>
      </c>
      <c r="K20" s="14">
        <f t="shared" si="8"/>
        <v>0.62355257719490387</v>
      </c>
      <c r="L20" s="14">
        <f t="shared" si="8"/>
        <v>0.67445584505848599</v>
      </c>
      <c r="M20" s="14">
        <f t="shared" si="8"/>
        <v>0.72080261154244074</v>
      </c>
      <c r="N20" s="14">
        <f t="shared" si="8"/>
        <v>0.76294561357377044</v>
      </c>
      <c r="O20" s="14">
        <f t="shared" si="8"/>
        <v>0.80121225456919953</v>
      </c>
      <c r="P20" s="14">
        <f t="shared" si="8"/>
        <v>0.83590634221514104</v>
      </c>
      <c r="Q20" s="14">
        <f t="shared" si="8"/>
        <v>0.86730971068609786</v>
      </c>
      <c r="R20" s="14">
        <f t="shared" si="8"/>
        <v>0.89568373481611463</v>
      </c>
      <c r="S20" s="14">
        <f t="shared" si="8"/>
        <v>0.92127074325744496</v>
      </c>
      <c r="T20" s="14">
        <f t="shared" si="8"/>
        <v>0.94429533721045622</v>
      </c>
      <c r="U20" s="14">
        <f t="shared" si="8"/>
        <v>0.96496562088707927</v>
      </c>
      <c r="V20" s="14">
        <f t="shared" si="8"/>
        <v>0.9834743494750372</v>
      </c>
      <c r="W20" s="14">
        <f t="shared" si="8"/>
        <v>0.99999999999999967</v>
      </c>
    </row>
    <row r="21" spans="2:24" x14ac:dyDescent="0.25">
      <c r="C21" s="1"/>
      <c r="D21" s="11"/>
    </row>
    <row r="22" spans="2:24" ht="15.75" thickBot="1" x14ac:dyDescent="0.3">
      <c r="B22" s="9" t="s">
        <v>41</v>
      </c>
      <c r="C22" s="9"/>
      <c r="D22" s="9"/>
    </row>
    <row r="23" spans="2:24" x14ac:dyDescent="0.25">
      <c r="B23" t="s">
        <v>28</v>
      </c>
      <c r="C23" s="3">
        <v>-65.451964746642403</v>
      </c>
      <c r="M23" s="3">
        <f>C23</f>
        <v>-65.451964746642403</v>
      </c>
    </row>
    <row r="24" spans="2:24" x14ac:dyDescent="0.25">
      <c r="B24" t="s">
        <v>44</v>
      </c>
      <c r="C24" s="3">
        <f>PV(C2,10,0,-M23)+C23</f>
        <v>-101.99999999999994</v>
      </c>
      <c r="M24" s="3"/>
    </row>
    <row r="25" spans="2:24" x14ac:dyDescent="0.25">
      <c r="B25" t="s">
        <v>34</v>
      </c>
      <c r="C25" s="3"/>
      <c r="D25" s="3">
        <f>-C23/10</f>
        <v>6.5451964746642401</v>
      </c>
      <c r="E25" s="3">
        <f>D25</f>
        <v>6.5451964746642401</v>
      </c>
      <c r="F25" s="3">
        <f t="shared" ref="F25:W25" si="9">E25</f>
        <v>6.5451964746642401</v>
      </c>
      <c r="G25" s="3">
        <f t="shared" si="9"/>
        <v>6.5451964746642401</v>
      </c>
      <c r="H25" s="3">
        <f t="shared" si="9"/>
        <v>6.5451964746642401</v>
      </c>
      <c r="I25" s="3">
        <f t="shared" si="9"/>
        <v>6.5451964746642401</v>
      </c>
      <c r="J25" s="3">
        <f t="shared" si="9"/>
        <v>6.5451964746642401</v>
      </c>
      <c r="K25" s="3">
        <f t="shared" si="9"/>
        <v>6.5451964746642401</v>
      </c>
      <c r="L25" s="3">
        <f t="shared" si="9"/>
        <v>6.5451964746642401</v>
      </c>
      <c r="M25" s="3">
        <f t="shared" si="9"/>
        <v>6.5451964746642401</v>
      </c>
      <c r="N25" s="3">
        <f>-M23/10</f>
        <v>6.5451964746642401</v>
      </c>
      <c r="O25" s="3">
        <f t="shared" si="9"/>
        <v>6.5451964746642401</v>
      </c>
      <c r="P25" s="3">
        <f t="shared" si="9"/>
        <v>6.5451964746642401</v>
      </c>
      <c r="Q25" s="3">
        <f t="shared" si="9"/>
        <v>6.5451964746642401</v>
      </c>
      <c r="R25" s="3">
        <f t="shared" si="9"/>
        <v>6.5451964746642401</v>
      </c>
      <c r="S25" s="3">
        <f t="shared" si="9"/>
        <v>6.5451964746642401</v>
      </c>
      <c r="T25" s="3">
        <f t="shared" si="9"/>
        <v>6.5451964746642401</v>
      </c>
      <c r="U25" s="3">
        <f t="shared" si="9"/>
        <v>6.5451964746642401</v>
      </c>
      <c r="V25" s="3">
        <f t="shared" si="9"/>
        <v>6.5451964746642401</v>
      </c>
      <c r="W25" s="3">
        <f t="shared" si="9"/>
        <v>6.5451964746642401</v>
      </c>
    </row>
    <row r="26" spans="2:24" x14ac:dyDescent="0.25">
      <c r="B26" t="s">
        <v>45</v>
      </c>
      <c r="C26" s="3">
        <f>-C23</f>
        <v>65.451964746642403</v>
      </c>
      <c r="D26" s="3">
        <f>-C23-D25</f>
        <v>58.906768271978166</v>
      </c>
      <c r="E26" s="3">
        <f t="shared" ref="E26:L26" si="10">D26-E25</f>
        <v>52.361571797313928</v>
      </c>
      <c r="F26" s="3">
        <f t="shared" si="10"/>
        <v>45.816375322649691</v>
      </c>
      <c r="G26" s="3">
        <f t="shared" si="10"/>
        <v>39.271178847985453</v>
      </c>
      <c r="H26" s="3">
        <f t="shared" si="10"/>
        <v>32.725982373321216</v>
      </c>
      <c r="I26" s="3">
        <f t="shared" si="10"/>
        <v>26.180785898656975</v>
      </c>
      <c r="J26" s="3">
        <f t="shared" si="10"/>
        <v>19.635589423992734</v>
      </c>
      <c r="K26" s="3">
        <f t="shared" si="10"/>
        <v>13.090392949328493</v>
      </c>
      <c r="L26" s="3">
        <f t="shared" si="10"/>
        <v>6.5451964746642526</v>
      </c>
      <c r="M26" s="3">
        <f>L26-L25-M23</f>
        <v>65.451964746642417</v>
      </c>
      <c r="N26" s="3">
        <f>-M23-N25</f>
        <v>58.906768271978166</v>
      </c>
      <c r="O26" s="3">
        <f t="shared" ref="O26:W26" si="11">N26-O25</f>
        <v>52.361571797313928</v>
      </c>
      <c r="P26" s="3">
        <f t="shared" si="11"/>
        <v>45.816375322649691</v>
      </c>
      <c r="Q26" s="3">
        <f t="shared" si="11"/>
        <v>39.271178847985453</v>
      </c>
      <c r="R26" s="3">
        <f t="shared" si="11"/>
        <v>32.725982373321216</v>
      </c>
      <c r="S26" s="3">
        <f t="shared" si="11"/>
        <v>26.180785898656975</v>
      </c>
      <c r="T26" s="3">
        <f t="shared" si="11"/>
        <v>19.635589423992734</v>
      </c>
      <c r="U26" s="3">
        <f t="shared" si="11"/>
        <v>13.090392949328493</v>
      </c>
      <c r="V26" s="3">
        <f t="shared" si="11"/>
        <v>6.5451964746642526</v>
      </c>
      <c r="W26" s="3">
        <f t="shared" si="11"/>
        <v>1.2434497875801753E-14</v>
      </c>
    </row>
    <row r="27" spans="2:24" x14ac:dyDescent="0.25">
      <c r="B27" t="s">
        <v>35</v>
      </c>
      <c r="C27" s="3"/>
      <c r="D27" s="3">
        <f t="shared" ref="D27:W27" si="12">C26*$C$2</f>
        <v>3.9271178847985442</v>
      </c>
      <c r="E27" s="3">
        <f t="shared" si="12"/>
        <v>3.5344060963186896</v>
      </c>
      <c r="F27" s="3">
        <f t="shared" si="12"/>
        <v>3.1416943078388355</v>
      </c>
      <c r="G27" s="3">
        <f t="shared" si="12"/>
        <v>2.7489825193589814</v>
      </c>
      <c r="H27" s="3">
        <f t="shared" si="12"/>
        <v>2.3562707308791273</v>
      </c>
      <c r="I27" s="3">
        <f t="shared" si="12"/>
        <v>1.963558942399273</v>
      </c>
      <c r="J27" s="3">
        <f t="shared" si="12"/>
        <v>1.5708471539194184</v>
      </c>
      <c r="K27" s="3">
        <f t="shared" si="12"/>
        <v>1.1781353654395639</v>
      </c>
      <c r="L27" s="3">
        <f t="shared" si="12"/>
        <v>0.78542357695970955</v>
      </c>
      <c r="M27" s="3">
        <f t="shared" si="12"/>
        <v>0.39271178847985516</v>
      </c>
      <c r="N27" s="3">
        <f t="shared" si="12"/>
        <v>3.9271178847985451</v>
      </c>
      <c r="O27" s="3">
        <f t="shared" si="12"/>
        <v>3.5344060963186896</v>
      </c>
      <c r="P27" s="3">
        <f t="shared" si="12"/>
        <v>3.1416943078388355</v>
      </c>
      <c r="Q27" s="3">
        <f t="shared" si="12"/>
        <v>2.7489825193589814</v>
      </c>
      <c r="R27" s="3">
        <f t="shared" si="12"/>
        <v>2.3562707308791273</v>
      </c>
      <c r="S27" s="3">
        <f t="shared" si="12"/>
        <v>1.963558942399273</v>
      </c>
      <c r="T27" s="3">
        <f t="shared" si="12"/>
        <v>1.5708471539194184</v>
      </c>
      <c r="U27" s="3">
        <f t="shared" si="12"/>
        <v>1.1781353654395639</v>
      </c>
      <c r="V27" s="3">
        <f t="shared" si="12"/>
        <v>0.78542357695970955</v>
      </c>
      <c r="W27" s="3">
        <f t="shared" si="12"/>
        <v>0.39271178847985516</v>
      </c>
    </row>
    <row r="28" spans="2:24" x14ac:dyDescent="0.25">
      <c r="B28" t="s">
        <v>26</v>
      </c>
      <c r="C28" s="3"/>
      <c r="D28" s="3">
        <f t="shared" ref="D28:W28" si="13">D27/(1-$C$3)-D27</f>
        <v>1.6830505220565191</v>
      </c>
      <c r="E28" s="3">
        <f t="shared" si="13"/>
        <v>1.5147454698508671</v>
      </c>
      <c r="F28" s="3">
        <f t="shared" si="13"/>
        <v>1.3464404176452156</v>
      </c>
      <c r="G28" s="3">
        <f t="shared" si="13"/>
        <v>1.1781353654395637</v>
      </c>
      <c r="H28" s="3">
        <f t="shared" si="13"/>
        <v>1.0098303132339117</v>
      </c>
      <c r="I28" s="3">
        <f t="shared" si="13"/>
        <v>0.84152526102825997</v>
      </c>
      <c r="J28" s="3">
        <f t="shared" si="13"/>
        <v>0.67322020882260802</v>
      </c>
      <c r="K28" s="3">
        <f t="shared" si="13"/>
        <v>0.50491515661695607</v>
      </c>
      <c r="L28" s="3">
        <f t="shared" si="13"/>
        <v>0.33661010441130412</v>
      </c>
      <c r="M28" s="3">
        <f t="shared" si="13"/>
        <v>0.16830505220565223</v>
      </c>
      <c r="N28" s="3">
        <f t="shared" si="13"/>
        <v>1.6830505220565199</v>
      </c>
      <c r="O28" s="3">
        <f t="shared" si="13"/>
        <v>1.5147454698508671</v>
      </c>
      <c r="P28" s="3">
        <f t="shared" si="13"/>
        <v>1.3464404176452156</v>
      </c>
      <c r="Q28" s="3">
        <f t="shared" si="13"/>
        <v>1.1781353654395637</v>
      </c>
      <c r="R28" s="3">
        <f t="shared" si="13"/>
        <v>1.0098303132339117</v>
      </c>
      <c r="S28" s="3">
        <f t="shared" si="13"/>
        <v>0.84152526102825997</v>
      </c>
      <c r="T28" s="3">
        <f t="shared" si="13"/>
        <v>0.67322020882260802</v>
      </c>
      <c r="U28" s="3">
        <f t="shared" si="13"/>
        <v>0.50491515661695607</v>
      </c>
      <c r="V28" s="3">
        <f t="shared" si="13"/>
        <v>0.33661010441130412</v>
      </c>
      <c r="W28" s="3">
        <f t="shared" si="13"/>
        <v>0.16830505220565223</v>
      </c>
      <c r="X28" s="3"/>
    </row>
    <row r="29" spans="2:24" x14ac:dyDescent="0.25">
      <c r="B29" t="s">
        <v>5</v>
      </c>
      <c r="C29" s="4"/>
      <c r="D29" s="4">
        <f t="shared" ref="D29:W29" si="14">D25+D27+D28</f>
        <v>12.155364881519303</v>
      </c>
      <c r="E29" s="4">
        <f t="shared" si="14"/>
        <v>11.594348040833797</v>
      </c>
      <c r="F29" s="4">
        <f t="shared" si="14"/>
        <v>11.033331200148291</v>
      </c>
      <c r="G29" s="4">
        <f t="shared" si="14"/>
        <v>10.472314359462786</v>
      </c>
      <c r="H29" s="4">
        <f t="shared" si="14"/>
        <v>9.9112975187772783</v>
      </c>
      <c r="I29" s="6">
        <f t="shared" si="14"/>
        <v>9.3502806780917727</v>
      </c>
      <c r="J29" s="6">
        <f t="shared" si="14"/>
        <v>8.789263837406267</v>
      </c>
      <c r="K29" s="6">
        <f t="shared" si="14"/>
        <v>8.2282469967207597</v>
      </c>
      <c r="L29" s="6">
        <f t="shared" si="14"/>
        <v>7.6672301560352532</v>
      </c>
      <c r="M29" s="6">
        <f t="shared" si="14"/>
        <v>7.1062133153497475</v>
      </c>
      <c r="N29" s="3">
        <f t="shared" si="14"/>
        <v>12.155364881519306</v>
      </c>
      <c r="O29" s="3">
        <f t="shared" si="14"/>
        <v>11.594348040833797</v>
      </c>
      <c r="P29" s="3">
        <f t="shared" si="14"/>
        <v>11.033331200148291</v>
      </c>
      <c r="Q29" s="3">
        <f t="shared" si="14"/>
        <v>10.472314359462786</v>
      </c>
      <c r="R29" s="3">
        <f t="shared" si="14"/>
        <v>9.9112975187772783</v>
      </c>
      <c r="S29" s="3">
        <f t="shared" si="14"/>
        <v>9.3502806780917727</v>
      </c>
      <c r="T29" s="3">
        <f t="shared" si="14"/>
        <v>8.789263837406267</v>
      </c>
      <c r="U29" s="3">
        <f t="shared" si="14"/>
        <v>8.2282469967207597</v>
      </c>
      <c r="V29" s="3">
        <f t="shared" si="14"/>
        <v>7.6672301560352532</v>
      </c>
      <c r="W29" s="3">
        <f t="shared" si="14"/>
        <v>7.1062133153497475</v>
      </c>
    </row>
    <row r="30" spans="2:24" x14ac:dyDescent="0.25">
      <c r="B30" t="s">
        <v>7</v>
      </c>
      <c r="C30" s="3">
        <f>-C26</f>
        <v>-65.451964746642403</v>
      </c>
      <c r="D30" s="3">
        <f t="shared" ref="D30:W30" si="15">D29</f>
        <v>12.155364881519303</v>
      </c>
      <c r="E30" s="3">
        <f t="shared" si="15"/>
        <v>11.594348040833797</v>
      </c>
      <c r="F30" s="3">
        <f t="shared" si="15"/>
        <v>11.033331200148291</v>
      </c>
      <c r="G30" s="3">
        <f t="shared" si="15"/>
        <v>10.472314359462786</v>
      </c>
      <c r="H30" s="3">
        <f t="shared" si="15"/>
        <v>9.9112975187772783</v>
      </c>
      <c r="I30" s="3">
        <f t="shared" si="15"/>
        <v>9.3502806780917727</v>
      </c>
      <c r="J30" s="3">
        <f t="shared" si="15"/>
        <v>8.789263837406267</v>
      </c>
      <c r="K30" s="3">
        <f t="shared" si="15"/>
        <v>8.2282469967207597</v>
      </c>
      <c r="L30" s="3">
        <f t="shared" si="15"/>
        <v>7.6672301560352532</v>
      </c>
      <c r="M30" s="3">
        <f>M29+M23</f>
        <v>-58.345751431292655</v>
      </c>
      <c r="N30" s="3">
        <f t="shared" si="15"/>
        <v>12.155364881519306</v>
      </c>
      <c r="O30" s="3">
        <f t="shared" si="15"/>
        <v>11.594348040833797</v>
      </c>
      <c r="P30" s="3">
        <f t="shared" si="15"/>
        <v>11.033331200148291</v>
      </c>
      <c r="Q30" s="3">
        <f t="shared" si="15"/>
        <v>10.472314359462786</v>
      </c>
      <c r="R30" s="3">
        <f t="shared" si="15"/>
        <v>9.9112975187772783</v>
      </c>
      <c r="S30" s="3">
        <f t="shared" si="15"/>
        <v>9.3502806780917727</v>
      </c>
      <c r="T30" s="3">
        <f t="shared" si="15"/>
        <v>8.789263837406267</v>
      </c>
      <c r="U30" s="3">
        <f t="shared" si="15"/>
        <v>8.2282469967207597</v>
      </c>
      <c r="V30" s="3">
        <f t="shared" si="15"/>
        <v>7.6672301560352532</v>
      </c>
      <c r="W30" s="3">
        <f t="shared" si="15"/>
        <v>7.1062133153497475</v>
      </c>
    </row>
    <row r="31" spans="2:24" x14ac:dyDescent="0.25">
      <c r="B31" t="s">
        <v>8</v>
      </c>
      <c r="C31" s="3">
        <f t="shared" ref="C31:W31" si="16">C30*$C$3</f>
        <v>-19.63558942399272</v>
      </c>
      <c r="D31" s="3">
        <f t="shared" si="16"/>
        <v>3.6466094644557905</v>
      </c>
      <c r="E31" s="3">
        <f t="shared" si="16"/>
        <v>3.478304412250139</v>
      </c>
      <c r="F31" s="3">
        <f t="shared" si="16"/>
        <v>3.3099993600444875</v>
      </c>
      <c r="G31" s="3">
        <f t="shared" si="16"/>
        <v>3.1416943078388355</v>
      </c>
      <c r="H31" s="3">
        <f t="shared" si="16"/>
        <v>2.9733892556331836</v>
      </c>
      <c r="I31" s="3">
        <f t="shared" si="16"/>
        <v>2.8050842034275316</v>
      </c>
      <c r="J31" s="3">
        <f t="shared" si="16"/>
        <v>2.6367791512218801</v>
      </c>
      <c r="K31" s="3">
        <f t="shared" si="16"/>
        <v>2.4684740990162277</v>
      </c>
      <c r="L31" s="3">
        <f t="shared" si="16"/>
        <v>2.3001690468105758</v>
      </c>
      <c r="M31" s="3">
        <f t="shared" si="16"/>
        <v>-17.503725429387796</v>
      </c>
      <c r="N31" s="3">
        <f t="shared" si="16"/>
        <v>3.6466094644557918</v>
      </c>
      <c r="O31" s="3">
        <f t="shared" si="16"/>
        <v>3.478304412250139</v>
      </c>
      <c r="P31" s="3">
        <f t="shared" si="16"/>
        <v>3.3099993600444875</v>
      </c>
      <c r="Q31" s="3">
        <f t="shared" si="16"/>
        <v>3.1416943078388355</v>
      </c>
      <c r="R31" s="3">
        <f t="shared" si="16"/>
        <v>2.9733892556331836</v>
      </c>
      <c r="S31" s="3">
        <f t="shared" si="16"/>
        <v>2.8050842034275316</v>
      </c>
      <c r="T31" s="3">
        <f t="shared" si="16"/>
        <v>2.6367791512218801</v>
      </c>
      <c r="U31" s="3">
        <f t="shared" si="16"/>
        <v>2.4684740990162277</v>
      </c>
      <c r="V31" s="3">
        <f t="shared" si="16"/>
        <v>2.3001690468105758</v>
      </c>
      <c r="W31" s="3">
        <f t="shared" si="16"/>
        <v>2.1318639946049243</v>
      </c>
      <c r="X31" s="3"/>
    </row>
    <row r="32" spans="2:24" x14ac:dyDescent="0.25">
      <c r="B32" s="15"/>
      <c r="C32" s="16"/>
    </row>
    <row r="33" spans="2:24" x14ac:dyDescent="0.25">
      <c r="B33" t="s">
        <v>27</v>
      </c>
      <c r="C33" s="3">
        <f>C29-C31</f>
        <v>19.63558942399272</v>
      </c>
      <c r="D33" s="3">
        <f>D29-D31</f>
        <v>8.5087554170635116</v>
      </c>
      <c r="E33" s="3">
        <f t="shared" ref="E33:W33" si="17">E29-E31</f>
        <v>8.1160436285836575</v>
      </c>
      <c r="F33" s="3">
        <f t="shared" si="17"/>
        <v>7.7233318401038034</v>
      </c>
      <c r="G33" s="3">
        <f t="shared" si="17"/>
        <v>7.3306200516239501</v>
      </c>
      <c r="H33" s="3">
        <f t="shared" si="17"/>
        <v>6.9379082631440951</v>
      </c>
      <c r="I33" s="3">
        <f t="shared" si="17"/>
        <v>6.545196474664241</v>
      </c>
      <c r="J33" s="3">
        <f t="shared" si="17"/>
        <v>6.1524846861843869</v>
      </c>
      <c r="K33" s="3">
        <f t="shared" si="17"/>
        <v>5.7597728977045319</v>
      </c>
      <c r="L33" s="3">
        <f t="shared" si="17"/>
        <v>5.3670611092246769</v>
      </c>
      <c r="M33" s="3">
        <f t="shared" si="17"/>
        <v>24.609938744737544</v>
      </c>
      <c r="N33" s="3">
        <f t="shared" si="17"/>
        <v>8.5087554170635151</v>
      </c>
      <c r="O33" s="3">
        <f t="shared" si="17"/>
        <v>8.1160436285836575</v>
      </c>
      <c r="P33" s="3">
        <f t="shared" si="17"/>
        <v>7.7233318401038034</v>
      </c>
      <c r="Q33" s="3">
        <f t="shared" si="17"/>
        <v>7.3306200516239501</v>
      </c>
      <c r="R33" s="3">
        <f t="shared" si="17"/>
        <v>6.9379082631440951</v>
      </c>
      <c r="S33" s="3">
        <f t="shared" si="17"/>
        <v>6.545196474664241</v>
      </c>
      <c r="T33" s="3">
        <f t="shared" si="17"/>
        <v>6.1524846861843869</v>
      </c>
      <c r="U33" s="3">
        <f t="shared" si="17"/>
        <v>5.7597728977045319</v>
      </c>
      <c r="V33" s="3">
        <f t="shared" si="17"/>
        <v>5.3670611092246769</v>
      </c>
      <c r="W33" s="3">
        <f t="shared" si="17"/>
        <v>4.9743493207448228</v>
      </c>
    </row>
    <row r="34" spans="2:24" x14ac:dyDescent="0.25">
      <c r="B34" s="18" t="s">
        <v>6</v>
      </c>
      <c r="C34" s="19">
        <f>NPV($C$2,D33:W33)+C33</f>
        <v>110.07813362267098</v>
      </c>
    </row>
    <row r="35" spans="2:24" x14ac:dyDescent="0.25">
      <c r="B35" t="s">
        <v>29</v>
      </c>
      <c r="C35" s="1">
        <f>NPV($C$2,D33:H33)+C33</f>
        <v>52.361571797313921</v>
      </c>
      <c r="D35" s="10">
        <f>C35/C26</f>
        <v>0.79999999999999993</v>
      </c>
    </row>
    <row r="36" spans="2:24" x14ac:dyDescent="0.25">
      <c r="B36" t="s">
        <v>38</v>
      </c>
      <c r="C36" s="20">
        <v>7.1999999999999995E-2</v>
      </c>
      <c r="D36" s="10"/>
    </row>
    <row r="37" spans="2:24" x14ac:dyDescent="0.25">
      <c r="C37" s="17"/>
      <c r="D37" s="17"/>
      <c r="E37" s="17"/>
      <c r="F37" s="17"/>
      <c r="G37" s="17"/>
      <c r="H37" s="17"/>
      <c r="I37" s="17"/>
      <c r="J37" s="17"/>
      <c r="K37" s="17"/>
      <c r="L37" s="17"/>
      <c r="M37" s="17"/>
      <c r="N37" s="17"/>
      <c r="O37" s="17"/>
      <c r="P37" s="17"/>
      <c r="Q37" s="17"/>
      <c r="R37" s="17"/>
      <c r="S37" s="17"/>
      <c r="T37" s="17"/>
      <c r="U37" s="17"/>
      <c r="V37" s="17"/>
      <c r="W37" s="17"/>
    </row>
    <row r="38" spans="2:24" x14ac:dyDescent="0.25">
      <c r="B38" t="s">
        <v>36</v>
      </c>
      <c r="C38" s="17"/>
      <c r="D38" s="17">
        <f t="shared" ref="D38:W38" si="18">SUM(D29,D37)</f>
        <v>12.155364881519303</v>
      </c>
      <c r="E38" s="17">
        <f t="shared" si="18"/>
        <v>11.594348040833797</v>
      </c>
      <c r="F38" s="17">
        <f t="shared" si="18"/>
        <v>11.033331200148291</v>
      </c>
      <c r="G38" s="17">
        <f t="shared" si="18"/>
        <v>10.472314359462786</v>
      </c>
      <c r="H38" s="17">
        <f t="shared" si="18"/>
        <v>9.9112975187772783</v>
      </c>
      <c r="I38" s="17">
        <f t="shared" si="18"/>
        <v>9.3502806780917727</v>
      </c>
      <c r="J38" s="17">
        <f t="shared" si="18"/>
        <v>8.789263837406267</v>
      </c>
      <c r="K38" s="17">
        <f t="shared" si="18"/>
        <v>8.2282469967207597</v>
      </c>
      <c r="L38" s="17">
        <f t="shared" si="18"/>
        <v>7.6672301560352532</v>
      </c>
      <c r="M38" s="17">
        <f t="shared" si="18"/>
        <v>7.1062133153497475</v>
      </c>
      <c r="N38" s="17">
        <f t="shared" si="18"/>
        <v>12.155364881519306</v>
      </c>
      <c r="O38" s="17">
        <f t="shared" si="18"/>
        <v>11.594348040833797</v>
      </c>
      <c r="P38" s="17">
        <f t="shared" si="18"/>
        <v>11.033331200148291</v>
      </c>
      <c r="Q38" s="17">
        <f t="shared" si="18"/>
        <v>10.472314359462786</v>
      </c>
      <c r="R38" s="17">
        <f t="shared" si="18"/>
        <v>9.9112975187772783</v>
      </c>
      <c r="S38" s="17">
        <f t="shared" si="18"/>
        <v>9.3502806780917727</v>
      </c>
      <c r="T38" s="17">
        <f t="shared" si="18"/>
        <v>8.789263837406267</v>
      </c>
      <c r="U38" s="17">
        <f t="shared" si="18"/>
        <v>8.2282469967207597</v>
      </c>
      <c r="V38" s="17">
        <f t="shared" si="18"/>
        <v>7.6672301560352532</v>
      </c>
      <c r="W38" s="17">
        <f t="shared" si="18"/>
        <v>7.1062133153497475</v>
      </c>
    </row>
    <row r="39" spans="2:24" x14ac:dyDescent="0.25">
      <c r="C39" s="1"/>
      <c r="D39" s="10"/>
    </row>
    <row r="40" spans="2:24" ht="15.75" thickBot="1" x14ac:dyDescent="0.3">
      <c r="B40" s="9" t="s">
        <v>42</v>
      </c>
      <c r="C40" s="9"/>
      <c r="D40" s="9"/>
      <c r="J40" s="3"/>
    </row>
    <row r="41" spans="2:24" x14ac:dyDescent="0.25">
      <c r="B41" t="s">
        <v>28</v>
      </c>
      <c r="C41" s="3">
        <f>C23</f>
        <v>-65.451964746642403</v>
      </c>
      <c r="M41" s="3">
        <f>C41</f>
        <v>-65.451964746642403</v>
      </c>
    </row>
    <row r="42" spans="2:24" x14ac:dyDescent="0.25">
      <c r="C42" s="3"/>
      <c r="M42" s="3"/>
    </row>
    <row r="43" spans="2:24" x14ac:dyDescent="0.25">
      <c r="B43" t="s">
        <v>34</v>
      </c>
      <c r="C43" s="3"/>
      <c r="D43" s="3">
        <f>-C41/10</f>
        <v>6.5451964746642401</v>
      </c>
      <c r="E43" s="3">
        <f>D43</f>
        <v>6.5451964746642401</v>
      </c>
      <c r="F43" s="3">
        <f t="shared" ref="F43:W43" si="19">E43</f>
        <v>6.5451964746642401</v>
      </c>
      <c r="G43" s="3">
        <f t="shared" si="19"/>
        <v>6.5451964746642401</v>
      </c>
      <c r="H43" s="3">
        <f t="shared" si="19"/>
        <v>6.5451964746642401</v>
      </c>
      <c r="I43" s="3">
        <f t="shared" si="19"/>
        <v>6.5451964746642401</v>
      </c>
      <c r="J43" s="3">
        <f t="shared" si="19"/>
        <v>6.5451964746642401</v>
      </c>
      <c r="K43" s="3">
        <f t="shared" si="19"/>
        <v>6.5451964746642401</v>
      </c>
      <c r="L43" s="3">
        <f t="shared" si="19"/>
        <v>6.5451964746642401</v>
      </c>
      <c r="M43" s="3">
        <f t="shared" si="19"/>
        <v>6.5451964746642401</v>
      </c>
      <c r="N43" s="3">
        <f>-M41/10</f>
        <v>6.5451964746642401</v>
      </c>
      <c r="O43" s="3">
        <f>N43</f>
        <v>6.5451964746642401</v>
      </c>
      <c r="P43" s="3">
        <f t="shared" si="19"/>
        <v>6.5451964746642401</v>
      </c>
      <c r="Q43" s="3">
        <f t="shared" si="19"/>
        <v>6.5451964746642401</v>
      </c>
      <c r="R43" s="3">
        <f t="shared" si="19"/>
        <v>6.5451964746642401</v>
      </c>
      <c r="S43" s="3">
        <f t="shared" si="19"/>
        <v>6.5451964746642401</v>
      </c>
      <c r="T43" s="3">
        <f t="shared" si="19"/>
        <v>6.5451964746642401</v>
      </c>
      <c r="U43" s="3">
        <f t="shared" si="19"/>
        <v>6.5451964746642401</v>
      </c>
      <c r="V43" s="3">
        <f t="shared" si="19"/>
        <v>6.5451964746642401</v>
      </c>
      <c r="W43" s="3">
        <f t="shared" si="19"/>
        <v>6.5451964746642401</v>
      </c>
    </row>
    <row r="44" spans="2:24" x14ac:dyDescent="0.25">
      <c r="B44" t="s">
        <v>45</v>
      </c>
      <c r="C44" s="3">
        <f>-C41</f>
        <v>65.451964746642403</v>
      </c>
      <c r="D44" s="3">
        <f>-C41-D43</f>
        <v>58.906768271978166</v>
      </c>
      <c r="E44" s="3">
        <f t="shared" ref="E44:L44" si="20">D44-E43</f>
        <v>52.361571797313928</v>
      </c>
      <c r="F44" s="3">
        <f t="shared" si="20"/>
        <v>45.816375322649691</v>
      </c>
      <c r="G44" s="3">
        <f t="shared" si="20"/>
        <v>39.271178847985453</v>
      </c>
      <c r="H44" s="3">
        <f t="shared" si="20"/>
        <v>32.725982373321216</v>
      </c>
      <c r="I44" s="3">
        <f t="shared" si="20"/>
        <v>26.180785898656975</v>
      </c>
      <c r="J44" s="3">
        <f t="shared" si="20"/>
        <v>19.635589423992734</v>
      </c>
      <c r="K44" s="3">
        <f t="shared" si="20"/>
        <v>13.090392949328493</v>
      </c>
      <c r="L44" s="3">
        <f t="shared" si="20"/>
        <v>6.5451964746642526</v>
      </c>
      <c r="M44" s="3">
        <f>L44-L43-M41</f>
        <v>65.451964746642417</v>
      </c>
      <c r="N44" s="3">
        <f>-M41-N43</f>
        <v>58.906768271978166</v>
      </c>
      <c r="O44" s="3">
        <f>N44-O43</f>
        <v>52.361571797313928</v>
      </c>
      <c r="P44" s="3">
        <f t="shared" ref="P44:W44" si="21">O44-P43</f>
        <v>45.816375322649691</v>
      </c>
      <c r="Q44" s="3">
        <f t="shared" si="21"/>
        <v>39.271178847985453</v>
      </c>
      <c r="R44" s="3">
        <f t="shared" si="21"/>
        <v>32.725982373321216</v>
      </c>
      <c r="S44" s="3">
        <f t="shared" si="21"/>
        <v>26.180785898656975</v>
      </c>
      <c r="T44" s="3">
        <f t="shared" si="21"/>
        <v>19.635589423992734</v>
      </c>
      <c r="U44" s="3">
        <f t="shared" si="21"/>
        <v>13.090392949328493</v>
      </c>
      <c r="V44" s="3">
        <f t="shared" si="21"/>
        <v>6.5451964746642526</v>
      </c>
      <c r="W44" s="3">
        <f t="shared" si="21"/>
        <v>1.2434497875801753E-14</v>
      </c>
    </row>
    <row r="45" spans="2:24" x14ac:dyDescent="0.25">
      <c r="B45" t="s">
        <v>35</v>
      </c>
      <c r="C45" s="3"/>
      <c r="D45" s="3">
        <f>C44*$C$2</f>
        <v>3.9271178847985442</v>
      </c>
      <c r="E45" s="3">
        <f t="shared" ref="E45:W45" si="22">D44*$C$2</f>
        <v>3.5344060963186896</v>
      </c>
      <c r="F45" s="3">
        <f t="shared" si="22"/>
        <v>3.1416943078388355</v>
      </c>
      <c r="G45" s="3">
        <f t="shared" si="22"/>
        <v>2.7489825193589814</v>
      </c>
      <c r="H45" s="3">
        <f t="shared" si="22"/>
        <v>2.3562707308791273</v>
      </c>
      <c r="I45" s="3">
        <f t="shared" si="22"/>
        <v>1.963558942399273</v>
      </c>
      <c r="J45" s="3">
        <f t="shared" si="22"/>
        <v>1.5708471539194184</v>
      </c>
      <c r="K45" s="3">
        <f t="shared" si="22"/>
        <v>1.1781353654395639</v>
      </c>
      <c r="L45" s="3">
        <f t="shared" si="22"/>
        <v>0.78542357695970955</v>
      </c>
      <c r="M45" s="3">
        <f t="shared" si="22"/>
        <v>0.39271178847985516</v>
      </c>
      <c r="N45" s="3">
        <f t="shared" si="22"/>
        <v>3.9271178847985451</v>
      </c>
      <c r="O45" s="3">
        <f t="shared" si="22"/>
        <v>3.5344060963186896</v>
      </c>
      <c r="P45" s="3">
        <f t="shared" si="22"/>
        <v>3.1416943078388355</v>
      </c>
      <c r="Q45" s="3">
        <f t="shared" si="22"/>
        <v>2.7489825193589814</v>
      </c>
      <c r="R45" s="3">
        <f t="shared" si="22"/>
        <v>2.3562707308791273</v>
      </c>
      <c r="S45" s="3">
        <f t="shared" si="22"/>
        <v>1.963558942399273</v>
      </c>
      <c r="T45" s="3">
        <f t="shared" si="22"/>
        <v>1.5708471539194184</v>
      </c>
      <c r="U45" s="3">
        <f t="shared" si="22"/>
        <v>1.1781353654395639</v>
      </c>
      <c r="V45" s="3">
        <f t="shared" si="22"/>
        <v>0.78542357695970955</v>
      </c>
      <c r="W45" s="3">
        <f t="shared" si="22"/>
        <v>0.39271178847985516</v>
      </c>
    </row>
    <row r="46" spans="2:24" x14ac:dyDescent="0.25">
      <c r="B46" t="s">
        <v>26</v>
      </c>
      <c r="C46" s="3">
        <f>C41*C3</f>
        <v>-19.63558942399272</v>
      </c>
      <c r="D46" s="3">
        <f>(D43+D45)/(1-$C$3)-(D43+D45)</f>
        <v>4.488134725484052</v>
      </c>
      <c r="E46" s="3">
        <f t="shared" ref="E46:W46" si="23">(E43+E45)/(1-$C$3)-(E43+E45)</f>
        <v>4.3198296732783987</v>
      </c>
      <c r="F46" s="3">
        <f t="shared" si="23"/>
        <v>4.1515246210727472</v>
      </c>
      <c r="G46" s="3">
        <f t="shared" si="23"/>
        <v>3.9832195688670957</v>
      </c>
      <c r="H46" s="3">
        <f t="shared" si="23"/>
        <v>3.8149145166614442</v>
      </c>
      <c r="I46" s="3">
        <f t="shared" si="23"/>
        <v>3.6466094644557927</v>
      </c>
      <c r="J46" s="3">
        <f t="shared" si="23"/>
        <v>3.4783044122501412</v>
      </c>
      <c r="K46" s="3">
        <f t="shared" si="23"/>
        <v>3.3099993600444888</v>
      </c>
      <c r="L46" s="3">
        <f t="shared" si="23"/>
        <v>3.1416943078388364</v>
      </c>
      <c r="M46" s="3">
        <f>(M45+M43+M41)*C3</f>
        <v>-17.554216945049493</v>
      </c>
      <c r="N46" s="3">
        <f t="shared" si="23"/>
        <v>4.488134725484052</v>
      </c>
      <c r="O46" s="3">
        <f t="shared" si="23"/>
        <v>4.3198296732783987</v>
      </c>
      <c r="P46" s="3">
        <f t="shared" si="23"/>
        <v>4.1515246210727472</v>
      </c>
      <c r="Q46" s="3">
        <f t="shared" si="23"/>
        <v>3.9832195688670957</v>
      </c>
      <c r="R46" s="3">
        <f t="shared" si="23"/>
        <v>3.8149145166614442</v>
      </c>
      <c r="S46" s="3">
        <f t="shared" si="23"/>
        <v>3.6466094644557927</v>
      </c>
      <c r="T46" s="3">
        <f t="shared" si="23"/>
        <v>3.4783044122501412</v>
      </c>
      <c r="U46" s="3">
        <f t="shared" si="23"/>
        <v>3.3099993600444888</v>
      </c>
      <c r="V46" s="3">
        <f t="shared" si="23"/>
        <v>3.1416943078388364</v>
      </c>
      <c r="W46" s="3">
        <f t="shared" si="23"/>
        <v>2.9733892556331849</v>
      </c>
      <c r="X46" s="3"/>
    </row>
    <row r="47" spans="2:24" x14ac:dyDescent="0.25">
      <c r="B47" t="s">
        <v>5</v>
      </c>
      <c r="C47" s="4">
        <f>C46</f>
        <v>-19.63558942399272</v>
      </c>
      <c r="D47" s="4">
        <f t="shared" ref="D47:W47" si="24">D43+D45+D46</f>
        <v>14.960449084946836</v>
      </c>
      <c r="E47" s="4">
        <f t="shared" si="24"/>
        <v>14.399432244261329</v>
      </c>
      <c r="F47" s="4">
        <f t="shared" si="24"/>
        <v>13.838415403575823</v>
      </c>
      <c r="G47" s="4">
        <f t="shared" si="24"/>
        <v>13.277398562890317</v>
      </c>
      <c r="H47" s="4">
        <f t="shared" si="24"/>
        <v>12.716381722204812</v>
      </c>
      <c r="I47" s="6">
        <f t="shared" si="24"/>
        <v>12.155364881519306</v>
      </c>
      <c r="J47" s="6">
        <f t="shared" si="24"/>
        <v>11.5943480408338</v>
      </c>
      <c r="K47" s="6">
        <f t="shared" si="24"/>
        <v>11.033331200148293</v>
      </c>
      <c r="L47" s="6">
        <f t="shared" si="24"/>
        <v>10.472314359462786</v>
      </c>
      <c r="M47" s="6">
        <f t="shared" si="24"/>
        <v>-10.616308681905398</v>
      </c>
      <c r="N47" s="3">
        <f t="shared" si="24"/>
        <v>14.960449084946838</v>
      </c>
      <c r="O47" s="3">
        <f t="shared" si="24"/>
        <v>14.399432244261329</v>
      </c>
      <c r="P47" s="3">
        <f t="shared" si="24"/>
        <v>13.838415403575823</v>
      </c>
      <c r="Q47" s="3">
        <f t="shared" si="24"/>
        <v>13.277398562890317</v>
      </c>
      <c r="R47" s="3">
        <f t="shared" si="24"/>
        <v>12.716381722204812</v>
      </c>
      <c r="S47" s="3">
        <f t="shared" si="24"/>
        <v>12.155364881519306</v>
      </c>
      <c r="T47" s="3">
        <f t="shared" si="24"/>
        <v>11.5943480408338</v>
      </c>
      <c r="U47" s="3">
        <f t="shared" si="24"/>
        <v>11.033331200148293</v>
      </c>
      <c r="V47" s="3">
        <f t="shared" si="24"/>
        <v>10.472314359462786</v>
      </c>
      <c r="W47" s="3">
        <f t="shared" si="24"/>
        <v>9.91129751877728</v>
      </c>
    </row>
    <row r="48" spans="2:24" x14ac:dyDescent="0.25">
      <c r="B48" t="s">
        <v>7</v>
      </c>
      <c r="C48" s="3">
        <f>C41</f>
        <v>-65.451964746642403</v>
      </c>
      <c r="D48" s="3">
        <f t="shared" ref="D48:M48" si="25">D47</f>
        <v>14.960449084946836</v>
      </c>
      <c r="E48" s="3">
        <f t="shared" si="25"/>
        <v>14.399432244261329</v>
      </c>
      <c r="F48" s="3">
        <f t="shared" si="25"/>
        <v>13.838415403575823</v>
      </c>
      <c r="G48" s="3">
        <f t="shared" si="25"/>
        <v>13.277398562890317</v>
      </c>
      <c r="H48" s="3">
        <f t="shared" si="25"/>
        <v>12.716381722204812</v>
      </c>
      <c r="I48" s="3">
        <f t="shared" si="25"/>
        <v>12.155364881519306</v>
      </c>
      <c r="J48" s="3">
        <f t="shared" si="25"/>
        <v>11.5943480408338</v>
      </c>
      <c r="K48" s="3">
        <f t="shared" si="25"/>
        <v>11.033331200148293</v>
      </c>
      <c r="L48" s="3">
        <f t="shared" si="25"/>
        <v>10.472314359462786</v>
      </c>
      <c r="M48" s="3">
        <f>M41+M43+M45</f>
        <v>-58.514056483498308</v>
      </c>
      <c r="N48" s="3">
        <f t="shared" ref="N48:W48" si="26">N47</f>
        <v>14.960449084946838</v>
      </c>
      <c r="O48" s="3">
        <f t="shared" si="26"/>
        <v>14.399432244261329</v>
      </c>
      <c r="P48" s="3">
        <f t="shared" si="26"/>
        <v>13.838415403575823</v>
      </c>
      <c r="Q48" s="3">
        <f t="shared" si="26"/>
        <v>13.277398562890317</v>
      </c>
      <c r="R48" s="3">
        <f t="shared" si="26"/>
        <v>12.716381722204812</v>
      </c>
      <c r="S48" s="3">
        <f t="shared" si="26"/>
        <v>12.155364881519306</v>
      </c>
      <c r="T48" s="3">
        <f t="shared" si="26"/>
        <v>11.5943480408338</v>
      </c>
      <c r="U48" s="3">
        <f t="shared" si="26"/>
        <v>11.033331200148293</v>
      </c>
      <c r="V48" s="3">
        <f t="shared" si="26"/>
        <v>10.472314359462786</v>
      </c>
      <c r="W48" s="3">
        <f t="shared" si="26"/>
        <v>9.91129751877728</v>
      </c>
    </row>
    <row r="49" spans="2:24" x14ac:dyDescent="0.25">
      <c r="B49" t="s">
        <v>8</v>
      </c>
      <c r="C49" s="3">
        <f>C46</f>
        <v>-19.63558942399272</v>
      </c>
      <c r="D49" s="3">
        <f t="shared" ref="D49:W49" si="27">D48*$C$3</f>
        <v>4.4881347254840502</v>
      </c>
      <c r="E49" s="3">
        <f t="shared" si="27"/>
        <v>4.3198296732783987</v>
      </c>
      <c r="F49" s="3">
        <f t="shared" si="27"/>
        <v>4.1515246210727463</v>
      </c>
      <c r="G49" s="3">
        <f t="shared" si="27"/>
        <v>3.9832195688670948</v>
      </c>
      <c r="H49" s="3">
        <f t="shared" si="27"/>
        <v>3.8149145166614433</v>
      </c>
      <c r="I49" s="3">
        <f t="shared" si="27"/>
        <v>3.6466094644557918</v>
      </c>
      <c r="J49" s="3">
        <f t="shared" si="27"/>
        <v>3.4783044122501399</v>
      </c>
      <c r="K49" s="3">
        <f t="shared" si="27"/>
        <v>3.3099993600444879</v>
      </c>
      <c r="L49" s="3">
        <f t="shared" si="27"/>
        <v>3.1416943078388355</v>
      </c>
      <c r="M49" s="3">
        <f t="shared" si="27"/>
        <v>-17.554216945049493</v>
      </c>
      <c r="N49" s="3">
        <f t="shared" si="27"/>
        <v>4.4881347254840511</v>
      </c>
      <c r="O49" s="3">
        <f t="shared" si="27"/>
        <v>4.3198296732783987</v>
      </c>
      <c r="P49" s="3">
        <f t="shared" si="27"/>
        <v>4.1515246210727463</v>
      </c>
      <c r="Q49" s="3">
        <f t="shared" si="27"/>
        <v>3.9832195688670948</v>
      </c>
      <c r="R49" s="3">
        <f t="shared" si="27"/>
        <v>3.8149145166614433</v>
      </c>
      <c r="S49" s="3">
        <f t="shared" si="27"/>
        <v>3.6466094644557918</v>
      </c>
      <c r="T49" s="3">
        <f t="shared" si="27"/>
        <v>3.4783044122501399</v>
      </c>
      <c r="U49" s="3">
        <f t="shared" si="27"/>
        <v>3.3099993600444879</v>
      </c>
      <c r="V49" s="3">
        <f t="shared" si="27"/>
        <v>3.1416943078388355</v>
      </c>
      <c r="W49" s="3">
        <f t="shared" si="27"/>
        <v>2.973389255633184</v>
      </c>
      <c r="X49" s="3"/>
    </row>
    <row r="51" spans="2:24" x14ac:dyDescent="0.25">
      <c r="B51" t="s">
        <v>27</v>
      </c>
      <c r="C51" s="3">
        <f>C47-C49</f>
        <v>0</v>
      </c>
      <c r="D51" s="3">
        <f>D47-D49</f>
        <v>10.472314359462786</v>
      </c>
      <c r="E51" s="3">
        <f t="shared" ref="E51:W51" si="28">E47-E49</f>
        <v>10.07960257098293</v>
      </c>
      <c r="F51" s="3">
        <f t="shared" si="28"/>
        <v>9.6868907825030774</v>
      </c>
      <c r="G51" s="3">
        <f t="shared" si="28"/>
        <v>9.2941789940232233</v>
      </c>
      <c r="H51" s="3">
        <f t="shared" si="28"/>
        <v>8.9014672055433692</v>
      </c>
      <c r="I51" s="3">
        <f t="shared" si="28"/>
        <v>8.5087554170635151</v>
      </c>
      <c r="J51" s="3">
        <f t="shared" si="28"/>
        <v>8.116043628583661</v>
      </c>
      <c r="K51" s="3">
        <f t="shared" si="28"/>
        <v>7.7233318401038051</v>
      </c>
      <c r="L51" s="3">
        <f t="shared" si="28"/>
        <v>7.3306200516239501</v>
      </c>
      <c r="M51" s="3">
        <f t="shared" si="28"/>
        <v>6.9379082631440951</v>
      </c>
      <c r="N51" s="3">
        <f t="shared" si="28"/>
        <v>10.472314359462786</v>
      </c>
      <c r="O51" s="3">
        <f t="shared" si="28"/>
        <v>10.07960257098293</v>
      </c>
      <c r="P51" s="3">
        <f t="shared" si="28"/>
        <v>9.6868907825030774</v>
      </c>
      <c r="Q51" s="3">
        <f t="shared" si="28"/>
        <v>9.2941789940232233</v>
      </c>
      <c r="R51" s="3">
        <f t="shared" si="28"/>
        <v>8.9014672055433692</v>
      </c>
      <c r="S51" s="3">
        <f t="shared" si="28"/>
        <v>8.5087554170635151</v>
      </c>
      <c r="T51" s="3">
        <f t="shared" si="28"/>
        <v>8.116043628583661</v>
      </c>
      <c r="U51" s="3">
        <f t="shared" si="28"/>
        <v>7.7233318401038051</v>
      </c>
      <c r="V51" s="3">
        <f t="shared" si="28"/>
        <v>7.3306200516239501</v>
      </c>
      <c r="W51" s="3">
        <f t="shared" si="28"/>
        <v>6.937908263144096</v>
      </c>
    </row>
    <row r="52" spans="2:24" x14ac:dyDescent="0.25">
      <c r="B52" s="18" t="s">
        <v>6</v>
      </c>
      <c r="C52" s="19">
        <f>NPV($C$2,D51:W51)</f>
        <v>101.99999999999996</v>
      </c>
    </row>
    <row r="53" spans="2:24" x14ac:dyDescent="0.25">
      <c r="B53" t="s">
        <v>29</v>
      </c>
      <c r="C53" s="1">
        <f>NPV($C$2,D51:H51)</f>
        <v>40.9972069531076</v>
      </c>
      <c r="D53" s="11">
        <f>C53/C44</f>
        <v>0.62637091356697128</v>
      </c>
      <c r="E53" s="1"/>
    </row>
    <row r="54" spans="2:24" x14ac:dyDescent="0.25">
      <c r="C54" s="1"/>
      <c r="D54" s="11"/>
      <c r="E54" s="1"/>
    </row>
    <row r="55" spans="2:24" x14ac:dyDescent="0.25">
      <c r="B55" t="s">
        <v>31</v>
      </c>
      <c r="C55" s="1"/>
      <c r="D55" s="12">
        <f t="shared" ref="D55:L55" si="29">MIN(D46,C56)</f>
        <v>4.488134725484052</v>
      </c>
      <c r="E55" s="12">
        <f t="shared" si="29"/>
        <v>4.3198296732783987</v>
      </c>
      <c r="F55" s="12">
        <f t="shared" si="29"/>
        <v>4.1515246210727472</v>
      </c>
      <c r="G55" s="12">
        <f t="shared" si="29"/>
        <v>3.9832195688670957</v>
      </c>
      <c r="H55" s="12">
        <f t="shared" si="29"/>
        <v>2.6928808352904259</v>
      </c>
      <c r="I55" s="12">
        <f t="shared" si="29"/>
        <v>0</v>
      </c>
      <c r="J55" s="12">
        <f t="shared" si="29"/>
        <v>0</v>
      </c>
      <c r="K55" s="12">
        <f t="shared" si="29"/>
        <v>0</v>
      </c>
      <c r="L55" s="12">
        <f t="shared" si="29"/>
        <v>0</v>
      </c>
      <c r="M55" s="12">
        <v>0</v>
      </c>
      <c r="N55" s="12">
        <f t="shared" ref="N55:W55" si="30">MIN(N46,M56)</f>
        <v>4.488134725484052</v>
      </c>
      <c r="O55" s="12">
        <f t="shared" si="30"/>
        <v>4.3198296732783987</v>
      </c>
      <c r="P55" s="12">
        <f t="shared" si="30"/>
        <v>4.1515246210727472</v>
      </c>
      <c r="Q55" s="12">
        <f t="shared" si="30"/>
        <v>3.9832195688670957</v>
      </c>
      <c r="R55" s="12">
        <f t="shared" si="30"/>
        <v>0.61150835634719947</v>
      </c>
      <c r="S55" s="12">
        <f t="shared" si="30"/>
        <v>0</v>
      </c>
      <c r="T55" s="12">
        <f t="shared" si="30"/>
        <v>0</v>
      </c>
      <c r="U55" s="12">
        <f t="shared" si="30"/>
        <v>0</v>
      </c>
      <c r="V55" s="12">
        <f t="shared" si="30"/>
        <v>0</v>
      </c>
      <c r="W55" s="12">
        <f t="shared" si="30"/>
        <v>0</v>
      </c>
    </row>
    <row r="56" spans="2:24" x14ac:dyDescent="0.25">
      <c r="B56" t="s">
        <v>30</v>
      </c>
      <c r="C56" s="3">
        <f>-C47</f>
        <v>19.63558942399272</v>
      </c>
      <c r="D56" s="3">
        <f>C56-D55</f>
        <v>15.147454698508668</v>
      </c>
      <c r="E56" s="3">
        <f t="shared" ref="E56:L56" si="31">D56-E55</f>
        <v>10.827625025230269</v>
      </c>
      <c r="F56" s="3">
        <f t="shared" si="31"/>
        <v>6.6761004041575216</v>
      </c>
      <c r="G56" s="3">
        <f t="shared" si="31"/>
        <v>2.6928808352904259</v>
      </c>
      <c r="H56" s="3">
        <f t="shared" si="31"/>
        <v>0</v>
      </c>
      <c r="I56" s="3">
        <f t="shared" si="31"/>
        <v>0</v>
      </c>
      <c r="J56" s="3">
        <f t="shared" si="31"/>
        <v>0</v>
      </c>
      <c r="K56" s="3">
        <f t="shared" si="31"/>
        <v>0</v>
      </c>
      <c r="L56" s="3">
        <f t="shared" si="31"/>
        <v>0</v>
      </c>
      <c r="M56" s="3">
        <f>-M49</f>
        <v>17.554216945049493</v>
      </c>
      <c r="N56" s="3">
        <f t="shared" ref="N56:W56" si="32">M56-N55</f>
        <v>13.066082219565441</v>
      </c>
      <c r="O56" s="3">
        <f t="shared" si="32"/>
        <v>8.7462525462870424</v>
      </c>
      <c r="P56" s="3">
        <f t="shared" si="32"/>
        <v>4.5947279252142952</v>
      </c>
      <c r="Q56" s="3">
        <f t="shared" si="32"/>
        <v>0.61150835634719947</v>
      </c>
      <c r="R56" s="3">
        <f t="shared" si="32"/>
        <v>0</v>
      </c>
      <c r="S56" s="3">
        <f t="shared" si="32"/>
        <v>0</v>
      </c>
      <c r="T56" s="3">
        <f t="shared" si="32"/>
        <v>0</v>
      </c>
      <c r="U56" s="3">
        <f t="shared" si="32"/>
        <v>0</v>
      </c>
      <c r="V56" s="3">
        <f t="shared" si="32"/>
        <v>0</v>
      </c>
      <c r="W56" s="3">
        <f t="shared" si="32"/>
        <v>0</v>
      </c>
    </row>
    <row r="58" spans="2:24" x14ac:dyDescent="0.25">
      <c r="B58" t="s">
        <v>33</v>
      </c>
      <c r="D58" s="3">
        <f t="shared" ref="D58:W58" si="33">D47-D55</f>
        <v>10.472314359462784</v>
      </c>
      <c r="E58" s="3">
        <f t="shared" si="33"/>
        <v>10.07960257098293</v>
      </c>
      <c r="F58" s="3">
        <f t="shared" si="33"/>
        <v>9.6868907825030757</v>
      </c>
      <c r="G58" s="3">
        <f t="shared" si="33"/>
        <v>9.2941789940232216</v>
      </c>
      <c r="H58" s="3">
        <f t="shared" si="33"/>
        <v>10.023500886914386</v>
      </c>
      <c r="I58" s="3">
        <f t="shared" si="33"/>
        <v>12.155364881519306</v>
      </c>
      <c r="J58" s="3">
        <f t="shared" si="33"/>
        <v>11.5943480408338</v>
      </c>
      <c r="K58" s="3">
        <f t="shared" si="33"/>
        <v>11.033331200148293</v>
      </c>
      <c r="L58" s="3">
        <f t="shared" si="33"/>
        <v>10.472314359462786</v>
      </c>
      <c r="M58" s="3">
        <f t="shared" si="33"/>
        <v>-10.616308681905398</v>
      </c>
      <c r="N58" s="3">
        <f t="shared" si="33"/>
        <v>10.472314359462786</v>
      </c>
      <c r="O58" s="3">
        <f t="shared" si="33"/>
        <v>10.07960257098293</v>
      </c>
      <c r="P58" s="3">
        <f t="shared" si="33"/>
        <v>9.6868907825030757</v>
      </c>
      <c r="Q58" s="3">
        <f t="shared" si="33"/>
        <v>9.2941789940232216</v>
      </c>
      <c r="R58" s="3">
        <f t="shared" si="33"/>
        <v>12.104873365857612</v>
      </c>
      <c r="S58" s="3">
        <f t="shared" si="33"/>
        <v>12.155364881519306</v>
      </c>
      <c r="T58" s="3">
        <f t="shared" si="33"/>
        <v>11.5943480408338</v>
      </c>
      <c r="U58" s="3">
        <f t="shared" si="33"/>
        <v>11.033331200148293</v>
      </c>
      <c r="V58" s="3">
        <f t="shared" si="33"/>
        <v>10.472314359462786</v>
      </c>
      <c r="W58" s="3">
        <f t="shared" si="33"/>
        <v>9.91129751877728</v>
      </c>
    </row>
    <row r="59" spans="2:24" ht="30" x14ac:dyDescent="0.25">
      <c r="B59" s="21" t="s">
        <v>39</v>
      </c>
      <c r="D59" s="3">
        <f t="shared" ref="D59:W59" si="34">D58-D29</f>
        <v>-1.6830505220565186</v>
      </c>
      <c r="E59" s="3">
        <f t="shared" si="34"/>
        <v>-1.5147454698508671</v>
      </c>
      <c r="F59" s="3">
        <f t="shared" si="34"/>
        <v>-1.3464404176452156</v>
      </c>
      <c r="G59" s="3">
        <f t="shared" si="34"/>
        <v>-1.1781353654395641</v>
      </c>
      <c r="H59" s="3">
        <f t="shared" si="34"/>
        <v>0.11220336813710752</v>
      </c>
      <c r="I59" s="3">
        <f t="shared" si="34"/>
        <v>2.8050842034275334</v>
      </c>
      <c r="J59" s="3">
        <f t="shared" si="34"/>
        <v>2.8050842034275334</v>
      </c>
      <c r="K59" s="3">
        <f t="shared" si="34"/>
        <v>2.8050842034275334</v>
      </c>
      <c r="L59" s="3">
        <f t="shared" si="34"/>
        <v>2.8050842034275325</v>
      </c>
      <c r="M59" s="3">
        <f t="shared" si="34"/>
        <v>-17.722521997255146</v>
      </c>
      <c r="N59" s="3">
        <f t="shared" si="34"/>
        <v>-1.6830505220565204</v>
      </c>
      <c r="O59" s="3">
        <f t="shared" si="34"/>
        <v>-1.5147454698508671</v>
      </c>
      <c r="P59" s="3">
        <f t="shared" si="34"/>
        <v>-1.3464404176452156</v>
      </c>
      <c r="Q59" s="3">
        <f t="shared" si="34"/>
        <v>-1.1781353654395641</v>
      </c>
      <c r="R59" s="3">
        <f t="shared" si="34"/>
        <v>2.1935758470803339</v>
      </c>
      <c r="S59" s="3">
        <f t="shared" si="34"/>
        <v>2.8050842034275334</v>
      </c>
      <c r="T59" s="3">
        <f t="shared" si="34"/>
        <v>2.8050842034275334</v>
      </c>
      <c r="U59" s="3">
        <f t="shared" si="34"/>
        <v>2.8050842034275334</v>
      </c>
      <c r="V59" s="3">
        <f t="shared" si="34"/>
        <v>2.8050842034275325</v>
      </c>
      <c r="W59" s="3">
        <f t="shared" si="34"/>
        <v>2.8050842034275325</v>
      </c>
    </row>
    <row r="60" spans="2:24" x14ac:dyDescent="0.25">
      <c r="B60" t="s">
        <v>32</v>
      </c>
      <c r="D60" s="14">
        <f>D51/(1+$C$2)^D6/$C$44</f>
        <v>0.15094339622641509</v>
      </c>
      <c r="E60" s="14">
        <f t="shared" ref="E60:W60" si="35">E51/(1+$C$2)^E6/$C$44+D60</f>
        <v>0.28800284798860798</v>
      </c>
      <c r="F60" s="14">
        <f t="shared" si="35"/>
        <v>0.41226650187738867</v>
      </c>
      <c r="G60" s="14">
        <f t="shared" si="35"/>
        <v>0.52474380205718762</v>
      </c>
      <c r="H60" s="14">
        <f t="shared" si="35"/>
        <v>0.62637091356697139</v>
      </c>
      <c r="I60" s="14">
        <f t="shared" si="35"/>
        <v>0.71801578382412934</v>
      </c>
      <c r="J60" s="14">
        <f t="shared" si="35"/>
        <v>0.80048286591329898</v>
      </c>
      <c r="K60" s="14">
        <f t="shared" si="35"/>
        <v>0.87451752573163455</v>
      </c>
      <c r="L60" s="14">
        <f t="shared" si="35"/>
        <v>0.94081015364699738</v>
      </c>
      <c r="M60" s="14">
        <f t="shared" si="35"/>
        <v>0.99999999999999989</v>
      </c>
      <c r="N60" s="14">
        <f t="shared" si="35"/>
        <v>1.0842860040626592</v>
      </c>
      <c r="O60" s="14">
        <f t="shared" si="35"/>
        <v>1.1608192860535174</v>
      </c>
      <c r="P60" s="14">
        <f t="shared" si="35"/>
        <v>1.2302074613454004</v>
      </c>
      <c r="Q60" s="14">
        <f t="shared" si="35"/>
        <v>1.293014198287314</v>
      </c>
      <c r="R60" s="14">
        <f t="shared" si="35"/>
        <v>1.3497622465473476</v>
      </c>
      <c r="S60" s="14">
        <f t="shared" si="35"/>
        <v>1.4009362634300082</v>
      </c>
      <c r="T60" s="14">
        <f t="shared" si="35"/>
        <v>1.4469854513360307</v>
      </c>
      <c r="U60" s="14">
        <f t="shared" si="35"/>
        <v>1.4883260186892768</v>
      </c>
      <c r="V60" s="14">
        <f t="shared" si="35"/>
        <v>1.5253434758651927</v>
      </c>
      <c r="W60" s="14">
        <f t="shared" si="35"/>
        <v>1.5583947769151176</v>
      </c>
    </row>
    <row r="62" spans="2:24" x14ac:dyDescent="0.25">
      <c r="D62" s="3">
        <f>D47+C47</f>
        <v>-4.6751403390458837</v>
      </c>
      <c r="E62" s="3">
        <f t="shared" ref="E62:M62" si="36">E47</f>
        <v>14.399432244261329</v>
      </c>
      <c r="F62" s="3">
        <f t="shared" si="36"/>
        <v>13.838415403575823</v>
      </c>
      <c r="G62" s="3">
        <f t="shared" si="36"/>
        <v>13.277398562890317</v>
      </c>
      <c r="H62" s="3">
        <f t="shared" si="36"/>
        <v>12.716381722204812</v>
      </c>
      <c r="I62" s="3">
        <f t="shared" si="36"/>
        <v>12.155364881519306</v>
      </c>
      <c r="J62" s="3">
        <f t="shared" si="36"/>
        <v>11.5943480408338</v>
      </c>
      <c r="K62" s="3">
        <f t="shared" si="36"/>
        <v>11.033331200148293</v>
      </c>
      <c r="L62" s="3">
        <f t="shared" si="36"/>
        <v>10.472314359462786</v>
      </c>
      <c r="M62" s="3">
        <f t="shared" si="36"/>
        <v>-10.616308681905398</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4:F10"/>
  <sheetViews>
    <sheetView workbookViewId="0">
      <selection activeCell="D4" sqref="D4:F10"/>
    </sheetView>
  </sheetViews>
  <sheetFormatPr defaultRowHeight="15" x14ac:dyDescent="0.25"/>
  <cols>
    <col min="4" max="4" width="35.140625" customWidth="1"/>
    <col min="5" max="5" width="33.5703125" bestFit="1" customWidth="1"/>
    <col min="6" max="6" width="24.85546875" customWidth="1"/>
  </cols>
  <sheetData>
    <row r="4" spans="4:6" x14ac:dyDescent="0.25">
      <c r="D4" s="2" t="s">
        <v>10</v>
      </c>
      <c r="E4" s="2" t="s">
        <v>11</v>
      </c>
      <c r="F4" s="2" t="s">
        <v>12</v>
      </c>
    </row>
    <row r="5" spans="4:6" x14ac:dyDescent="0.25">
      <c r="D5" t="s">
        <v>13</v>
      </c>
      <c r="E5" t="s">
        <v>16</v>
      </c>
      <c r="F5" t="s">
        <v>14</v>
      </c>
    </row>
    <row r="6" spans="4:6" x14ac:dyDescent="0.25">
      <c r="D6" t="s">
        <v>15</v>
      </c>
      <c r="E6" t="s">
        <v>17</v>
      </c>
      <c r="F6" t="s">
        <v>14</v>
      </c>
    </row>
    <row r="7" spans="4:6" x14ac:dyDescent="0.25">
      <c r="D7" t="s">
        <v>2</v>
      </c>
      <c r="E7" t="s">
        <v>24</v>
      </c>
      <c r="F7" t="s">
        <v>14</v>
      </c>
    </row>
    <row r="8" spans="4:6" x14ac:dyDescent="0.25">
      <c r="D8" t="s">
        <v>18</v>
      </c>
      <c r="E8" t="s">
        <v>19</v>
      </c>
      <c r="F8" t="s">
        <v>16</v>
      </c>
    </row>
    <row r="9" spans="4:6" x14ac:dyDescent="0.25">
      <c r="D9" t="s">
        <v>20</v>
      </c>
      <c r="E9" t="s">
        <v>21</v>
      </c>
      <c r="F9" t="s">
        <v>22</v>
      </c>
    </row>
    <row r="10" spans="4:6" x14ac:dyDescent="0.25">
      <c r="D10" t="s">
        <v>23</v>
      </c>
      <c r="E10" t="s">
        <v>25</v>
      </c>
      <c r="F10"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University of Queensland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Gray</dc:creator>
  <cp:lastModifiedBy>OW</cp:lastModifiedBy>
  <dcterms:created xsi:type="dcterms:W3CDTF">2018-11-05T02:31:07Z</dcterms:created>
  <dcterms:modified xsi:type="dcterms:W3CDTF">2018-12-05T06:19:08Z</dcterms:modified>
</cp:coreProperties>
</file>