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https://d.docs.live.net/4dd644382cc089ae/Documents/AER-CCP/Tax/Rersearch/"/>
    </mc:Choice>
  </mc:AlternateContent>
  <xr:revisionPtr revIDLastSave="0" documentId="8_{E1290D5F-ADE1-4709-889B-1CD040D946D4}" xr6:coauthVersionLast="38" xr6:coauthVersionMax="38" xr10:uidLastSave="{00000000-0000-0000-0000-000000000000}"/>
  <bookViews>
    <workbookView xWindow="0" yWindow="0" windowWidth="22560" windowHeight="10400" xr2:uid="{00000000-000D-0000-FFFF-FFFF00000000}"/>
  </bookViews>
  <sheets>
    <sheet name="Sheet1" sheetId="1" r:id="rId1"/>
    <sheet name="Sheet2" sheetId="2" r:id="rId2"/>
  </sheets>
  <calcPr calcId="179021"/>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6" i="1" l="1"/>
  <c r="C44" i="1"/>
  <c r="C45" i="1" s="1"/>
  <c r="C54" i="1" s="1"/>
  <c r="C42" i="1"/>
  <c r="D41" i="1"/>
  <c r="C25" i="1"/>
  <c r="C29" i="1" s="1"/>
  <c r="D24" i="1"/>
  <c r="C10" i="1"/>
  <c r="D9" i="1"/>
  <c r="D10" i="1" s="1"/>
  <c r="D42" i="1" l="1"/>
  <c r="E43" i="1" s="1"/>
  <c r="D26" i="1"/>
  <c r="D27" i="1" s="1"/>
  <c r="D43" i="1"/>
  <c r="D11" i="1"/>
  <c r="D12" i="1" s="1"/>
  <c r="D13" i="1" s="1"/>
  <c r="E9" i="1"/>
  <c r="F9" i="1" s="1"/>
  <c r="G9" i="1" s="1"/>
  <c r="H9" i="1" s="1"/>
  <c r="I9" i="1" s="1"/>
  <c r="J9" i="1" s="1"/>
  <c r="K9" i="1" s="1"/>
  <c r="L9" i="1" s="1"/>
  <c r="M9" i="1" s="1"/>
  <c r="N9" i="1" s="1"/>
  <c r="O9" i="1" s="1"/>
  <c r="P9" i="1" s="1"/>
  <c r="Q9" i="1" s="1"/>
  <c r="R9" i="1" s="1"/>
  <c r="S9" i="1" s="1"/>
  <c r="T9" i="1" s="1"/>
  <c r="U9" i="1" s="1"/>
  <c r="V9" i="1" s="1"/>
  <c r="W9" i="1" s="1"/>
  <c r="C47" i="1"/>
  <c r="E41" i="1"/>
  <c r="C30" i="1"/>
  <c r="E24" i="1"/>
  <c r="D25" i="1"/>
  <c r="E11" i="1"/>
  <c r="E12" i="1" s="1"/>
  <c r="D44" i="1" l="1"/>
  <c r="I39" i="1"/>
  <c r="J39" i="1" s="1"/>
  <c r="E44" i="1"/>
  <c r="D28" i="1"/>
  <c r="D29" i="1" s="1"/>
  <c r="C32" i="1"/>
  <c r="E42" i="1"/>
  <c r="F43" i="1" s="1"/>
  <c r="D14" i="1"/>
  <c r="D15" i="1" s="1"/>
  <c r="D17" i="1" s="1"/>
  <c r="D20" i="1" s="1"/>
  <c r="E13" i="1"/>
  <c r="E10" i="1"/>
  <c r="F41" i="1"/>
  <c r="F44" i="1" s="1"/>
  <c r="E25" i="1"/>
  <c r="E26" i="1"/>
  <c r="E27" i="1" s="1"/>
  <c r="F24" i="1"/>
  <c r="D30" i="1" l="1"/>
  <c r="D32" i="1"/>
  <c r="D37" i="1"/>
  <c r="F42" i="1"/>
  <c r="G43" i="1" s="1"/>
  <c r="G41" i="1"/>
  <c r="E14" i="1"/>
  <c r="E15" i="1" s="1"/>
  <c r="E17" i="1" s="1"/>
  <c r="E20" i="1" s="1"/>
  <c r="F10" i="1"/>
  <c r="F11" i="1"/>
  <c r="G24" i="1"/>
  <c r="E28" i="1"/>
  <c r="F26" i="1"/>
  <c r="F27" i="1" s="1"/>
  <c r="F25" i="1"/>
  <c r="G44" i="1" l="1"/>
  <c r="E37" i="1"/>
  <c r="G42" i="1"/>
  <c r="H43" i="1" s="1"/>
  <c r="H41" i="1"/>
  <c r="F12" i="1"/>
  <c r="F13" i="1" s="1"/>
  <c r="E29" i="1"/>
  <c r="G11" i="1"/>
  <c r="G12" i="1" s="1"/>
  <c r="G13" i="1" s="1"/>
  <c r="G10" i="1"/>
  <c r="H24" i="1"/>
  <c r="G26" i="1"/>
  <c r="G27" i="1" s="1"/>
  <c r="G28" i="1" s="1"/>
  <c r="G25" i="1"/>
  <c r="F28" i="1"/>
  <c r="E30" i="1" l="1"/>
  <c r="E32" i="1"/>
  <c r="H44" i="1"/>
  <c r="F37" i="1"/>
  <c r="G37" i="1"/>
  <c r="I41" i="1"/>
  <c r="H42" i="1"/>
  <c r="I43" i="1" s="1"/>
  <c r="G14" i="1"/>
  <c r="G15" i="1" s="1"/>
  <c r="G17" i="1" s="1"/>
  <c r="F14" i="1"/>
  <c r="F15" i="1" s="1"/>
  <c r="F17" i="1" s="1"/>
  <c r="F20" i="1" s="1"/>
  <c r="G29" i="1"/>
  <c r="H11" i="1"/>
  <c r="H10" i="1"/>
  <c r="F29" i="1"/>
  <c r="H26" i="1"/>
  <c r="H27" i="1" s="1"/>
  <c r="H25" i="1"/>
  <c r="I24" i="1"/>
  <c r="F30" i="1" l="1"/>
  <c r="F32" i="1" s="1"/>
  <c r="G30" i="1"/>
  <c r="G32" i="1"/>
  <c r="J41" i="1"/>
  <c r="K41" i="1" s="1"/>
  <c r="I44" i="1"/>
  <c r="I42" i="1"/>
  <c r="J43" i="1" s="1"/>
  <c r="G20" i="1"/>
  <c r="I10" i="1"/>
  <c r="I11" i="1"/>
  <c r="I12" i="1" s="1"/>
  <c r="I13" i="1" s="1"/>
  <c r="H12" i="1"/>
  <c r="H13" i="1" s="1"/>
  <c r="H28" i="1"/>
  <c r="J24" i="1"/>
  <c r="I26" i="1"/>
  <c r="I27" i="1" s="1"/>
  <c r="I25" i="1"/>
  <c r="J44" i="1" l="1"/>
  <c r="H37" i="1"/>
  <c r="J42" i="1"/>
  <c r="K42" i="1" s="1"/>
  <c r="H14" i="1"/>
  <c r="H15" i="1" s="1"/>
  <c r="H17" i="1" s="1"/>
  <c r="H20" i="1" s="1"/>
  <c r="I14" i="1"/>
  <c r="I15" i="1" s="1"/>
  <c r="I17" i="1" s="1"/>
  <c r="H29" i="1"/>
  <c r="J10" i="1"/>
  <c r="J11" i="1"/>
  <c r="L41" i="1"/>
  <c r="I28" i="1"/>
  <c r="K24" i="1"/>
  <c r="J26" i="1"/>
  <c r="J27" i="1" s="1"/>
  <c r="J25" i="1"/>
  <c r="K43" i="1" l="1"/>
  <c r="H30" i="1"/>
  <c r="H32" i="1" s="1"/>
  <c r="C34" i="1" s="1"/>
  <c r="D34" i="1" s="1"/>
  <c r="I37" i="1"/>
  <c r="I20" i="1"/>
  <c r="C19" i="1"/>
  <c r="D19" i="1" s="1"/>
  <c r="K11" i="1"/>
  <c r="K10" i="1"/>
  <c r="I29" i="1"/>
  <c r="J12" i="1"/>
  <c r="J13" i="1" s="1"/>
  <c r="K44" i="1"/>
  <c r="M41" i="1"/>
  <c r="L42" i="1"/>
  <c r="L43" i="1"/>
  <c r="J28" i="1"/>
  <c r="L24" i="1"/>
  <c r="K26" i="1"/>
  <c r="K27" i="1" s="1"/>
  <c r="K25" i="1"/>
  <c r="I30" i="1" l="1"/>
  <c r="I32" i="1" s="1"/>
  <c r="J37" i="1"/>
  <c r="K45" i="1"/>
  <c r="J14" i="1"/>
  <c r="J15" i="1" s="1"/>
  <c r="J17" i="1" s="1"/>
  <c r="J20" i="1" s="1"/>
  <c r="L10" i="1"/>
  <c r="L11" i="1"/>
  <c r="J29" i="1"/>
  <c r="K12" i="1"/>
  <c r="K13" i="1" s="1"/>
  <c r="L44" i="1"/>
  <c r="N41" i="1"/>
  <c r="M43" i="1"/>
  <c r="M42" i="1"/>
  <c r="M24" i="1"/>
  <c r="K28" i="1"/>
  <c r="L26" i="1"/>
  <c r="L27" i="1" s="1"/>
  <c r="L25" i="1"/>
  <c r="K60" i="1" l="1"/>
  <c r="J30" i="1"/>
  <c r="J32" i="1" s="1"/>
  <c r="K37" i="1"/>
  <c r="L45" i="1"/>
  <c r="K46" i="1"/>
  <c r="K47" i="1" s="1"/>
  <c r="K49" i="1" s="1"/>
  <c r="K14" i="1"/>
  <c r="K15" i="1" s="1"/>
  <c r="K17" i="1" s="1"/>
  <c r="K20" i="1" s="1"/>
  <c r="L12" i="1"/>
  <c r="L13" i="1" s="1"/>
  <c r="K29" i="1"/>
  <c r="M11" i="1"/>
  <c r="M12" i="1" s="1"/>
  <c r="M13" i="1" s="1"/>
  <c r="M10" i="1"/>
  <c r="M44" i="1"/>
  <c r="O41" i="1"/>
  <c r="N43" i="1"/>
  <c r="N44" i="1" s="1"/>
  <c r="N42" i="1"/>
  <c r="N24" i="1"/>
  <c r="M26" i="1"/>
  <c r="M27" i="1" s="1"/>
  <c r="M25" i="1"/>
  <c r="L28" i="1"/>
  <c r="L60" i="1" l="1"/>
  <c r="K30" i="1"/>
  <c r="K32" i="1" s="1"/>
  <c r="L37" i="1"/>
  <c r="M45" i="1"/>
  <c r="L46" i="1"/>
  <c r="L47" i="1" s="1"/>
  <c r="L49" i="1" s="1"/>
  <c r="M14" i="1"/>
  <c r="M15" i="1" s="1"/>
  <c r="M17" i="1" s="1"/>
  <c r="L14" i="1"/>
  <c r="L15" i="1" s="1"/>
  <c r="L17" i="1" s="1"/>
  <c r="L20" i="1" s="1"/>
  <c r="N11" i="1"/>
  <c r="N10" i="1"/>
  <c r="L29" i="1"/>
  <c r="N45" i="1"/>
  <c r="O43" i="1"/>
  <c r="O44" i="1" s="1"/>
  <c r="O42" i="1"/>
  <c r="P41" i="1"/>
  <c r="M28" i="1"/>
  <c r="O24" i="1"/>
  <c r="N26" i="1"/>
  <c r="N27" i="1" s="1"/>
  <c r="N25" i="1"/>
  <c r="M60" i="1" l="1"/>
  <c r="L30" i="1"/>
  <c r="L32" i="1" s="1"/>
  <c r="M46" i="1"/>
  <c r="M47" i="1" s="1"/>
  <c r="M49" i="1" s="1"/>
  <c r="M37" i="1"/>
  <c r="M20" i="1"/>
  <c r="N46" i="1"/>
  <c r="N47" i="1" s="1"/>
  <c r="N49" i="1" s="1"/>
  <c r="M29" i="1"/>
  <c r="O10" i="1"/>
  <c r="O11" i="1"/>
  <c r="O12" i="1" s="1"/>
  <c r="O13" i="1" s="1"/>
  <c r="O14" i="1" s="1"/>
  <c r="O15" i="1" s="1"/>
  <c r="N12" i="1"/>
  <c r="N13" i="1" s="1"/>
  <c r="P43" i="1"/>
  <c r="P42" i="1"/>
  <c r="Q41" i="1"/>
  <c r="O45" i="1"/>
  <c r="O26" i="1"/>
  <c r="O27" i="1" s="1"/>
  <c r="O25" i="1"/>
  <c r="P24" i="1"/>
  <c r="N28" i="1"/>
  <c r="M30" i="1" l="1"/>
  <c r="M32" i="1" s="1"/>
  <c r="N37" i="1"/>
  <c r="N14" i="1"/>
  <c r="N15" i="1" s="1"/>
  <c r="N17" i="1" s="1"/>
  <c r="N20" i="1" s="1"/>
  <c r="O17" i="1"/>
  <c r="N29" i="1"/>
  <c r="P10" i="1"/>
  <c r="P11" i="1"/>
  <c r="O28" i="1"/>
  <c r="P44" i="1"/>
  <c r="R41" i="1"/>
  <c r="Q43" i="1"/>
  <c r="Q44" i="1" s="1"/>
  <c r="Q42" i="1"/>
  <c r="O46" i="1"/>
  <c r="O47" i="1" s="1"/>
  <c r="O49" i="1" s="1"/>
  <c r="P26" i="1"/>
  <c r="P27" i="1" s="1"/>
  <c r="P25" i="1"/>
  <c r="Q24" i="1"/>
  <c r="N30" i="1" l="1"/>
  <c r="N32" i="1" s="1"/>
  <c r="O37" i="1"/>
  <c r="O20" i="1"/>
  <c r="P45" i="1"/>
  <c r="Q10" i="1"/>
  <c r="Q11" i="1"/>
  <c r="Q12" i="1" s="1"/>
  <c r="Q13" i="1" s="1"/>
  <c r="O29" i="1"/>
  <c r="P12" i="1"/>
  <c r="P13" i="1" s="1"/>
  <c r="R43" i="1"/>
  <c r="R44" i="1" s="1"/>
  <c r="R42" i="1"/>
  <c r="S41" i="1"/>
  <c r="Q45" i="1"/>
  <c r="Q25" i="1"/>
  <c r="Q26" i="1"/>
  <c r="Q27" i="1" s="1"/>
  <c r="R24" i="1"/>
  <c r="P28" i="1"/>
  <c r="O30" i="1" l="1"/>
  <c r="O32" i="1" s="1"/>
  <c r="P37" i="1"/>
  <c r="P46" i="1"/>
  <c r="P47" i="1" s="1"/>
  <c r="P49" i="1" s="1"/>
  <c r="R45" i="1"/>
  <c r="P14" i="1"/>
  <c r="P15" i="1" s="1"/>
  <c r="P17" i="1" s="1"/>
  <c r="P20" i="1" s="1"/>
  <c r="Q14" i="1"/>
  <c r="Q15" i="1" s="1"/>
  <c r="Q17" i="1" s="1"/>
  <c r="P29" i="1"/>
  <c r="R10" i="1"/>
  <c r="R11" i="1"/>
  <c r="Q28" i="1"/>
  <c r="T41" i="1"/>
  <c r="S43" i="1"/>
  <c r="S44" i="1" s="1"/>
  <c r="S42" i="1"/>
  <c r="Q46" i="1"/>
  <c r="Q47" i="1" s="1"/>
  <c r="Q49" i="1" s="1"/>
  <c r="S24" i="1"/>
  <c r="R26" i="1"/>
  <c r="R27" i="1" s="1"/>
  <c r="R25" i="1"/>
  <c r="P30" i="1" l="1"/>
  <c r="P32" i="1" s="1"/>
  <c r="Q37" i="1"/>
  <c r="Q20" i="1"/>
  <c r="R46" i="1"/>
  <c r="R47" i="1" s="1"/>
  <c r="R49" i="1" s="1"/>
  <c r="S11" i="1"/>
  <c r="S10" i="1"/>
  <c r="Q29" i="1"/>
  <c r="R12" i="1"/>
  <c r="R13" i="1" s="1"/>
  <c r="T42" i="1"/>
  <c r="T43" i="1"/>
  <c r="T44" i="1" s="1"/>
  <c r="U41" i="1"/>
  <c r="S45" i="1"/>
  <c r="R28" i="1"/>
  <c r="T24" i="1"/>
  <c r="S26" i="1"/>
  <c r="S27" i="1" s="1"/>
  <c r="S25" i="1"/>
  <c r="Q30" i="1" l="1"/>
  <c r="Q32" i="1" s="1"/>
  <c r="R37" i="1"/>
  <c r="R14" i="1"/>
  <c r="R15" i="1" s="1"/>
  <c r="R17" i="1" s="1"/>
  <c r="R20" i="1" s="1"/>
  <c r="T11" i="1"/>
  <c r="T10" i="1"/>
  <c r="S12" i="1"/>
  <c r="S13" i="1" s="1"/>
  <c r="R29" i="1"/>
  <c r="V41" i="1"/>
  <c r="T45" i="1"/>
  <c r="S46" i="1"/>
  <c r="S47" i="1" s="1"/>
  <c r="S49" i="1" s="1"/>
  <c r="U43" i="1"/>
  <c r="U44" i="1" s="1"/>
  <c r="U42" i="1"/>
  <c r="T26" i="1"/>
  <c r="T27" i="1" s="1"/>
  <c r="T25" i="1"/>
  <c r="U24" i="1"/>
  <c r="S28" i="1"/>
  <c r="R30" i="1" l="1"/>
  <c r="R32" i="1" s="1"/>
  <c r="S37" i="1"/>
  <c r="S14" i="1"/>
  <c r="S15" i="1" s="1"/>
  <c r="S17" i="1" s="1"/>
  <c r="S20" i="1" s="1"/>
  <c r="U11" i="1"/>
  <c r="U10" i="1"/>
  <c r="S29" i="1"/>
  <c r="T12" i="1"/>
  <c r="T13" i="1" s="1"/>
  <c r="V43" i="1"/>
  <c r="V44" i="1" s="1"/>
  <c r="V42" i="1"/>
  <c r="W41" i="1"/>
  <c r="T46" i="1"/>
  <c r="T47" i="1" s="1"/>
  <c r="T49" i="1" s="1"/>
  <c r="U45" i="1"/>
  <c r="T28" i="1"/>
  <c r="U25" i="1"/>
  <c r="U26" i="1"/>
  <c r="U27" i="1" s="1"/>
  <c r="V24" i="1"/>
  <c r="S30" i="1" l="1"/>
  <c r="S32" i="1" s="1"/>
  <c r="T37" i="1"/>
  <c r="V45" i="1"/>
  <c r="T14" i="1"/>
  <c r="T15" i="1" s="1"/>
  <c r="T17" i="1" s="1"/>
  <c r="T20" i="1" s="1"/>
  <c r="V10" i="1"/>
  <c r="V11" i="1"/>
  <c r="U12" i="1"/>
  <c r="U13" i="1" s="1"/>
  <c r="T29" i="1"/>
  <c r="W43" i="1"/>
  <c r="W44" i="1" s="1"/>
  <c r="W42" i="1"/>
  <c r="U46" i="1"/>
  <c r="U47" i="1" s="1"/>
  <c r="U49" i="1" s="1"/>
  <c r="U28" i="1"/>
  <c r="V26" i="1"/>
  <c r="V27" i="1" s="1"/>
  <c r="V28" i="1" s="1"/>
  <c r="V25" i="1"/>
  <c r="W24" i="1"/>
  <c r="T30" i="1" l="1"/>
  <c r="T32" i="1" s="1"/>
  <c r="V37" i="1"/>
  <c r="U37" i="1"/>
  <c r="V46" i="1"/>
  <c r="V47" i="1" s="1"/>
  <c r="V49" i="1" s="1"/>
  <c r="U14" i="1"/>
  <c r="U15" i="1" s="1"/>
  <c r="U17" i="1" s="1"/>
  <c r="U20" i="1" s="1"/>
  <c r="U29" i="1"/>
  <c r="V12" i="1"/>
  <c r="V13" i="1" s="1"/>
  <c r="V29" i="1"/>
  <c r="W11" i="1"/>
  <c r="W10" i="1"/>
  <c r="W45" i="1"/>
  <c r="W26" i="1"/>
  <c r="W27" i="1" s="1"/>
  <c r="W25" i="1"/>
  <c r="U30" i="1" l="1"/>
  <c r="U32" i="1" s="1"/>
  <c r="V30" i="1"/>
  <c r="V32" i="1"/>
  <c r="V14" i="1"/>
  <c r="V15" i="1" s="1"/>
  <c r="V17" i="1" s="1"/>
  <c r="V20" i="1" s="1"/>
  <c r="W12" i="1"/>
  <c r="W13" i="1" s="1"/>
  <c r="W46" i="1"/>
  <c r="W47" i="1" s="1"/>
  <c r="W49" i="1" s="1"/>
  <c r="W28" i="1"/>
  <c r="W37" i="1" l="1"/>
  <c r="W29" i="1"/>
  <c r="W14" i="1"/>
  <c r="W15" i="1" s="1"/>
  <c r="W17" i="1" s="1"/>
  <c r="W20" i="1" s="1"/>
  <c r="W30" i="1" l="1"/>
  <c r="W32" i="1" s="1"/>
  <c r="C33" i="1" s="1"/>
  <c r="C18" i="1"/>
  <c r="E45" i="1" l="1"/>
  <c r="F45" i="1"/>
  <c r="G45" i="1"/>
  <c r="I45" i="1"/>
  <c r="I46" i="1"/>
  <c r="I47" i="1" s="1"/>
  <c r="H45" i="1"/>
  <c r="J45" i="1"/>
  <c r="J46" i="1" l="1"/>
  <c r="J47" i="1" s="1"/>
  <c r="J49" i="1"/>
  <c r="G60" i="1"/>
  <c r="H60" i="1"/>
  <c r="F60" i="1"/>
  <c r="I49" i="1"/>
  <c r="I60" i="1"/>
  <c r="G46" i="1"/>
  <c r="G47" i="1" s="1"/>
  <c r="G49" i="1" s="1"/>
  <c r="E46" i="1"/>
  <c r="E47" i="1" s="1"/>
  <c r="E49" i="1" s="1"/>
  <c r="E60" i="1"/>
  <c r="F46" i="1"/>
  <c r="F47" i="1" s="1"/>
  <c r="F49" i="1" s="1"/>
  <c r="J60" i="1"/>
  <c r="H46" i="1"/>
  <c r="H47" i="1" s="1"/>
  <c r="H49" i="1" s="1"/>
  <c r="D53" i="1"/>
  <c r="D54" i="1" s="1"/>
  <c r="E53" i="1" s="1"/>
  <c r="D45" i="1"/>
  <c r="D46" i="1" l="1"/>
  <c r="D47" i="1" s="1"/>
  <c r="D49" i="1" s="1"/>
  <c r="D56" i="1"/>
  <c r="D57" i="1" s="1"/>
  <c r="E54" i="1"/>
  <c r="E56" i="1"/>
  <c r="E57" i="1" s="1"/>
  <c r="D60" i="1"/>
  <c r="F53" i="1" l="1"/>
  <c r="F56" i="1" s="1"/>
  <c r="F57" i="1" s="1"/>
  <c r="C50" i="1"/>
  <c r="C51" i="1"/>
  <c r="D51" i="1" s="1"/>
  <c r="D58" i="1"/>
  <c r="E58" i="1" s="1"/>
  <c r="F58" i="1" s="1"/>
  <c r="G58" i="1" s="1"/>
  <c r="H58" i="1" s="1"/>
  <c r="I58" i="1" s="1"/>
  <c r="J58" i="1" s="1"/>
  <c r="K58" i="1" s="1"/>
  <c r="L58" i="1" s="1"/>
  <c r="M58" i="1" s="1"/>
  <c r="N58" i="1" s="1"/>
  <c r="O58" i="1" s="1"/>
  <c r="P58" i="1" s="1"/>
  <c r="Q58" i="1" s="1"/>
  <c r="R58" i="1" s="1"/>
  <c r="S58" i="1" s="1"/>
  <c r="T58" i="1" s="1"/>
  <c r="U58" i="1" s="1"/>
  <c r="V58" i="1" s="1"/>
  <c r="W58" i="1" s="1"/>
  <c r="F54" i="1" l="1"/>
  <c r="G53" i="1"/>
  <c r="G56" i="1" s="1"/>
  <c r="G57" i="1" s="1"/>
  <c r="G54" i="1" l="1"/>
  <c r="H53" i="1" l="1"/>
  <c r="H56" i="1" s="1"/>
  <c r="H57" i="1" s="1"/>
  <c r="H54" i="1" l="1"/>
  <c r="I53" i="1"/>
  <c r="I56" i="1" s="1"/>
  <c r="I57" i="1" s="1"/>
  <c r="I54" i="1" l="1"/>
  <c r="J53" i="1"/>
  <c r="J56" i="1" s="1"/>
  <c r="J57" i="1" s="1"/>
  <c r="J54" i="1" l="1"/>
  <c r="K53" i="1" s="1"/>
  <c r="K56" i="1" s="1"/>
  <c r="K57" i="1" s="1"/>
  <c r="K54" i="1" l="1"/>
  <c r="L53" i="1" l="1"/>
  <c r="L56" i="1" s="1"/>
  <c r="L57" i="1" s="1"/>
  <c r="L54" i="1" l="1"/>
  <c r="M53" i="1"/>
  <c r="M56" i="1" s="1"/>
  <c r="M57" i="1" s="1"/>
  <c r="M54" i="1" l="1"/>
  <c r="N53" i="1"/>
  <c r="N56" i="1" s="1"/>
  <c r="N57" i="1" s="1"/>
  <c r="N54" i="1" l="1"/>
  <c r="O53" i="1"/>
  <c r="O56" i="1" s="1"/>
  <c r="O57" i="1" s="1"/>
  <c r="O54" i="1" l="1"/>
  <c r="P53" i="1" l="1"/>
  <c r="P56" i="1" s="1"/>
  <c r="P57" i="1" s="1"/>
  <c r="P54" i="1" l="1"/>
  <c r="Q53" i="1"/>
  <c r="Q56" i="1" s="1"/>
  <c r="Q57" i="1" s="1"/>
  <c r="Q54" i="1" l="1"/>
  <c r="R53" i="1" l="1"/>
  <c r="R56" i="1" s="1"/>
  <c r="R57" i="1" s="1"/>
  <c r="R54" i="1" l="1"/>
  <c r="S53" i="1"/>
  <c r="S56" i="1" s="1"/>
  <c r="S57" i="1" s="1"/>
  <c r="S54" i="1" l="1"/>
  <c r="T53" i="1" l="1"/>
  <c r="T56" i="1" s="1"/>
  <c r="T57" i="1" s="1"/>
  <c r="T54" i="1" l="1"/>
  <c r="U53" i="1" l="1"/>
  <c r="U56" i="1" s="1"/>
  <c r="U57" i="1" s="1"/>
  <c r="U54" i="1" l="1"/>
  <c r="V53" i="1" l="1"/>
  <c r="V56" i="1" s="1"/>
  <c r="V57" i="1" s="1"/>
  <c r="V54" i="1" l="1"/>
  <c r="W53" i="1" l="1"/>
  <c r="W56" i="1" s="1"/>
  <c r="W57" i="1" s="1"/>
  <c r="W54" i="1" l="1"/>
</calcChain>
</file>

<file path=xl/sharedStrings.xml><?xml version="1.0" encoding="utf-8"?>
<sst xmlns="http://schemas.openxmlformats.org/spreadsheetml/2006/main" count="71" uniqueCount="47">
  <si>
    <t>Year</t>
  </si>
  <si>
    <t>Replace asset</t>
  </si>
  <si>
    <t>Depreciation</t>
  </si>
  <si>
    <t>Asset value</t>
  </si>
  <si>
    <t>Return on capital</t>
  </si>
  <si>
    <t>WACC</t>
  </si>
  <si>
    <t>Allowed revenue</t>
  </si>
  <si>
    <t>NPV</t>
  </si>
  <si>
    <t>Taxable income</t>
  </si>
  <si>
    <t>Tax paid</t>
  </si>
  <si>
    <t>Tax</t>
  </si>
  <si>
    <t>Issue</t>
  </si>
  <si>
    <t>AER Position</t>
  </si>
  <si>
    <t>ENA position</t>
  </si>
  <si>
    <t>Actual tax pass through vs BEE approach</t>
  </si>
  <si>
    <t>Agree</t>
  </si>
  <si>
    <t>Entity structure and ownership</t>
  </si>
  <si>
    <t>Maintain BEE approach</t>
  </si>
  <si>
    <t>Maintain Australian corporate 30% rate</t>
  </si>
  <si>
    <t>Interest expense</t>
  </si>
  <si>
    <t>Still considering</t>
  </si>
  <si>
    <t>Refurbishments</t>
  </si>
  <si>
    <t>Reflect up-front deduction</t>
  </si>
  <si>
    <t>Maintain current approach</t>
  </si>
  <si>
    <t>Asset lives for gas pipelines</t>
  </si>
  <si>
    <t>Move to DV where appropriate</t>
  </si>
  <si>
    <t>Reflect 20-year asset life</t>
  </si>
  <si>
    <t>Tax allowance</t>
  </si>
  <si>
    <t>Net cash flow to firm</t>
  </si>
  <si>
    <t>Refurbish asset</t>
  </si>
  <si>
    <t>NPV5</t>
  </si>
  <si>
    <t>Refurb discount</t>
  </si>
  <si>
    <t>Tax loss balance</t>
  </si>
  <si>
    <t>Tax losses used</t>
  </si>
  <si>
    <t>NSP recovery</t>
  </si>
  <si>
    <t>Allowed revenue (TLCF)</t>
  </si>
  <si>
    <t>Reg depreciation</t>
  </si>
  <si>
    <t>Reg asset value</t>
  </si>
  <si>
    <t>Reg return on capital</t>
  </si>
  <si>
    <t>Total allowed revenue</t>
  </si>
  <si>
    <t>Case:</t>
  </si>
  <si>
    <t>IRR</t>
  </si>
  <si>
    <t>Difference from current approach</t>
  </si>
  <si>
    <t>Single project (eg pole replacement) that can either be expensed or capitalised for tax purposes.  AER treats it as capex for recovery of initial expenditure</t>
  </si>
  <si>
    <t>Outlay is capitalised  for tax</t>
  </si>
  <si>
    <t>Outlay expensed for tax purposes: Current AER approach (i.e. assumes it is capitalised)</t>
  </si>
  <si>
    <t>Outlay expensed for tax purposes: Proposed AER approach (i.e. assumes it is expensed)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</si>
</sst>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0.0%"/>
  </numFmts>
  <fonts count="5"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1"/>
      <color theme="1" tint="0.499984740745262"/>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rgb="FF00B0F0"/>
        <bgColor indexed="64"/>
      </patternFill>
    </fill>
  </fills>
  <borders count="2">
    <border>
      <left/>
      <right/>
      <top/>
      <bottom/>
      <diagonal/>
    </border>
    <border>
      <left/>
      <right/>
      <top/>
      <bottom style="medium">
        <color theme="4" tint="0.39997558519241921"/>
      </bottom>
      <diagonal/>
    </border>
  </borders>
  <cellStyleXfs count="3">
    <xf numFmtId="0" fontId="0" fillId="0" borderId="0"/>
    <xf numFmtId="9" fontId="1" fillId="0" borderId="0" applyFont="0" applyFill="0" applyBorder="0" applyAlignment="0" applyProtection="0"/>
    <xf numFmtId="0" fontId="2" fillId="0" borderId="1" applyNumberFormat="0" applyFill="0" applyAlignment="0" applyProtection="0"/>
  </cellStyleXfs>
  <cellXfs count="22">
    <xf numFmtId="0" fontId="0" fillId="0" borderId="0" xfId="0"/>
    <xf numFmtId="164" fontId="0" fillId="0" borderId="0" xfId="0" applyNumberFormat="1"/>
    <xf numFmtId="0" fontId="3" fillId="0" borderId="0" xfId="0" applyFont="1"/>
    <xf numFmtId="2" fontId="0" fillId="0" borderId="0" xfId="0" applyNumberFormat="1"/>
    <xf numFmtId="2" fontId="0" fillId="2" borderId="0" xfId="0" applyNumberFormat="1" applyFill="1"/>
    <xf numFmtId="0" fontId="0" fillId="2" borderId="0" xfId="0" applyFill="1"/>
    <xf numFmtId="2" fontId="0" fillId="3" borderId="0" xfId="0" applyNumberFormat="1" applyFill="1"/>
    <xf numFmtId="0" fontId="3" fillId="0" borderId="0" xfId="0" applyFont="1" applyAlignment="1">
      <alignment horizontal="center"/>
    </xf>
    <xf numFmtId="9" fontId="3" fillId="0" borderId="0" xfId="0" applyNumberFormat="1" applyFont="1"/>
    <xf numFmtId="0" fontId="2" fillId="0" borderId="1" xfId="2"/>
    <xf numFmtId="9" fontId="0" fillId="0" borderId="0" xfId="1" applyFont="1"/>
    <xf numFmtId="9" fontId="0" fillId="0" borderId="0" xfId="1" applyNumberFormat="1" applyFont="1"/>
    <xf numFmtId="2" fontId="0" fillId="0" borderId="0" xfId="1" applyNumberFormat="1" applyFont="1"/>
    <xf numFmtId="9" fontId="0" fillId="0" borderId="0" xfId="0" applyNumberFormat="1"/>
    <xf numFmtId="10" fontId="0" fillId="0" borderId="0" xfId="1" applyNumberFormat="1" applyFont="1"/>
    <xf numFmtId="0" fontId="4" fillId="0" borderId="0" xfId="0" applyFont="1"/>
    <xf numFmtId="2" fontId="4" fillId="0" borderId="0" xfId="0" applyNumberFormat="1" applyFont="1"/>
    <xf numFmtId="2" fontId="0" fillId="0" borderId="0" xfId="0" applyNumberFormat="1" applyFill="1"/>
    <xf numFmtId="0" fontId="0" fillId="4" borderId="0" xfId="0" applyFill="1"/>
    <xf numFmtId="164" fontId="0" fillId="4" borderId="0" xfId="0" applyNumberFormat="1" applyFill="1"/>
    <xf numFmtId="165" fontId="0" fillId="0" borderId="0" xfId="1" applyNumberFormat="1" applyFont="1"/>
    <xf numFmtId="0" fontId="0" fillId="0" borderId="0" xfId="0" applyAlignment="1">
      <alignment wrapText="1"/>
    </xf>
  </cellXfs>
  <cellStyles count="3">
    <cellStyle name="Heading 3" xfId="2" builtinId="1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Sheet1!$C$13:$W$13</c:f>
              <c:numCache>
                <c:formatCode>0.00</c:formatCode>
                <c:ptCount val="21"/>
                <c:pt idx="1">
                  <c:v>13.571428571428571</c:v>
                </c:pt>
                <c:pt idx="2">
                  <c:v>13.142857142857142</c:v>
                </c:pt>
                <c:pt idx="3">
                  <c:v>12.714285714285714</c:v>
                </c:pt>
                <c:pt idx="4">
                  <c:v>12.285714285714285</c:v>
                </c:pt>
                <c:pt idx="5">
                  <c:v>11.857142857142858</c:v>
                </c:pt>
                <c:pt idx="6">
                  <c:v>11.428571428571429</c:v>
                </c:pt>
                <c:pt idx="7">
                  <c:v>11</c:v>
                </c:pt>
                <c:pt idx="8">
                  <c:v>10.571428571428573</c:v>
                </c:pt>
                <c:pt idx="9">
                  <c:v>10.142857142857142</c:v>
                </c:pt>
                <c:pt idx="10">
                  <c:v>9.7142857142857153</c:v>
                </c:pt>
                <c:pt idx="11">
                  <c:v>9.2857142857142847</c:v>
                </c:pt>
                <c:pt idx="12">
                  <c:v>8.8571428571428577</c:v>
                </c:pt>
                <c:pt idx="13">
                  <c:v>8.4285714285714288</c:v>
                </c:pt>
                <c:pt idx="14">
                  <c:v>8</c:v>
                </c:pt>
                <c:pt idx="15">
                  <c:v>7.5714285714285712</c:v>
                </c:pt>
                <c:pt idx="16">
                  <c:v>7.1428571428571423</c:v>
                </c:pt>
                <c:pt idx="17">
                  <c:v>6.7142857142857144</c:v>
                </c:pt>
                <c:pt idx="18">
                  <c:v>6.2857142857142865</c:v>
                </c:pt>
                <c:pt idx="19">
                  <c:v>5.8571428571428568</c:v>
                </c:pt>
                <c:pt idx="20">
                  <c:v>5.4285714285714288</c:v>
                </c:pt>
              </c:numCache>
            </c:numRef>
          </c:yVal>
          <c:smooth val="0"/>
          <c:extLst>
            <c:ext xmlns:c16="http://schemas.microsoft.com/office/drawing/2014/chart" uri="{C3380CC4-5D6E-409C-BE32-E72D297353CC}">
              <c16:uniqueId val="{00000000-367F-43FD-84E8-14B57F7BFA32}"/>
            </c:ext>
          </c:extLst>
        </c:ser>
        <c:ser>
          <c:idx val="1"/>
          <c:order val="1"/>
          <c:tx>
            <c:v>Refurbishment</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Sheet1!$C$37:$W$37</c:f>
              <c:numCache>
                <c:formatCode>0.00</c:formatCode>
                <c:ptCount val="21"/>
                <c:pt idx="1">
                  <c:v>13.571428571428571</c:v>
                </c:pt>
                <c:pt idx="2">
                  <c:v>13.142857142857142</c:v>
                </c:pt>
                <c:pt idx="3">
                  <c:v>12.714285714285714</c:v>
                </c:pt>
                <c:pt idx="4">
                  <c:v>12.285714285714285</c:v>
                </c:pt>
                <c:pt idx="5">
                  <c:v>11.857142857142858</c:v>
                </c:pt>
                <c:pt idx="6">
                  <c:v>11.428571428571429</c:v>
                </c:pt>
                <c:pt idx="7">
                  <c:v>11</c:v>
                </c:pt>
                <c:pt idx="8">
                  <c:v>10.571428571428573</c:v>
                </c:pt>
                <c:pt idx="9">
                  <c:v>10.142857142857142</c:v>
                </c:pt>
                <c:pt idx="10">
                  <c:v>9.7142857142857153</c:v>
                </c:pt>
                <c:pt idx="11">
                  <c:v>9.2857142857142847</c:v>
                </c:pt>
                <c:pt idx="12">
                  <c:v>8.8571428571428577</c:v>
                </c:pt>
                <c:pt idx="13">
                  <c:v>8.4285714285714288</c:v>
                </c:pt>
                <c:pt idx="14">
                  <c:v>8</c:v>
                </c:pt>
                <c:pt idx="15">
                  <c:v>7.5714285714285712</c:v>
                </c:pt>
                <c:pt idx="16">
                  <c:v>7.1428571428571423</c:v>
                </c:pt>
                <c:pt idx="17">
                  <c:v>6.7142857142857144</c:v>
                </c:pt>
                <c:pt idx="18">
                  <c:v>6.2857142857142865</c:v>
                </c:pt>
                <c:pt idx="19">
                  <c:v>5.8571428571428568</c:v>
                </c:pt>
                <c:pt idx="20">
                  <c:v>5.4285714285714288</c:v>
                </c:pt>
              </c:numCache>
            </c:numRef>
          </c:yVal>
          <c:smooth val="0"/>
          <c:extLst>
            <c:ext xmlns:c16="http://schemas.microsoft.com/office/drawing/2014/chart" uri="{C3380CC4-5D6E-409C-BE32-E72D297353CC}">
              <c16:uniqueId val="{00000001-367F-43FD-84E8-14B57F7BFA32}"/>
            </c:ext>
          </c:extLst>
        </c:ser>
        <c:dLbls>
          <c:showLegendKey val="0"/>
          <c:showVal val="0"/>
          <c:showCatName val="0"/>
          <c:showSerName val="0"/>
          <c:showPercent val="0"/>
          <c:showBubbleSize val="0"/>
        </c:dLbls>
        <c:axId val="825262760"/>
        <c:axId val="825265056"/>
      </c:scatterChart>
      <c:valAx>
        <c:axId val="825262760"/>
        <c:scaling>
          <c:orientation val="minMax"/>
          <c:max val="20"/>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5056"/>
        <c:crosses val="autoZero"/>
        <c:crossBetween val="midCat"/>
      </c:valAx>
      <c:valAx>
        <c:axId val="825265056"/>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Consumer payment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76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8234229342022"/>
          <c:y val="5.3147072832112202E-2"/>
          <c:w val="0.82296248529278671"/>
          <c:h val="0.73751228731543694"/>
        </c:manualLayout>
      </c:layout>
      <c:scatterChart>
        <c:scatterStyle val="lineMarker"/>
        <c:varyColors val="0"/>
        <c:ser>
          <c:idx val="0"/>
          <c:order val="0"/>
          <c:tx>
            <c:v>Current approach</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Sheet1!$C$28:$W$28</c:f>
              <c:numCache>
                <c:formatCode>0.00</c:formatCode>
                <c:ptCount val="21"/>
                <c:pt idx="1">
                  <c:v>13.571428571428571</c:v>
                </c:pt>
                <c:pt idx="2">
                  <c:v>13.142857142857142</c:v>
                </c:pt>
                <c:pt idx="3">
                  <c:v>12.714285714285714</c:v>
                </c:pt>
                <c:pt idx="4">
                  <c:v>12.285714285714285</c:v>
                </c:pt>
                <c:pt idx="5">
                  <c:v>11.857142857142858</c:v>
                </c:pt>
                <c:pt idx="6">
                  <c:v>11.428571428571429</c:v>
                </c:pt>
                <c:pt idx="7">
                  <c:v>11</c:v>
                </c:pt>
                <c:pt idx="8">
                  <c:v>10.571428571428573</c:v>
                </c:pt>
                <c:pt idx="9">
                  <c:v>10.142857142857142</c:v>
                </c:pt>
                <c:pt idx="10">
                  <c:v>9.7142857142857153</c:v>
                </c:pt>
                <c:pt idx="11">
                  <c:v>9.2857142857142847</c:v>
                </c:pt>
                <c:pt idx="12">
                  <c:v>8.8571428571428577</c:v>
                </c:pt>
                <c:pt idx="13">
                  <c:v>8.4285714285714288</c:v>
                </c:pt>
                <c:pt idx="14">
                  <c:v>8</c:v>
                </c:pt>
                <c:pt idx="15">
                  <c:v>7.5714285714285712</c:v>
                </c:pt>
                <c:pt idx="16">
                  <c:v>7.1428571428571423</c:v>
                </c:pt>
                <c:pt idx="17">
                  <c:v>6.7142857142857144</c:v>
                </c:pt>
                <c:pt idx="18">
                  <c:v>6.2857142857142865</c:v>
                </c:pt>
                <c:pt idx="19">
                  <c:v>5.8571428571428568</c:v>
                </c:pt>
                <c:pt idx="20">
                  <c:v>5.4285714285714288</c:v>
                </c:pt>
              </c:numCache>
            </c:numRef>
          </c:yVal>
          <c:smooth val="0"/>
          <c:extLst>
            <c:ext xmlns:c16="http://schemas.microsoft.com/office/drawing/2014/chart" uri="{C3380CC4-5D6E-409C-BE32-E72D297353CC}">
              <c16:uniqueId val="{00000000-73C4-4CC8-84F9-9A82FD83E873}"/>
            </c:ext>
          </c:extLst>
        </c:ser>
        <c:ser>
          <c:idx val="1"/>
          <c:order val="1"/>
          <c:tx>
            <c:v>Proposed change</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Sheet1!$C$56:$W$56</c:f>
              <c:numCache>
                <c:formatCode>0.00</c:formatCode>
                <c:ptCount val="21"/>
                <c:pt idx="1">
                  <c:v>11</c:v>
                </c:pt>
                <c:pt idx="2">
                  <c:v>10.7</c:v>
                </c:pt>
                <c:pt idx="3">
                  <c:v>10.399999999999999</c:v>
                </c:pt>
                <c:pt idx="4">
                  <c:v>10.1</c:v>
                </c:pt>
                <c:pt idx="5">
                  <c:v>9.8000000000000007</c:v>
                </c:pt>
                <c:pt idx="6">
                  <c:v>9.5</c:v>
                </c:pt>
                <c:pt idx="7">
                  <c:v>9.5000000000000053</c:v>
                </c:pt>
                <c:pt idx="8">
                  <c:v>12.714285714285715</c:v>
                </c:pt>
                <c:pt idx="9">
                  <c:v>12.285714285714286</c:v>
                </c:pt>
                <c:pt idx="10">
                  <c:v>11.857142857142859</c:v>
                </c:pt>
                <c:pt idx="11">
                  <c:v>11.428571428571429</c:v>
                </c:pt>
                <c:pt idx="12">
                  <c:v>11</c:v>
                </c:pt>
                <c:pt idx="13">
                  <c:v>10.571428571428573</c:v>
                </c:pt>
                <c:pt idx="14">
                  <c:v>10.142857142857142</c:v>
                </c:pt>
                <c:pt idx="15">
                  <c:v>9.7142857142857153</c:v>
                </c:pt>
                <c:pt idx="16">
                  <c:v>9.2857142857142865</c:v>
                </c:pt>
                <c:pt idx="17">
                  <c:v>8.8571428571428577</c:v>
                </c:pt>
                <c:pt idx="18">
                  <c:v>8.4285714285714288</c:v>
                </c:pt>
                <c:pt idx="19">
                  <c:v>8</c:v>
                </c:pt>
                <c:pt idx="20">
                  <c:v>7.5714285714285721</c:v>
                </c:pt>
              </c:numCache>
            </c:numRef>
          </c:yVal>
          <c:smooth val="0"/>
          <c:extLst>
            <c:ext xmlns:c16="http://schemas.microsoft.com/office/drawing/2014/chart" uri="{C3380CC4-5D6E-409C-BE32-E72D297353CC}">
              <c16:uniqueId val="{00000001-73C4-4CC8-84F9-9A82FD83E873}"/>
            </c:ext>
          </c:extLst>
        </c:ser>
        <c:dLbls>
          <c:showLegendKey val="0"/>
          <c:showVal val="0"/>
          <c:showCatName val="0"/>
          <c:showSerName val="0"/>
          <c:showPercent val="0"/>
          <c:showBubbleSize val="0"/>
        </c:dLbls>
        <c:axId val="825266368"/>
        <c:axId val="825262104"/>
      </c:scatterChart>
      <c:valAx>
        <c:axId val="8252663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104"/>
        <c:crosses val="autoZero"/>
        <c:crossBetween val="midCat"/>
      </c:valAx>
      <c:valAx>
        <c:axId val="825262104"/>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Payments by consumers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00"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63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Sheet1!$C$20:$M$20</c:f>
              <c:numCache>
                <c:formatCode>0.00%</c:formatCode>
                <c:ptCount val="11"/>
                <c:pt idx="1">
                  <c:v>0.10377358490566037</c:v>
                </c:pt>
                <c:pt idx="2">
                  <c:v>0.19900320398718402</c:v>
                </c:pt>
                <c:pt idx="3">
                  <c:v>0.28632360942254337</c:v>
                </c:pt>
                <c:pt idx="4">
                  <c:v>0.36632506940958343</c:v>
                </c:pt>
                <c:pt idx="5">
                  <c:v>0.43955637035045703</c:v>
                </c:pt>
                <c:pt idx="6">
                  <c:v>0.50652762169222632</c:v>
                </c:pt>
                <c:pt idx="7">
                  <c:v>0.56771287614548127</c:v>
                </c:pt>
                <c:pt idx="8">
                  <c:v>0.62355257719490387</c:v>
                </c:pt>
                <c:pt idx="9">
                  <c:v>0.67445584505848599</c:v>
                </c:pt>
                <c:pt idx="10">
                  <c:v>0.72080261154244074</c:v>
                </c:pt>
              </c:numCache>
            </c:numRef>
          </c:yVal>
          <c:smooth val="0"/>
          <c:extLst>
            <c:ext xmlns:c16="http://schemas.microsoft.com/office/drawing/2014/chart" uri="{C3380CC4-5D6E-409C-BE32-E72D297353CC}">
              <c16:uniqueId val="{00000000-BA38-408B-B6BD-83FCBA82AE24}"/>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Sheet1!$C$58:$M$58</c:f>
              <c:numCache>
                <c:formatCode>0.00%</c:formatCode>
                <c:ptCount val="11"/>
                <c:pt idx="1">
                  <c:v>0.10377358490566037</c:v>
                </c:pt>
                <c:pt idx="2">
                  <c:v>0.19900320398718402</c:v>
                </c:pt>
                <c:pt idx="3">
                  <c:v>0.28632360942254337</c:v>
                </c:pt>
                <c:pt idx="4">
                  <c:v>0.36632506940958343</c:v>
                </c:pt>
                <c:pt idx="5">
                  <c:v>0.43955637035045703</c:v>
                </c:pt>
                <c:pt idx="6">
                  <c:v>0.50652762169222632</c:v>
                </c:pt>
                <c:pt idx="7">
                  <c:v>0.56771287614548127</c:v>
                </c:pt>
                <c:pt idx="8">
                  <c:v>0.62355257719490387</c:v>
                </c:pt>
                <c:pt idx="9">
                  <c:v>0.67445584505848599</c:v>
                </c:pt>
                <c:pt idx="10">
                  <c:v>0.72080261154244074</c:v>
                </c:pt>
              </c:numCache>
            </c:numRef>
          </c:yVal>
          <c:smooth val="0"/>
          <c:extLst>
            <c:ext xmlns:c16="http://schemas.microsoft.com/office/drawing/2014/chart" uri="{C3380CC4-5D6E-409C-BE32-E72D297353CC}">
              <c16:uniqueId val="{00000001-BA38-408B-B6BD-83FCBA82AE24}"/>
            </c:ext>
          </c:extLst>
        </c:ser>
        <c:dLbls>
          <c:showLegendKey val="0"/>
          <c:showVal val="0"/>
          <c:showCatName val="0"/>
          <c:showSerName val="0"/>
          <c:showPercent val="0"/>
          <c:showBubbleSize val="0"/>
        </c:dLbls>
        <c:axId val="780301968"/>
        <c:axId val="780303608"/>
      </c:scatterChart>
      <c:valAx>
        <c:axId val="7803019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3608"/>
        <c:crosses val="autoZero"/>
        <c:crossBetween val="midCat"/>
      </c:valAx>
      <c:valAx>
        <c:axId val="780303608"/>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Proportion of investment recovered</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 sourceLinked="0"/>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19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Sheet1!#REF!</c:f>
              <c:numCache>
                <c:formatCode>General</c:formatCode>
                <c:ptCount val="1"/>
                <c:pt idx="0">
                  <c:v>1</c:v>
                </c:pt>
              </c:numCache>
            </c:numRef>
          </c:yVal>
          <c:smooth val="0"/>
          <c:extLst>
            <c:ext xmlns:c16="http://schemas.microsoft.com/office/drawing/2014/chart" uri="{C3380CC4-5D6E-409C-BE32-E72D297353CC}">
              <c16:uniqueId val="{00000000-F2A7-454D-91A9-96585A956FA5}"/>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Sheet1!#REF!</c:f>
              <c:numCache>
                <c:formatCode>General</c:formatCode>
                <c:ptCount val="1"/>
                <c:pt idx="0">
                  <c:v>1</c:v>
                </c:pt>
              </c:numCache>
            </c:numRef>
          </c:yVal>
          <c:smooth val="0"/>
          <c:extLst>
            <c:ext xmlns:c16="http://schemas.microsoft.com/office/drawing/2014/chart" uri="{C3380CC4-5D6E-409C-BE32-E72D297353CC}">
              <c16:uniqueId val="{00000001-F2A7-454D-91A9-96585A956FA5}"/>
            </c:ext>
          </c:extLst>
        </c:ser>
        <c:dLbls>
          <c:showLegendKey val="0"/>
          <c:showVal val="0"/>
          <c:showCatName val="0"/>
          <c:showSerName val="0"/>
          <c:showPercent val="0"/>
          <c:showBubbleSize val="0"/>
        </c:dLbls>
        <c:axId val="654019400"/>
        <c:axId val="654023992"/>
      </c:scatterChart>
      <c:valAx>
        <c:axId val="654019400"/>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23992"/>
        <c:crosses val="autoZero"/>
        <c:crossBetween val="midCat"/>
      </c:valAx>
      <c:valAx>
        <c:axId val="654023992"/>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Allowed revenue</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1940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24</xdr:col>
      <xdr:colOff>236220</xdr:colOff>
      <xdr:row>1</xdr:row>
      <xdr:rowOff>45720</xdr:rowOff>
    </xdr:from>
    <xdr:to>
      <xdr:col>33</xdr:col>
      <xdr:colOff>441960</xdr:colOff>
      <xdr:row>22</xdr:row>
      <xdr:rowOff>45720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76200</xdr:colOff>
      <xdr:row>21</xdr:row>
      <xdr:rowOff>144780</xdr:rowOff>
    </xdr:from>
    <xdr:to>
      <xdr:col>33</xdr:col>
      <xdr:colOff>502920</xdr:colOff>
      <xdr:row>42</xdr:row>
      <xdr:rowOff>53340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167640</xdr:colOff>
      <xdr:row>46</xdr:row>
      <xdr:rowOff>64770</xdr:rowOff>
    </xdr:from>
    <xdr:to>
      <xdr:col>34</xdr:col>
      <xdr:colOff>601980</xdr:colOff>
      <xdr:row>62</xdr:row>
      <xdr:rowOff>60960</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116541</xdr:colOff>
      <xdr:row>63</xdr:row>
      <xdr:rowOff>161366</xdr:rowOff>
    </xdr:from>
    <xdr:to>
      <xdr:col>35</xdr:col>
      <xdr:colOff>80682</xdr:colOff>
      <xdr:row>82</xdr:row>
      <xdr:rowOff>71717</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13040</xdr:colOff>
      <xdr:row>63</xdr:row>
      <xdr:rowOff>184309</xdr:rowOff>
    </xdr:from>
    <xdr:to>
      <xdr:col>22</xdr:col>
      <xdr:colOff>529695</xdr:colOff>
      <xdr:row>104</xdr:row>
      <xdr:rowOff>65128</xdr:rowOff>
    </xdr:to>
    <xdr:sp macro="" textlink="">
      <xdr:nvSpPr>
        <xdr:cNvPr id="8" name="TextBox 7">
          <a:extLst>
            <a:ext uri="{FF2B5EF4-FFF2-40B4-BE49-F238E27FC236}">
              <a16:creationId xmlns:a16="http://schemas.microsoft.com/office/drawing/2014/main" id="{8284DB60-CEF0-48B7-891D-4694B4DCFFE0}"/>
            </a:ext>
          </a:extLst>
        </xdr:cNvPr>
        <xdr:cNvSpPr txBox="1"/>
      </xdr:nvSpPr>
      <xdr:spPr>
        <a:xfrm>
          <a:off x="468937" y="12159758"/>
          <a:ext cx="15137937" cy="75578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t>Notes:</a:t>
          </a:r>
        </a:p>
        <a:p>
          <a:r>
            <a:rPr lang="en-AU" sz="1200" b="0"/>
            <a:t>This example looks at the case of an outlay</a:t>
          </a:r>
          <a:r>
            <a:rPr lang="en-AU" sz="1200" b="0" baseline="0"/>
            <a:t> of a  program</a:t>
          </a:r>
          <a:r>
            <a:rPr lang="en-AU" sz="1200" b="0"/>
            <a:t>,</a:t>
          </a:r>
          <a:r>
            <a:rPr lang="en-AU" sz="1200" b="0" baseline="0"/>
            <a:t> such as pole replacement, that can either be expensed or capitalised for tax purposes at the discretion of the utility.  Since the program provides ongoing services the expenditure is capitalised and depreciated for the 'above the line' revenue building blocks. The assumede expenditure is $100m with a service life of 20 years. </a:t>
          </a:r>
        </a:p>
        <a:p>
          <a:endParaRPr lang="en-AU" sz="1200" b="0" baseline="0"/>
        </a:p>
        <a:p>
          <a:r>
            <a:rPr lang="en-AU" sz="1200" b="1" i="1" baseline="0"/>
            <a:t>Excess returns</a:t>
          </a:r>
        </a:p>
        <a:p>
          <a:r>
            <a:rPr lang="en-AU" sz="1200" b="0" i="1" baseline="0"/>
            <a:t>The current tax approach provides an excess return if the utility choose to expense the outlay for tax purposes.  The proposed approach removes this excess return.</a:t>
          </a:r>
        </a:p>
        <a:p>
          <a:endParaRPr lang="en-AU" sz="1200" b="0" i="0" baseline="0"/>
        </a:p>
        <a:p>
          <a:r>
            <a:rPr lang="en-AU" sz="1200" b="0" i="0" baseline="0"/>
            <a:t>If the utility capitalises the expenditure for tax purposes the NPV of the future after tax cash flows equals the original expenditure (i.e NPV=100).  This satisfies the NPV=0 principle and the return on original expenditure equals the AER-determined WACC.</a:t>
          </a:r>
        </a:p>
        <a:p>
          <a:endParaRPr lang="en-AU" sz="1200" b="0" i="0" baseline="0"/>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Under the AER's current approach to estimating tax (which assumes the expenditure is capitalised) the utility earns an excess return if it chooses to expense the outlay for tax purposes.  In this case, the DNSP earns an excess return of $12.8m or12.8% and the rate of return on the original expenditure is  8.6% which exceeds the AER-determined WACC of 6.0% .</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If the AER estimates the tax on the assumption that the utility expenses the outlay (proposed approach), the NPV of the future after tax cash flows equals the original expenditure (i.e NPV=100).  This satisfies the NPV=0 principle and the return on original expenditure equals the AER-determined WACC.</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Intergenerational equity</a:t>
          </a: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The instrument for achieving intergenerational equity is the depreciation allowance in the revenue building blocks.  In all three cases the initial expenditure is recovered over the service  life of the assets through the depreciation allowance. This does not change across all three examples.</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Under the current approach the allowed revenues and prices do not change if the utility chooses to expense rather than capitalise the outlays.  Whereas, under the proposed approach the revenues are lower in the seven years (initially $2.57m lower falling to $1.5m lower in year 7) as the tax losses are used up and then higher in the remaining years.  While this introduces a step change in revenues for these assets in the middle of the period the overall cash flows better match those of the utility and the excess return under the current approach is avoided.  Furthermore, it should be noted these outlays are only part of the capex in any year and the aggregate RAB comprises assets of various ages.  Hence the practical effect on the pattern of overall revenues and prices over time is likely to be small.</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Efficiency incentives</a:t>
          </a:r>
        </a:p>
        <a:p>
          <a:pPr eaLnBrk="1" fontAlgn="auto" latinLnBrk="0" hangingPunct="1"/>
          <a:r>
            <a:rPr lang="en-AU" sz="1200" b="0" i="0" baseline="0">
              <a:solidFill>
                <a:schemeClr val="dk1"/>
              </a:solidFill>
              <a:effectLst/>
              <a:latin typeface="+mn-lt"/>
              <a:ea typeface="+mn-ea"/>
              <a:cs typeface="+mn-cs"/>
            </a:rPr>
            <a:t>This case study examines the impact of different choices of tax treatment for a single expenditure rather than the choice between different expenditure options for providing the service.  Hence, the relevant efficiency incerntive is the incentive to adopt options that minimise tax within the constraints of the tax law and its interpretation by the ATO and the financial and reputational risk of adverse tax rulings.</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Under the current approach the outlays are assumed to be capitalised and there is a strong incentive for the DNSP to expense the outlay for tax rather than capitalise it (see discussion of excess return above).  However, unless the benchmark is adjusted to reflect the revealed practices that reduce tax payments the consumer does not benefit from this </a:t>
          </a:r>
          <a:r>
            <a:rPr lang="en-AU" sz="1100" b="0" i="0" baseline="0">
              <a:solidFill>
                <a:schemeClr val="dk1"/>
              </a:solidFill>
              <a:effectLst/>
              <a:latin typeface="+mn-lt"/>
              <a:ea typeface="+mn-ea"/>
              <a:cs typeface="+mn-cs"/>
            </a:rPr>
            <a:t>at any point</a:t>
          </a:r>
          <a:r>
            <a:rPr lang="en-AU" sz="1200" b="0" i="0" baseline="0">
              <a:solidFill>
                <a:schemeClr val="dk1"/>
              </a:solidFill>
              <a:effectLst/>
              <a:latin typeface="+mn-lt"/>
              <a:ea typeface="+mn-ea"/>
              <a:cs typeface="+mn-cs"/>
            </a:rPr>
            <a:t>.  The benefits are retained in full by the utility, in contrast to the 70/30 sharing of efficiency gains in opex and capex.  Adoption of an approach that better reflects common practice would be consistent with the revealed cost approach on opex and capex and provide a sharing of the benefits with customers.</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The benchmark could be based on forecasts of the utility that are subject to critical review or sector wide analysis.  The former is closer to the practice in setting capex allowances and the latter closer to the practice in setting opex allowances.  So long as the benchmark allowance is not automatically adjusted to reflect ex post the actual decisions of the DNSP, the DNSP retains an incentive to search for opportunities within existing tax laws to minimise tax payments. The choice of the approach to estimation does not reduce the payoff for the utility from pursuing further opportunities to reduce taxes.  If the utility can find a means to further reduce its tax obligations by $5m it would improve  its cash flows by this amount.  But the alternatives for estimating tax allowance would alter the starting point.  In this example, the starting point would be cash flows with an NPV of $112.8m under the current approach the starting point or $100m under the preferred approach. </a:t>
          </a:r>
        </a:p>
        <a:p>
          <a:pPr eaLnBrk="1" fontAlgn="auto" latinLnBrk="0" hangingPunct="1"/>
          <a:endParaRPr lang="en-AU" sz="12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200">
            <a:effectLst/>
          </a:endParaRPr>
        </a:p>
        <a:p>
          <a:endParaRPr lang="en-AU" sz="1200" b="0" i="0" baseline="0"/>
        </a:p>
        <a:p>
          <a:endParaRPr lang="en-AU" sz="1200" b="0" i="0" baseline="0"/>
        </a:p>
        <a:p>
          <a:endParaRPr lang="en-AU" sz="1200" b="0" i="0" baseline="0"/>
        </a:p>
        <a:p>
          <a:endParaRPr lang="en-AU" sz="1200" b="0" i="0" baseline="0"/>
        </a:p>
        <a:p>
          <a:endParaRPr lang="en-AU" sz="1200" b="0"/>
        </a:p>
      </xdr:txBody>
    </xdr:sp>
    <xdr:clientData/>
  </xdr:twoCellAnchor>
</xdr:wsDr>
</file>

<file path=xl/theme/theme1.xml><?xml version="1.0" encoding="utf-8"?>
<a:theme xmlns:a="http://schemas.openxmlformats.org/drawingml/2006/main" name="Office Theme">
  <a:themeElements>
    <a:clrScheme name="Frontier_2016">
      <a:dk1>
        <a:sysClr val="windowText" lastClr="000000"/>
      </a:dk1>
      <a:lt1>
        <a:sysClr val="window" lastClr="FFFFFF"/>
      </a:lt1>
      <a:dk2>
        <a:srgbClr val="37424A"/>
      </a:dk2>
      <a:lt2>
        <a:srgbClr val="D1DBD2"/>
      </a:lt2>
      <a:accent1>
        <a:srgbClr val="E83F35"/>
      </a:accent1>
      <a:accent2>
        <a:srgbClr val="007B87"/>
      </a:accent2>
      <a:accent3>
        <a:srgbClr val="EBC000"/>
      </a:accent3>
      <a:accent4>
        <a:srgbClr val="8DD0D2"/>
      </a:accent4>
      <a:accent5>
        <a:srgbClr val="683C5B"/>
      </a:accent5>
      <a:accent6>
        <a:srgbClr val="8BB96A"/>
      </a:accent6>
      <a:hlink>
        <a:srgbClr val="0000FF"/>
      </a:hlink>
      <a:folHlink>
        <a:srgbClr val="E83F3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0"/>
  <sheetViews>
    <sheetView tabSelected="1" topLeftCell="A79" zoomScale="78" zoomScaleNormal="85" workbookViewId="0">
      <selection activeCell="Y104" sqref="Y104"/>
    </sheetView>
  </sheetViews>
  <sheetFormatPr defaultRowHeight="14.5" x14ac:dyDescent="0.35"/>
  <cols>
    <col min="1" max="1" width="6.54296875" customWidth="1"/>
    <col min="2" max="2" width="21.81640625" customWidth="1"/>
    <col min="3" max="3" width="10.90625" customWidth="1"/>
    <col min="5" max="13" width="9.81640625" customWidth="1"/>
    <col min="14" max="22" width="8.90625" customWidth="1"/>
    <col min="23" max="23" width="9.1796875" customWidth="1"/>
  </cols>
  <sheetData>
    <row r="1" spans="1:23" x14ac:dyDescent="0.35">
      <c r="A1" s="2"/>
      <c r="B1" s="2" t="s">
        <v>40</v>
      </c>
      <c r="C1" s="2" t="s">
        <v>43</v>
      </c>
      <c r="D1" s="2"/>
      <c r="E1" s="2"/>
      <c r="F1" s="2"/>
      <c r="G1" s="2"/>
      <c r="H1" s="2"/>
      <c r="I1" s="2"/>
      <c r="J1" s="2"/>
    </row>
    <row r="2" spans="1:23" x14ac:dyDescent="0.35">
      <c r="B2" s="2" t="s">
        <v>5</v>
      </c>
      <c r="C2" s="8">
        <v>0.06</v>
      </c>
      <c r="D2" s="13"/>
    </row>
    <row r="3" spans="1:23" x14ac:dyDescent="0.35">
      <c r="B3" s="2" t="s">
        <v>10</v>
      </c>
      <c r="C3" s="8">
        <v>0.3</v>
      </c>
    </row>
    <row r="4" spans="1:23" x14ac:dyDescent="0.35">
      <c r="B4" s="2" t="s">
        <v>31</v>
      </c>
      <c r="C4" s="8">
        <v>0.7</v>
      </c>
    </row>
    <row r="6" spans="1:23" s="2" customFormat="1" x14ac:dyDescent="0.35">
      <c r="B6" s="2" t="s">
        <v>0</v>
      </c>
      <c r="C6" s="7">
        <v>0</v>
      </c>
      <c r="D6" s="7">
        <v>1</v>
      </c>
      <c r="E6" s="7">
        <v>2</v>
      </c>
      <c r="F6" s="7">
        <v>3</v>
      </c>
      <c r="G6" s="7">
        <v>4</v>
      </c>
      <c r="H6" s="7">
        <v>5</v>
      </c>
      <c r="I6" s="7">
        <v>6</v>
      </c>
      <c r="J6" s="7">
        <v>7</v>
      </c>
      <c r="K6" s="7">
        <v>8</v>
      </c>
      <c r="L6" s="7">
        <v>9</v>
      </c>
      <c r="M6" s="7">
        <v>10</v>
      </c>
      <c r="N6" s="7">
        <v>11</v>
      </c>
      <c r="O6" s="7">
        <v>12</v>
      </c>
      <c r="P6" s="7">
        <v>13</v>
      </c>
      <c r="Q6" s="7">
        <v>14</v>
      </c>
      <c r="R6" s="7">
        <v>15</v>
      </c>
      <c r="S6" s="7">
        <v>16</v>
      </c>
      <c r="T6" s="7">
        <v>17</v>
      </c>
      <c r="U6" s="7">
        <v>18</v>
      </c>
      <c r="V6" s="7">
        <v>19</v>
      </c>
      <c r="W6" s="7">
        <v>20</v>
      </c>
    </row>
    <row r="7" spans="1:23" ht="15" thickBot="1" x14ac:dyDescent="0.4">
      <c r="B7" s="9" t="s">
        <v>44</v>
      </c>
      <c r="C7" s="9"/>
      <c r="D7" s="9"/>
    </row>
    <row r="8" spans="1:23" x14ac:dyDescent="0.35">
      <c r="B8" t="s">
        <v>1</v>
      </c>
      <c r="C8">
        <v>-100</v>
      </c>
    </row>
    <row r="9" spans="1:23" x14ac:dyDescent="0.35">
      <c r="B9" t="s">
        <v>2</v>
      </c>
      <c r="D9">
        <f>-C8/20</f>
        <v>5</v>
      </c>
      <c r="E9">
        <f>D9</f>
        <v>5</v>
      </c>
      <c r="F9">
        <f t="shared" ref="F9:W9" si="0">E9</f>
        <v>5</v>
      </c>
      <c r="G9">
        <f t="shared" si="0"/>
        <v>5</v>
      </c>
      <c r="H9">
        <f t="shared" si="0"/>
        <v>5</v>
      </c>
      <c r="I9">
        <f t="shared" si="0"/>
        <v>5</v>
      </c>
      <c r="J9">
        <f t="shared" si="0"/>
        <v>5</v>
      </c>
      <c r="K9">
        <f t="shared" si="0"/>
        <v>5</v>
      </c>
      <c r="L9">
        <f t="shared" si="0"/>
        <v>5</v>
      </c>
      <c r="M9">
        <f t="shared" si="0"/>
        <v>5</v>
      </c>
      <c r="N9">
        <f t="shared" si="0"/>
        <v>5</v>
      </c>
      <c r="O9">
        <f t="shared" si="0"/>
        <v>5</v>
      </c>
      <c r="P9">
        <f t="shared" si="0"/>
        <v>5</v>
      </c>
      <c r="Q9">
        <f t="shared" si="0"/>
        <v>5</v>
      </c>
      <c r="R9">
        <f t="shared" si="0"/>
        <v>5</v>
      </c>
      <c r="S9">
        <f t="shared" si="0"/>
        <v>5</v>
      </c>
      <c r="T9">
        <f t="shared" si="0"/>
        <v>5</v>
      </c>
      <c r="U9">
        <f t="shared" si="0"/>
        <v>5</v>
      </c>
      <c r="V9">
        <f t="shared" si="0"/>
        <v>5</v>
      </c>
      <c r="W9">
        <f t="shared" si="0"/>
        <v>5</v>
      </c>
    </row>
    <row r="10" spans="1:23" x14ac:dyDescent="0.35">
      <c r="B10" t="s">
        <v>3</v>
      </c>
      <c r="C10">
        <f>-C8</f>
        <v>100</v>
      </c>
      <c r="D10">
        <f>-C8-D9</f>
        <v>95</v>
      </c>
      <c r="E10">
        <f>D10-E9</f>
        <v>90</v>
      </c>
      <c r="F10">
        <f t="shared" ref="F10:W10" si="1">E10-F9</f>
        <v>85</v>
      </c>
      <c r="G10">
        <f t="shared" si="1"/>
        <v>80</v>
      </c>
      <c r="H10">
        <f t="shared" si="1"/>
        <v>75</v>
      </c>
      <c r="I10">
        <f t="shared" si="1"/>
        <v>70</v>
      </c>
      <c r="J10">
        <f t="shared" si="1"/>
        <v>65</v>
      </c>
      <c r="K10">
        <f t="shared" si="1"/>
        <v>60</v>
      </c>
      <c r="L10">
        <f t="shared" si="1"/>
        <v>55</v>
      </c>
      <c r="M10">
        <f t="shared" si="1"/>
        <v>50</v>
      </c>
      <c r="N10">
        <f t="shared" si="1"/>
        <v>45</v>
      </c>
      <c r="O10">
        <f t="shared" si="1"/>
        <v>40</v>
      </c>
      <c r="P10">
        <f t="shared" si="1"/>
        <v>35</v>
      </c>
      <c r="Q10">
        <f t="shared" si="1"/>
        <v>30</v>
      </c>
      <c r="R10">
        <f t="shared" si="1"/>
        <v>25</v>
      </c>
      <c r="S10">
        <f t="shared" si="1"/>
        <v>20</v>
      </c>
      <c r="T10">
        <f t="shared" si="1"/>
        <v>15</v>
      </c>
      <c r="U10">
        <f t="shared" si="1"/>
        <v>10</v>
      </c>
      <c r="V10">
        <f t="shared" si="1"/>
        <v>5</v>
      </c>
      <c r="W10">
        <f t="shared" si="1"/>
        <v>0</v>
      </c>
    </row>
    <row r="11" spans="1:23" x14ac:dyDescent="0.35">
      <c r="B11" t="s">
        <v>4</v>
      </c>
      <c r="D11" s="3">
        <f>C10*$C$2</f>
        <v>6</v>
      </c>
      <c r="E11" s="3">
        <f t="shared" ref="E11:W11" si="2">D10*$C$2</f>
        <v>5.7</v>
      </c>
      <c r="F11" s="3">
        <f t="shared" si="2"/>
        <v>5.3999999999999995</v>
      </c>
      <c r="G11" s="3">
        <f t="shared" si="2"/>
        <v>5.0999999999999996</v>
      </c>
      <c r="H11" s="3">
        <f t="shared" si="2"/>
        <v>4.8</v>
      </c>
      <c r="I11" s="3">
        <f t="shared" si="2"/>
        <v>4.5</v>
      </c>
      <c r="J11" s="3">
        <f t="shared" si="2"/>
        <v>4.2</v>
      </c>
      <c r="K11" s="3">
        <f t="shared" si="2"/>
        <v>3.9</v>
      </c>
      <c r="L11" s="3">
        <f t="shared" si="2"/>
        <v>3.5999999999999996</v>
      </c>
      <c r="M11" s="3">
        <f t="shared" si="2"/>
        <v>3.3</v>
      </c>
      <c r="N11" s="3">
        <f t="shared" si="2"/>
        <v>3</v>
      </c>
      <c r="O11" s="3">
        <f t="shared" si="2"/>
        <v>2.6999999999999997</v>
      </c>
      <c r="P11" s="3">
        <f t="shared" si="2"/>
        <v>2.4</v>
      </c>
      <c r="Q11" s="3">
        <f t="shared" si="2"/>
        <v>2.1</v>
      </c>
      <c r="R11" s="3">
        <f t="shared" si="2"/>
        <v>1.7999999999999998</v>
      </c>
      <c r="S11" s="3">
        <f t="shared" si="2"/>
        <v>1.5</v>
      </c>
      <c r="T11" s="3">
        <f t="shared" si="2"/>
        <v>1.2</v>
      </c>
      <c r="U11" s="3">
        <f t="shared" si="2"/>
        <v>0.89999999999999991</v>
      </c>
      <c r="V11" s="3">
        <f t="shared" si="2"/>
        <v>0.6</v>
      </c>
      <c r="W11" s="3">
        <f t="shared" si="2"/>
        <v>0.3</v>
      </c>
    </row>
    <row r="12" spans="1:23" x14ac:dyDescent="0.35">
      <c r="B12" t="s">
        <v>27</v>
      </c>
      <c r="D12" s="3">
        <f>D11/(1-$C$3)-D11</f>
        <v>2.5714285714285712</v>
      </c>
      <c r="E12" s="3">
        <f t="shared" ref="E12:W12" si="3">E11/(1-$C$3)-E11</f>
        <v>2.4428571428571439</v>
      </c>
      <c r="F12" s="3">
        <f t="shared" si="3"/>
        <v>2.3142857142857149</v>
      </c>
      <c r="G12" s="3">
        <f t="shared" si="3"/>
        <v>2.1857142857142859</v>
      </c>
      <c r="H12" s="3">
        <f t="shared" si="3"/>
        <v>2.0571428571428578</v>
      </c>
      <c r="I12" s="3">
        <f t="shared" si="3"/>
        <v>1.9285714285714288</v>
      </c>
      <c r="J12" s="3">
        <f t="shared" si="3"/>
        <v>1.8000000000000007</v>
      </c>
      <c r="K12" s="3">
        <f t="shared" si="3"/>
        <v>1.6714285714285722</v>
      </c>
      <c r="L12" s="3">
        <f t="shared" si="3"/>
        <v>1.5428571428571427</v>
      </c>
      <c r="M12" s="3">
        <f t="shared" si="3"/>
        <v>1.4142857142857146</v>
      </c>
      <c r="N12" s="3">
        <f t="shared" si="3"/>
        <v>1.2857142857142856</v>
      </c>
      <c r="O12" s="3">
        <f t="shared" si="3"/>
        <v>1.1571428571428575</v>
      </c>
      <c r="P12" s="3">
        <f t="shared" si="3"/>
        <v>1.0285714285714289</v>
      </c>
      <c r="Q12" s="3">
        <f t="shared" si="3"/>
        <v>0.90000000000000036</v>
      </c>
      <c r="R12" s="3">
        <f t="shared" si="3"/>
        <v>0.77142857142857135</v>
      </c>
      <c r="S12" s="3">
        <f t="shared" si="3"/>
        <v>0.64285714285714279</v>
      </c>
      <c r="T12" s="3">
        <f t="shared" si="3"/>
        <v>0.51428571428571446</v>
      </c>
      <c r="U12" s="3">
        <f t="shared" si="3"/>
        <v>0.38571428571428568</v>
      </c>
      <c r="V12" s="3">
        <f t="shared" si="3"/>
        <v>0.25714285714285723</v>
      </c>
      <c r="W12" s="3">
        <f t="shared" si="3"/>
        <v>0.12857142857142861</v>
      </c>
    </row>
    <row r="13" spans="1:23" x14ac:dyDescent="0.35">
      <c r="B13" t="s">
        <v>6</v>
      </c>
      <c r="C13" s="5"/>
      <c r="D13" s="4">
        <f>D9+D11+D12</f>
        <v>13.571428571428571</v>
      </c>
      <c r="E13" s="4">
        <f t="shared" ref="E13:W13" si="4">E9+E11+E12</f>
        <v>13.142857142857142</v>
      </c>
      <c r="F13" s="4">
        <f t="shared" si="4"/>
        <v>12.714285714285714</v>
      </c>
      <c r="G13" s="4">
        <f t="shared" si="4"/>
        <v>12.285714285714285</v>
      </c>
      <c r="H13" s="4">
        <f t="shared" si="4"/>
        <v>11.857142857142858</v>
      </c>
      <c r="I13" s="6">
        <f t="shared" si="4"/>
        <v>11.428571428571429</v>
      </c>
      <c r="J13" s="6">
        <f t="shared" si="4"/>
        <v>11</v>
      </c>
      <c r="K13" s="6">
        <f t="shared" si="4"/>
        <v>10.571428571428573</v>
      </c>
      <c r="L13" s="6">
        <f t="shared" si="4"/>
        <v>10.142857142857142</v>
      </c>
      <c r="M13" s="6">
        <f t="shared" si="4"/>
        <v>9.7142857142857153</v>
      </c>
      <c r="N13" s="3">
        <f t="shared" si="4"/>
        <v>9.2857142857142847</v>
      </c>
      <c r="O13" s="3">
        <f t="shared" si="4"/>
        <v>8.8571428571428577</v>
      </c>
      <c r="P13" s="3">
        <f t="shared" si="4"/>
        <v>8.4285714285714288</v>
      </c>
      <c r="Q13" s="3">
        <f t="shared" si="4"/>
        <v>8</v>
      </c>
      <c r="R13" s="3">
        <f t="shared" si="4"/>
        <v>7.5714285714285712</v>
      </c>
      <c r="S13" s="3">
        <f t="shared" si="4"/>
        <v>7.1428571428571423</v>
      </c>
      <c r="T13" s="3">
        <f t="shared" si="4"/>
        <v>6.7142857142857144</v>
      </c>
      <c r="U13" s="3">
        <f t="shared" si="4"/>
        <v>6.2857142857142865</v>
      </c>
      <c r="V13" s="3">
        <f t="shared" si="4"/>
        <v>5.8571428571428568</v>
      </c>
      <c r="W13" s="3">
        <f t="shared" si="4"/>
        <v>5.4285714285714288</v>
      </c>
    </row>
    <row r="14" spans="1:23" x14ac:dyDescent="0.35">
      <c r="B14" t="s">
        <v>8</v>
      </c>
      <c r="D14" s="3">
        <f>D13-D9</f>
        <v>8.5714285714285712</v>
      </c>
      <c r="E14" s="3">
        <f t="shared" ref="E14:W14" si="5">E13-E9</f>
        <v>8.1428571428571423</v>
      </c>
      <c r="F14" s="3">
        <f t="shared" si="5"/>
        <v>7.7142857142857135</v>
      </c>
      <c r="G14" s="3">
        <f t="shared" si="5"/>
        <v>7.2857142857142847</v>
      </c>
      <c r="H14" s="3">
        <f t="shared" si="5"/>
        <v>6.8571428571428577</v>
      </c>
      <c r="I14" s="3">
        <f t="shared" si="5"/>
        <v>6.4285714285714288</v>
      </c>
      <c r="J14" s="3">
        <f t="shared" si="5"/>
        <v>6</v>
      </c>
      <c r="K14" s="3">
        <f t="shared" si="5"/>
        <v>5.571428571428573</v>
      </c>
      <c r="L14" s="3">
        <f t="shared" si="5"/>
        <v>5.1428571428571423</v>
      </c>
      <c r="M14" s="3">
        <f t="shared" si="5"/>
        <v>4.7142857142857153</v>
      </c>
      <c r="N14" s="3">
        <f t="shared" si="5"/>
        <v>4.2857142857142847</v>
      </c>
      <c r="O14" s="3">
        <f t="shared" si="5"/>
        <v>3.8571428571428577</v>
      </c>
      <c r="P14" s="3">
        <f t="shared" si="5"/>
        <v>3.4285714285714288</v>
      </c>
      <c r="Q14" s="3">
        <f t="shared" si="5"/>
        <v>3</v>
      </c>
      <c r="R14" s="3">
        <f t="shared" si="5"/>
        <v>2.5714285714285712</v>
      </c>
      <c r="S14" s="3">
        <f t="shared" si="5"/>
        <v>2.1428571428571423</v>
      </c>
      <c r="T14" s="3">
        <f t="shared" si="5"/>
        <v>1.7142857142857144</v>
      </c>
      <c r="U14" s="3">
        <f t="shared" si="5"/>
        <v>1.2857142857142865</v>
      </c>
      <c r="V14" s="3">
        <f t="shared" si="5"/>
        <v>0.85714285714285676</v>
      </c>
      <c r="W14" s="3">
        <f t="shared" si="5"/>
        <v>0.42857142857142883</v>
      </c>
    </row>
    <row r="15" spans="1:23" x14ac:dyDescent="0.35">
      <c r="B15" t="s">
        <v>9</v>
      </c>
      <c r="D15" s="3">
        <f>D14*$C$3</f>
        <v>2.5714285714285712</v>
      </c>
      <c r="E15" s="3">
        <f t="shared" ref="E15:W15" si="6">E14*$C$3</f>
        <v>2.4428571428571426</v>
      </c>
      <c r="F15" s="3">
        <f t="shared" si="6"/>
        <v>2.3142857142857141</v>
      </c>
      <c r="G15" s="3">
        <f t="shared" si="6"/>
        <v>2.1857142857142855</v>
      </c>
      <c r="H15" s="3">
        <f t="shared" si="6"/>
        <v>2.0571428571428574</v>
      </c>
      <c r="I15" s="3">
        <f t="shared" si="6"/>
        <v>1.9285714285714286</v>
      </c>
      <c r="J15" s="3">
        <f t="shared" si="6"/>
        <v>1.7999999999999998</v>
      </c>
      <c r="K15" s="3">
        <f t="shared" si="6"/>
        <v>1.6714285714285719</v>
      </c>
      <c r="L15" s="3">
        <f t="shared" si="6"/>
        <v>1.5428571428571427</v>
      </c>
      <c r="M15" s="3">
        <f t="shared" si="6"/>
        <v>1.4142857142857146</v>
      </c>
      <c r="N15" s="3">
        <f t="shared" si="6"/>
        <v>1.2857142857142854</v>
      </c>
      <c r="O15" s="3">
        <f t="shared" si="6"/>
        <v>1.1571428571428573</v>
      </c>
      <c r="P15" s="3">
        <f t="shared" si="6"/>
        <v>1.0285714285714287</v>
      </c>
      <c r="Q15" s="3">
        <f t="shared" si="6"/>
        <v>0.89999999999999991</v>
      </c>
      <c r="R15" s="3">
        <f t="shared" si="6"/>
        <v>0.77142857142857135</v>
      </c>
      <c r="S15" s="3">
        <f t="shared" si="6"/>
        <v>0.64285714285714268</v>
      </c>
      <c r="T15" s="3">
        <f t="shared" si="6"/>
        <v>0.51428571428571435</v>
      </c>
      <c r="U15" s="3">
        <f t="shared" si="6"/>
        <v>0.38571428571428595</v>
      </c>
      <c r="V15" s="3">
        <f t="shared" si="6"/>
        <v>0.25714285714285701</v>
      </c>
      <c r="W15" s="3">
        <f t="shared" si="6"/>
        <v>0.12857142857142864</v>
      </c>
    </row>
    <row r="17" spans="2:24" x14ac:dyDescent="0.35">
      <c r="B17" t="s">
        <v>28</v>
      </c>
      <c r="D17">
        <f t="shared" ref="D17:W17" si="7">D13-D15</f>
        <v>11</v>
      </c>
      <c r="E17">
        <f t="shared" si="7"/>
        <v>10.7</v>
      </c>
      <c r="F17">
        <f t="shared" si="7"/>
        <v>10.399999999999999</v>
      </c>
      <c r="G17">
        <f t="shared" si="7"/>
        <v>10.1</v>
      </c>
      <c r="H17">
        <f t="shared" si="7"/>
        <v>9.8000000000000007</v>
      </c>
      <c r="I17">
        <f t="shared" si="7"/>
        <v>9.5</v>
      </c>
      <c r="J17">
        <f t="shared" si="7"/>
        <v>9.1999999999999993</v>
      </c>
      <c r="K17">
        <f t="shared" si="7"/>
        <v>8.9</v>
      </c>
      <c r="L17">
        <f t="shared" si="7"/>
        <v>8.6</v>
      </c>
      <c r="M17">
        <f t="shared" si="7"/>
        <v>8.3000000000000007</v>
      </c>
      <c r="N17">
        <f t="shared" si="7"/>
        <v>7.9999999999999991</v>
      </c>
      <c r="O17">
        <f t="shared" si="7"/>
        <v>7.7</v>
      </c>
      <c r="P17">
        <f t="shared" si="7"/>
        <v>7.4</v>
      </c>
      <c r="Q17">
        <f t="shared" si="7"/>
        <v>7.1</v>
      </c>
      <c r="R17">
        <f t="shared" si="7"/>
        <v>6.8</v>
      </c>
      <c r="S17">
        <f t="shared" si="7"/>
        <v>6.5</v>
      </c>
      <c r="T17">
        <f t="shared" si="7"/>
        <v>6.2</v>
      </c>
      <c r="U17">
        <f t="shared" si="7"/>
        <v>5.9</v>
      </c>
      <c r="V17">
        <f t="shared" si="7"/>
        <v>5.6</v>
      </c>
      <c r="W17">
        <f t="shared" si="7"/>
        <v>5.3</v>
      </c>
    </row>
    <row r="18" spans="2:24" x14ac:dyDescent="0.35">
      <c r="B18" s="18" t="s">
        <v>7</v>
      </c>
      <c r="C18" s="19">
        <f>NPV($C$2,D17:W17)</f>
        <v>99.999999999999986</v>
      </c>
    </row>
    <row r="19" spans="2:24" x14ac:dyDescent="0.35">
      <c r="B19" t="s">
        <v>30</v>
      </c>
      <c r="C19" s="1">
        <f>NPV($C$2,D17:H17)</f>
        <v>43.955637035045704</v>
      </c>
      <c r="D19" s="11">
        <f>C19/C10</f>
        <v>0.43955637035045703</v>
      </c>
    </row>
    <row r="20" spans="2:24" x14ac:dyDescent="0.35">
      <c r="B20" t="s">
        <v>34</v>
      </c>
      <c r="C20" s="1"/>
      <c r="D20" s="14">
        <f>D17/(1+$C$2)^D6/$C$10</f>
        <v>0.10377358490566037</v>
      </c>
      <c r="E20" s="14">
        <f>E17/(1+$C$2)^E6/$C$10+D20</f>
        <v>0.19900320398718402</v>
      </c>
      <c r="F20" s="14">
        <f t="shared" ref="F20:W20" si="8">F17/(1+$C$2)^F6/$C$10+E20</f>
        <v>0.28632360942254337</v>
      </c>
      <c r="G20" s="14">
        <f t="shared" si="8"/>
        <v>0.36632506940958343</v>
      </c>
      <c r="H20" s="14">
        <f t="shared" si="8"/>
        <v>0.43955637035045703</v>
      </c>
      <c r="I20" s="14">
        <f t="shared" si="8"/>
        <v>0.50652762169222632</v>
      </c>
      <c r="J20" s="14">
        <f t="shared" si="8"/>
        <v>0.56771287614548127</v>
      </c>
      <c r="K20" s="14">
        <f t="shared" si="8"/>
        <v>0.62355257719490387</v>
      </c>
      <c r="L20" s="14">
        <f t="shared" si="8"/>
        <v>0.67445584505848599</v>
      </c>
      <c r="M20" s="14">
        <f t="shared" si="8"/>
        <v>0.72080261154244074</v>
      </c>
      <c r="N20" s="14">
        <f t="shared" si="8"/>
        <v>0.76294561357377044</v>
      </c>
      <c r="O20" s="14">
        <f t="shared" si="8"/>
        <v>0.80121225456919953</v>
      </c>
      <c r="P20" s="14">
        <f t="shared" si="8"/>
        <v>0.83590634221514104</v>
      </c>
      <c r="Q20" s="14">
        <f t="shared" si="8"/>
        <v>0.86730971068609786</v>
      </c>
      <c r="R20" s="14">
        <f t="shared" si="8"/>
        <v>0.89568373481611463</v>
      </c>
      <c r="S20" s="14">
        <f t="shared" si="8"/>
        <v>0.92127074325744496</v>
      </c>
      <c r="T20" s="14">
        <f t="shared" si="8"/>
        <v>0.94429533721045622</v>
      </c>
      <c r="U20" s="14">
        <f t="shared" si="8"/>
        <v>0.96496562088707927</v>
      </c>
      <c r="V20" s="14">
        <f t="shared" si="8"/>
        <v>0.9834743494750372</v>
      </c>
      <c r="W20" s="14">
        <f t="shared" si="8"/>
        <v>0.99999999999999967</v>
      </c>
    </row>
    <row r="21" spans="2:24" x14ac:dyDescent="0.35">
      <c r="C21" s="1"/>
      <c r="D21" s="11"/>
    </row>
    <row r="22" spans="2:24" ht="15" thickBot="1" x14ac:dyDescent="0.4">
      <c r="B22" s="9" t="s">
        <v>45</v>
      </c>
      <c r="C22" s="9"/>
      <c r="D22" s="9"/>
    </row>
    <row r="23" spans="2:24" x14ac:dyDescent="0.35">
      <c r="B23" t="s">
        <v>29</v>
      </c>
      <c r="C23" s="3">
        <v>-100</v>
      </c>
    </row>
    <row r="24" spans="2:24" x14ac:dyDescent="0.35">
      <c r="B24" t="s">
        <v>36</v>
      </c>
      <c r="C24" s="3"/>
      <c r="D24" s="3">
        <f>-C23/20</f>
        <v>5</v>
      </c>
      <c r="E24" s="3">
        <f>D24</f>
        <v>5</v>
      </c>
      <c r="F24" s="3">
        <f t="shared" ref="F24:W24" si="9">E24</f>
        <v>5</v>
      </c>
      <c r="G24" s="3">
        <f t="shared" si="9"/>
        <v>5</v>
      </c>
      <c r="H24" s="3">
        <f t="shared" si="9"/>
        <v>5</v>
      </c>
      <c r="I24" s="3">
        <f t="shared" si="9"/>
        <v>5</v>
      </c>
      <c r="J24" s="3">
        <f t="shared" si="9"/>
        <v>5</v>
      </c>
      <c r="K24" s="3">
        <f t="shared" si="9"/>
        <v>5</v>
      </c>
      <c r="L24" s="3">
        <f t="shared" si="9"/>
        <v>5</v>
      </c>
      <c r="M24" s="3">
        <f t="shared" si="9"/>
        <v>5</v>
      </c>
      <c r="N24" s="3">
        <f t="shared" si="9"/>
        <v>5</v>
      </c>
      <c r="O24" s="3">
        <f t="shared" si="9"/>
        <v>5</v>
      </c>
      <c r="P24" s="3">
        <f t="shared" si="9"/>
        <v>5</v>
      </c>
      <c r="Q24" s="3">
        <f t="shared" si="9"/>
        <v>5</v>
      </c>
      <c r="R24" s="3">
        <f t="shared" si="9"/>
        <v>5</v>
      </c>
      <c r="S24" s="3">
        <f t="shared" si="9"/>
        <v>5</v>
      </c>
      <c r="T24" s="3">
        <f t="shared" si="9"/>
        <v>5</v>
      </c>
      <c r="U24" s="3">
        <f t="shared" si="9"/>
        <v>5</v>
      </c>
      <c r="V24" s="3">
        <f t="shared" si="9"/>
        <v>5</v>
      </c>
      <c r="W24" s="3">
        <f t="shared" si="9"/>
        <v>5</v>
      </c>
    </row>
    <row r="25" spans="2:24" x14ac:dyDescent="0.35">
      <c r="B25" t="s">
        <v>37</v>
      </c>
      <c r="C25" s="3">
        <f>-C23</f>
        <v>100</v>
      </c>
      <c r="D25" s="3">
        <f>-C23-D24</f>
        <v>95</v>
      </c>
      <c r="E25" s="3">
        <f t="shared" ref="E25:W25" si="10">D25-E24</f>
        <v>90</v>
      </c>
      <c r="F25" s="3">
        <f t="shared" si="10"/>
        <v>85</v>
      </c>
      <c r="G25" s="3">
        <f t="shared" si="10"/>
        <v>80</v>
      </c>
      <c r="H25" s="3">
        <f t="shared" si="10"/>
        <v>75</v>
      </c>
      <c r="I25" s="3">
        <f t="shared" si="10"/>
        <v>70</v>
      </c>
      <c r="J25" s="3">
        <f t="shared" si="10"/>
        <v>65</v>
      </c>
      <c r="K25" s="3">
        <f t="shared" si="10"/>
        <v>60</v>
      </c>
      <c r="L25" s="3">
        <f t="shared" si="10"/>
        <v>55</v>
      </c>
      <c r="M25" s="3">
        <f t="shared" si="10"/>
        <v>50</v>
      </c>
      <c r="N25" s="3">
        <f t="shared" si="10"/>
        <v>45</v>
      </c>
      <c r="O25" s="3">
        <f t="shared" si="10"/>
        <v>40</v>
      </c>
      <c r="P25" s="3">
        <f t="shared" si="10"/>
        <v>35</v>
      </c>
      <c r="Q25" s="3">
        <f t="shared" si="10"/>
        <v>30</v>
      </c>
      <c r="R25" s="3">
        <f t="shared" si="10"/>
        <v>25</v>
      </c>
      <c r="S25" s="3">
        <f t="shared" si="10"/>
        <v>20</v>
      </c>
      <c r="T25" s="3">
        <f t="shared" si="10"/>
        <v>15</v>
      </c>
      <c r="U25" s="3">
        <f t="shared" si="10"/>
        <v>10</v>
      </c>
      <c r="V25" s="3">
        <f t="shared" si="10"/>
        <v>5</v>
      </c>
      <c r="W25" s="3">
        <f t="shared" si="10"/>
        <v>0</v>
      </c>
    </row>
    <row r="26" spans="2:24" x14ac:dyDescent="0.35">
      <c r="B26" t="s">
        <v>38</v>
      </c>
      <c r="C26" s="3"/>
      <c r="D26" s="3">
        <f t="shared" ref="D26:W26" si="11">C25*$C$2</f>
        <v>6</v>
      </c>
      <c r="E26" s="3">
        <f t="shared" si="11"/>
        <v>5.7</v>
      </c>
      <c r="F26" s="3">
        <f t="shared" si="11"/>
        <v>5.3999999999999995</v>
      </c>
      <c r="G26" s="3">
        <f t="shared" si="11"/>
        <v>5.0999999999999996</v>
      </c>
      <c r="H26" s="3">
        <f t="shared" si="11"/>
        <v>4.8</v>
      </c>
      <c r="I26" s="3">
        <f t="shared" si="11"/>
        <v>4.5</v>
      </c>
      <c r="J26" s="3">
        <f t="shared" si="11"/>
        <v>4.2</v>
      </c>
      <c r="K26" s="3">
        <f t="shared" si="11"/>
        <v>3.9</v>
      </c>
      <c r="L26" s="3">
        <f t="shared" si="11"/>
        <v>3.5999999999999996</v>
      </c>
      <c r="M26" s="3">
        <f t="shared" si="11"/>
        <v>3.3</v>
      </c>
      <c r="N26" s="3">
        <f t="shared" si="11"/>
        <v>3</v>
      </c>
      <c r="O26" s="3">
        <f t="shared" si="11"/>
        <v>2.6999999999999997</v>
      </c>
      <c r="P26" s="3">
        <f t="shared" si="11"/>
        <v>2.4</v>
      </c>
      <c r="Q26" s="3">
        <f t="shared" si="11"/>
        <v>2.1</v>
      </c>
      <c r="R26" s="3">
        <f t="shared" si="11"/>
        <v>1.7999999999999998</v>
      </c>
      <c r="S26" s="3">
        <f t="shared" si="11"/>
        <v>1.5</v>
      </c>
      <c r="T26" s="3">
        <f t="shared" si="11"/>
        <v>1.2</v>
      </c>
      <c r="U26" s="3">
        <f t="shared" si="11"/>
        <v>0.89999999999999991</v>
      </c>
      <c r="V26" s="3">
        <f t="shared" si="11"/>
        <v>0.6</v>
      </c>
      <c r="W26" s="3">
        <f t="shared" si="11"/>
        <v>0.3</v>
      </c>
    </row>
    <row r="27" spans="2:24" x14ac:dyDescent="0.35">
      <c r="B27" t="s">
        <v>27</v>
      </c>
      <c r="C27" s="3"/>
      <c r="D27" s="3">
        <f t="shared" ref="D27:W27" si="12">D26/(1-$C$3)-D26</f>
        <v>2.5714285714285712</v>
      </c>
      <c r="E27" s="3">
        <f t="shared" si="12"/>
        <v>2.4428571428571439</v>
      </c>
      <c r="F27" s="3">
        <f t="shared" si="12"/>
        <v>2.3142857142857149</v>
      </c>
      <c r="G27" s="3">
        <f t="shared" si="12"/>
        <v>2.1857142857142859</v>
      </c>
      <c r="H27" s="3">
        <f t="shared" si="12"/>
        <v>2.0571428571428578</v>
      </c>
      <c r="I27" s="3">
        <f t="shared" si="12"/>
        <v>1.9285714285714288</v>
      </c>
      <c r="J27" s="3">
        <f t="shared" si="12"/>
        <v>1.8000000000000007</v>
      </c>
      <c r="K27" s="3">
        <f t="shared" si="12"/>
        <v>1.6714285714285722</v>
      </c>
      <c r="L27" s="3">
        <f t="shared" si="12"/>
        <v>1.5428571428571427</v>
      </c>
      <c r="M27" s="3">
        <f t="shared" si="12"/>
        <v>1.4142857142857146</v>
      </c>
      <c r="N27" s="3">
        <f t="shared" si="12"/>
        <v>1.2857142857142856</v>
      </c>
      <c r="O27" s="3">
        <f t="shared" si="12"/>
        <v>1.1571428571428575</v>
      </c>
      <c r="P27" s="3">
        <f t="shared" si="12"/>
        <v>1.0285714285714289</v>
      </c>
      <c r="Q27" s="3">
        <f t="shared" si="12"/>
        <v>0.90000000000000036</v>
      </c>
      <c r="R27" s="3">
        <f t="shared" si="12"/>
        <v>0.77142857142857135</v>
      </c>
      <c r="S27" s="3">
        <f t="shared" si="12"/>
        <v>0.64285714285714279</v>
      </c>
      <c r="T27" s="3">
        <f t="shared" si="12"/>
        <v>0.51428571428571446</v>
      </c>
      <c r="U27" s="3">
        <f t="shared" si="12"/>
        <v>0.38571428571428568</v>
      </c>
      <c r="V27" s="3">
        <f t="shared" si="12"/>
        <v>0.25714285714285723</v>
      </c>
      <c r="W27" s="3">
        <f t="shared" si="12"/>
        <v>0.12857142857142861</v>
      </c>
      <c r="X27" s="3"/>
    </row>
    <row r="28" spans="2:24" x14ac:dyDescent="0.35">
      <c r="B28" t="s">
        <v>6</v>
      </c>
      <c r="C28" s="4"/>
      <c r="D28" s="4">
        <f t="shared" ref="D28:W28" si="13">D24+D26+D27</f>
        <v>13.571428571428571</v>
      </c>
      <c r="E28" s="4">
        <f t="shared" si="13"/>
        <v>13.142857142857142</v>
      </c>
      <c r="F28" s="4">
        <f t="shared" si="13"/>
        <v>12.714285714285714</v>
      </c>
      <c r="G28" s="4">
        <f t="shared" si="13"/>
        <v>12.285714285714285</v>
      </c>
      <c r="H28" s="4">
        <f t="shared" si="13"/>
        <v>11.857142857142858</v>
      </c>
      <c r="I28" s="6">
        <f t="shared" si="13"/>
        <v>11.428571428571429</v>
      </c>
      <c r="J28" s="6">
        <f t="shared" si="13"/>
        <v>11</v>
      </c>
      <c r="K28" s="6">
        <f t="shared" si="13"/>
        <v>10.571428571428573</v>
      </c>
      <c r="L28" s="6">
        <f t="shared" si="13"/>
        <v>10.142857142857142</v>
      </c>
      <c r="M28" s="6">
        <f t="shared" si="13"/>
        <v>9.7142857142857153</v>
      </c>
      <c r="N28" s="3">
        <f t="shared" si="13"/>
        <v>9.2857142857142847</v>
      </c>
      <c r="O28" s="3">
        <f t="shared" si="13"/>
        <v>8.8571428571428577</v>
      </c>
      <c r="P28" s="3">
        <f t="shared" si="13"/>
        <v>8.4285714285714288</v>
      </c>
      <c r="Q28" s="3">
        <f t="shared" si="13"/>
        <v>8</v>
      </c>
      <c r="R28" s="3">
        <f t="shared" si="13"/>
        <v>7.5714285714285712</v>
      </c>
      <c r="S28" s="3">
        <f t="shared" si="13"/>
        <v>7.1428571428571423</v>
      </c>
      <c r="T28" s="3">
        <f t="shared" si="13"/>
        <v>6.7142857142857144</v>
      </c>
      <c r="U28" s="3">
        <f t="shared" si="13"/>
        <v>6.2857142857142865</v>
      </c>
      <c r="V28" s="3">
        <f t="shared" si="13"/>
        <v>5.8571428571428568</v>
      </c>
      <c r="W28" s="3">
        <f t="shared" si="13"/>
        <v>5.4285714285714288</v>
      </c>
    </row>
    <row r="29" spans="2:24" x14ac:dyDescent="0.35">
      <c r="B29" t="s">
        <v>8</v>
      </c>
      <c r="C29" s="3">
        <f>-C25</f>
        <v>-100</v>
      </c>
      <c r="D29" s="3">
        <f t="shared" ref="D29:W29" si="14">D28</f>
        <v>13.571428571428571</v>
      </c>
      <c r="E29" s="3">
        <f t="shared" si="14"/>
        <v>13.142857142857142</v>
      </c>
      <c r="F29" s="3">
        <f t="shared" si="14"/>
        <v>12.714285714285714</v>
      </c>
      <c r="G29" s="3">
        <f t="shared" si="14"/>
        <v>12.285714285714285</v>
      </c>
      <c r="H29" s="3">
        <f t="shared" si="14"/>
        <v>11.857142857142858</v>
      </c>
      <c r="I29" s="3">
        <f t="shared" si="14"/>
        <v>11.428571428571429</v>
      </c>
      <c r="J29" s="3">
        <f t="shared" si="14"/>
        <v>11</v>
      </c>
      <c r="K29" s="3">
        <f t="shared" si="14"/>
        <v>10.571428571428573</v>
      </c>
      <c r="L29" s="3">
        <f t="shared" si="14"/>
        <v>10.142857142857142</v>
      </c>
      <c r="M29" s="3">
        <f t="shared" si="14"/>
        <v>9.7142857142857153</v>
      </c>
      <c r="N29" s="3">
        <f t="shared" si="14"/>
        <v>9.2857142857142847</v>
      </c>
      <c r="O29" s="3">
        <f t="shared" si="14"/>
        <v>8.8571428571428577</v>
      </c>
      <c r="P29" s="3">
        <f t="shared" si="14"/>
        <v>8.4285714285714288</v>
      </c>
      <c r="Q29" s="3">
        <f t="shared" si="14"/>
        <v>8</v>
      </c>
      <c r="R29" s="3">
        <f t="shared" si="14"/>
        <v>7.5714285714285712</v>
      </c>
      <c r="S29" s="3">
        <f t="shared" si="14"/>
        <v>7.1428571428571423</v>
      </c>
      <c r="T29" s="3">
        <f t="shared" si="14"/>
        <v>6.7142857142857144</v>
      </c>
      <c r="U29" s="3">
        <f t="shared" si="14"/>
        <v>6.2857142857142865</v>
      </c>
      <c r="V29" s="3">
        <f t="shared" si="14"/>
        <v>5.8571428571428568</v>
      </c>
      <c r="W29" s="3">
        <f t="shared" si="14"/>
        <v>5.4285714285714288</v>
      </c>
    </row>
    <row r="30" spans="2:24" x14ac:dyDescent="0.35">
      <c r="B30" t="s">
        <v>9</v>
      </c>
      <c r="C30" s="3">
        <f t="shared" ref="C30:W30" si="15">C29*$C$3</f>
        <v>-30</v>
      </c>
      <c r="D30" s="3">
        <f t="shared" si="15"/>
        <v>4.0714285714285712</v>
      </c>
      <c r="E30" s="3">
        <f t="shared" si="15"/>
        <v>3.9428571428571426</v>
      </c>
      <c r="F30" s="3">
        <f t="shared" si="15"/>
        <v>3.8142857142857141</v>
      </c>
      <c r="G30" s="3">
        <f t="shared" si="15"/>
        <v>3.6857142857142851</v>
      </c>
      <c r="H30" s="3">
        <f t="shared" si="15"/>
        <v>3.5571428571428574</v>
      </c>
      <c r="I30" s="3">
        <f t="shared" si="15"/>
        <v>3.4285714285714284</v>
      </c>
      <c r="J30" s="3">
        <f t="shared" si="15"/>
        <v>3.3</v>
      </c>
      <c r="K30" s="3">
        <f t="shared" si="15"/>
        <v>3.1714285714285717</v>
      </c>
      <c r="L30" s="3">
        <f t="shared" si="15"/>
        <v>3.0428571428571427</v>
      </c>
      <c r="M30" s="3">
        <f t="shared" si="15"/>
        <v>2.9142857142857146</v>
      </c>
      <c r="N30" s="3">
        <f t="shared" si="15"/>
        <v>2.7857142857142851</v>
      </c>
      <c r="O30" s="3">
        <f t="shared" si="15"/>
        <v>2.657142857142857</v>
      </c>
      <c r="P30" s="3">
        <f t="shared" si="15"/>
        <v>2.5285714285714285</v>
      </c>
      <c r="Q30" s="3">
        <f t="shared" si="15"/>
        <v>2.4</v>
      </c>
      <c r="R30" s="3">
        <f t="shared" si="15"/>
        <v>2.2714285714285714</v>
      </c>
      <c r="S30" s="3">
        <f t="shared" si="15"/>
        <v>2.1428571428571428</v>
      </c>
      <c r="T30" s="3">
        <f t="shared" si="15"/>
        <v>2.0142857142857142</v>
      </c>
      <c r="U30" s="3">
        <f t="shared" si="15"/>
        <v>1.8857142857142859</v>
      </c>
      <c r="V30" s="3">
        <f t="shared" si="15"/>
        <v>1.7571428571428569</v>
      </c>
      <c r="W30" s="3">
        <f t="shared" si="15"/>
        <v>1.6285714285714286</v>
      </c>
      <c r="X30" s="3"/>
    </row>
    <row r="31" spans="2:24" x14ac:dyDescent="0.35">
      <c r="B31" s="15"/>
      <c r="C31" s="16"/>
    </row>
    <row r="32" spans="2:24" x14ac:dyDescent="0.35">
      <c r="B32" t="s">
        <v>28</v>
      </c>
      <c r="C32" s="3">
        <f>C28-C30</f>
        <v>30</v>
      </c>
      <c r="D32" s="3">
        <f>D29-D30</f>
        <v>9.5</v>
      </c>
      <c r="E32" s="3">
        <f t="shared" ref="E32:W32" si="16">E29-E30</f>
        <v>9.1999999999999993</v>
      </c>
      <c r="F32" s="3">
        <f t="shared" si="16"/>
        <v>8.8999999999999986</v>
      </c>
      <c r="G32" s="3">
        <f t="shared" si="16"/>
        <v>8.6</v>
      </c>
      <c r="H32" s="3">
        <f t="shared" si="16"/>
        <v>8.3000000000000007</v>
      </c>
      <c r="I32" s="3">
        <f t="shared" si="16"/>
        <v>8</v>
      </c>
      <c r="J32" s="3">
        <f t="shared" si="16"/>
        <v>7.7</v>
      </c>
      <c r="K32" s="3">
        <f t="shared" si="16"/>
        <v>7.4000000000000012</v>
      </c>
      <c r="L32" s="3">
        <f t="shared" si="16"/>
        <v>7.1</v>
      </c>
      <c r="M32" s="3">
        <f t="shared" si="16"/>
        <v>6.8000000000000007</v>
      </c>
      <c r="N32" s="3">
        <f t="shared" si="16"/>
        <v>6.5</v>
      </c>
      <c r="O32" s="3">
        <f t="shared" si="16"/>
        <v>6.2000000000000011</v>
      </c>
      <c r="P32" s="3">
        <f t="shared" si="16"/>
        <v>5.9</v>
      </c>
      <c r="Q32" s="3">
        <f t="shared" si="16"/>
        <v>5.6</v>
      </c>
      <c r="R32" s="3">
        <f t="shared" si="16"/>
        <v>5.3</v>
      </c>
      <c r="S32" s="3">
        <f t="shared" si="16"/>
        <v>5</v>
      </c>
      <c r="T32" s="3">
        <f t="shared" si="16"/>
        <v>4.7</v>
      </c>
      <c r="U32" s="3">
        <f t="shared" si="16"/>
        <v>4.4000000000000004</v>
      </c>
      <c r="V32" s="3">
        <f t="shared" si="16"/>
        <v>4.0999999999999996</v>
      </c>
      <c r="W32" s="3">
        <f t="shared" si="16"/>
        <v>3.8000000000000003</v>
      </c>
    </row>
    <row r="33" spans="2:24" x14ac:dyDescent="0.35">
      <c r="B33" s="18" t="s">
        <v>7</v>
      </c>
      <c r="C33" s="19">
        <f>NPV($C$2,D32:W32)+C32</f>
        <v>112.79511817215207</v>
      </c>
    </row>
    <row r="34" spans="2:24" x14ac:dyDescent="0.35">
      <c r="B34" t="s">
        <v>30</v>
      </c>
      <c r="C34" s="1">
        <f>NPV($C$2,D32:H32)+C32</f>
        <v>67.637091356697127</v>
      </c>
      <c r="D34" s="10">
        <f>C34/C25</f>
        <v>0.67637091356697132</v>
      </c>
    </row>
    <row r="35" spans="2:24" x14ac:dyDescent="0.35">
      <c r="B35" t="s">
        <v>41</v>
      </c>
      <c r="C35" s="20">
        <v>8.5714258797295328E-2</v>
      </c>
      <c r="D35" s="10"/>
    </row>
    <row r="36" spans="2:24" x14ac:dyDescent="0.35">
      <c r="C36" s="17"/>
      <c r="D36" s="17"/>
      <c r="E36" s="17"/>
      <c r="F36" s="17"/>
      <c r="G36" s="17"/>
      <c r="H36" s="17"/>
      <c r="I36" s="17"/>
      <c r="J36" s="17"/>
      <c r="K36" s="17"/>
      <c r="L36" s="17"/>
      <c r="M36" s="17"/>
      <c r="N36" s="17"/>
      <c r="O36" s="17"/>
      <c r="P36" s="17"/>
      <c r="Q36" s="17"/>
      <c r="R36" s="17"/>
      <c r="S36" s="17"/>
      <c r="T36" s="17"/>
      <c r="U36" s="17"/>
      <c r="V36" s="17"/>
      <c r="W36" s="17"/>
    </row>
    <row r="37" spans="2:24" x14ac:dyDescent="0.35">
      <c r="B37" t="s">
        <v>39</v>
      </c>
      <c r="C37" s="17"/>
      <c r="D37" s="17">
        <f t="shared" ref="D37:W37" si="17">SUM(D28,D36)</f>
        <v>13.571428571428571</v>
      </c>
      <c r="E37" s="17">
        <f t="shared" si="17"/>
        <v>13.142857142857142</v>
      </c>
      <c r="F37" s="17">
        <f t="shared" si="17"/>
        <v>12.714285714285714</v>
      </c>
      <c r="G37" s="17">
        <f t="shared" si="17"/>
        <v>12.285714285714285</v>
      </c>
      <c r="H37" s="17">
        <f t="shared" si="17"/>
        <v>11.857142857142858</v>
      </c>
      <c r="I37" s="17">
        <f t="shared" si="17"/>
        <v>11.428571428571429</v>
      </c>
      <c r="J37" s="17">
        <f t="shared" si="17"/>
        <v>11</v>
      </c>
      <c r="K37" s="17">
        <f t="shared" si="17"/>
        <v>10.571428571428573</v>
      </c>
      <c r="L37" s="17">
        <f t="shared" si="17"/>
        <v>10.142857142857142</v>
      </c>
      <c r="M37" s="17">
        <f t="shared" si="17"/>
        <v>9.7142857142857153</v>
      </c>
      <c r="N37" s="17">
        <f t="shared" si="17"/>
        <v>9.2857142857142847</v>
      </c>
      <c r="O37" s="17">
        <f t="shared" si="17"/>
        <v>8.8571428571428577</v>
      </c>
      <c r="P37" s="17">
        <f t="shared" si="17"/>
        <v>8.4285714285714288</v>
      </c>
      <c r="Q37" s="17">
        <f t="shared" si="17"/>
        <v>8</v>
      </c>
      <c r="R37" s="17">
        <f t="shared" si="17"/>
        <v>7.5714285714285712</v>
      </c>
      <c r="S37" s="17">
        <f t="shared" si="17"/>
        <v>7.1428571428571423</v>
      </c>
      <c r="T37" s="17">
        <f t="shared" si="17"/>
        <v>6.7142857142857144</v>
      </c>
      <c r="U37" s="17">
        <f t="shared" si="17"/>
        <v>6.2857142857142865</v>
      </c>
      <c r="V37" s="17">
        <f t="shared" si="17"/>
        <v>5.8571428571428568</v>
      </c>
      <c r="W37" s="17">
        <f t="shared" si="17"/>
        <v>5.4285714285714288</v>
      </c>
    </row>
    <row r="38" spans="2:24" x14ac:dyDescent="0.35">
      <c r="C38" s="1"/>
      <c r="D38" s="10"/>
    </row>
    <row r="39" spans="2:24" ht="15" thickBot="1" x14ac:dyDescent="0.4">
      <c r="B39" s="9" t="s">
        <v>46</v>
      </c>
      <c r="C39" s="9"/>
      <c r="D39" s="9"/>
      <c r="I39">
        <f>(D43+D41)/(1-C3)</f>
        <v>15.714285714285715</v>
      </c>
      <c r="J39" s="3">
        <f>I39-(D43+D41)</f>
        <v>4.7142857142857153</v>
      </c>
    </row>
    <row r="40" spans="2:24" x14ac:dyDescent="0.35">
      <c r="B40" t="s">
        <v>1</v>
      </c>
      <c r="C40" s="3">
        <v>-100</v>
      </c>
    </row>
    <row r="41" spans="2:24" x14ac:dyDescent="0.35">
      <c r="B41" t="s">
        <v>36</v>
      </c>
      <c r="C41" s="3"/>
      <c r="D41">
        <f>-C40/20</f>
        <v>5</v>
      </c>
      <c r="E41">
        <f>D41</f>
        <v>5</v>
      </c>
      <c r="F41">
        <f t="shared" ref="F41:W41" si="18">E41</f>
        <v>5</v>
      </c>
      <c r="G41">
        <f t="shared" si="18"/>
        <v>5</v>
      </c>
      <c r="H41">
        <f t="shared" si="18"/>
        <v>5</v>
      </c>
      <c r="I41">
        <f t="shared" si="18"/>
        <v>5</v>
      </c>
      <c r="J41">
        <f t="shared" si="18"/>
        <v>5</v>
      </c>
      <c r="K41">
        <f t="shared" si="18"/>
        <v>5</v>
      </c>
      <c r="L41">
        <f t="shared" si="18"/>
        <v>5</v>
      </c>
      <c r="M41">
        <f t="shared" si="18"/>
        <v>5</v>
      </c>
      <c r="N41">
        <f t="shared" si="18"/>
        <v>5</v>
      </c>
      <c r="O41">
        <f t="shared" si="18"/>
        <v>5</v>
      </c>
      <c r="P41">
        <f t="shared" si="18"/>
        <v>5</v>
      </c>
      <c r="Q41">
        <f t="shared" si="18"/>
        <v>5</v>
      </c>
      <c r="R41">
        <f t="shared" si="18"/>
        <v>5</v>
      </c>
      <c r="S41">
        <f t="shared" si="18"/>
        <v>5</v>
      </c>
      <c r="T41">
        <f t="shared" si="18"/>
        <v>5</v>
      </c>
      <c r="U41">
        <f t="shared" si="18"/>
        <v>5</v>
      </c>
      <c r="V41">
        <f t="shared" si="18"/>
        <v>5</v>
      </c>
      <c r="W41">
        <f t="shared" si="18"/>
        <v>5</v>
      </c>
    </row>
    <row r="42" spans="2:24" x14ac:dyDescent="0.35">
      <c r="B42" t="s">
        <v>37</v>
      </c>
      <c r="C42" s="3">
        <f>-C40</f>
        <v>100</v>
      </c>
      <c r="D42">
        <f>-C40-D41</f>
        <v>95</v>
      </c>
      <c r="E42">
        <f t="shared" ref="E42:W42" si="19">D42-E41</f>
        <v>90</v>
      </c>
      <c r="F42">
        <f t="shared" si="19"/>
        <v>85</v>
      </c>
      <c r="G42">
        <f t="shared" si="19"/>
        <v>80</v>
      </c>
      <c r="H42">
        <f t="shared" si="19"/>
        <v>75</v>
      </c>
      <c r="I42">
        <f t="shared" si="19"/>
        <v>70</v>
      </c>
      <c r="J42">
        <f t="shared" si="19"/>
        <v>65</v>
      </c>
      <c r="K42">
        <f t="shared" si="19"/>
        <v>60</v>
      </c>
      <c r="L42">
        <f t="shared" si="19"/>
        <v>55</v>
      </c>
      <c r="M42">
        <f t="shared" si="19"/>
        <v>50</v>
      </c>
      <c r="N42">
        <f t="shared" si="19"/>
        <v>45</v>
      </c>
      <c r="O42">
        <f t="shared" si="19"/>
        <v>40</v>
      </c>
      <c r="P42">
        <f t="shared" si="19"/>
        <v>35</v>
      </c>
      <c r="Q42">
        <f t="shared" si="19"/>
        <v>30</v>
      </c>
      <c r="R42">
        <f t="shared" si="19"/>
        <v>25</v>
      </c>
      <c r="S42">
        <f t="shared" si="19"/>
        <v>20</v>
      </c>
      <c r="T42">
        <f t="shared" si="19"/>
        <v>15</v>
      </c>
      <c r="U42">
        <f t="shared" si="19"/>
        <v>10</v>
      </c>
      <c r="V42">
        <f t="shared" si="19"/>
        <v>5</v>
      </c>
      <c r="W42">
        <f t="shared" si="19"/>
        <v>0</v>
      </c>
    </row>
    <row r="43" spans="2:24" x14ac:dyDescent="0.35">
      <c r="B43" t="s">
        <v>38</v>
      </c>
      <c r="C43" s="3"/>
      <c r="D43" s="3">
        <f>C42*$C$2</f>
        <v>6</v>
      </c>
      <c r="E43" s="3">
        <f t="shared" ref="E43:W43" si="20">D42*$C$2</f>
        <v>5.7</v>
      </c>
      <c r="F43" s="3">
        <f t="shared" si="20"/>
        <v>5.3999999999999995</v>
      </c>
      <c r="G43" s="3">
        <f t="shared" si="20"/>
        <v>5.0999999999999996</v>
      </c>
      <c r="H43" s="3">
        <f t="shared" si="20"/>
        <v>4.8</v>
      </c>
      <c r="I43" s="3">
        <f t="shared" si="20"/>
        <v>4.5</v>
      </c>
      <c r="J43" s="3">
        <f t="shared" si="20"/>
        <v>4.2</v>
      </c>
      <c r="K43" s="3">
        <f t="shared" si="20"/>
        <v>3.9</v>
      </c>
      <c r="L43" s="3">
        <f t="shared" si="20"/>
        <v>3.5999999999999996</v>
      </c>
      <c r="M43" s="3">
        <f t="shared" si="20"/>
        <v>3.3</v>
      </c>
      <c r="N43" s="3">
        <f t="shared" si="20"/>
        <v>3</v>
      </c>
      <c r="O43" s="3">
        <f t="shared" si="20"/>
        <v>2.6999999999999997</v>
      </c>
      <c r="P43" s="3">
        <f t="shared" si="20"/>
        <v>2.4</v>
      </c>
      <c r="Q43" s="3">
        <f t="shared" si="20"/>
        <v>2.1</v>
      </c>
      <c r="R43" s="3">
        <f t="shared" si="20"/>
        <v>1.7999999999999998</v>
      </c>
      <c r="S43" s="3">
        <f t="shared" si="20"/>
        <v>1.5</v>
      </c>
      <c r="T43" s="3">
        <f t="shared" si="20"/>
        <v>1.2</v>
      </c>
      <c r="U43" s="3">
        <f t="shared" si="20"/>
        <v>0.89999999999999991</v>
      </c>
      <c r="V43" s="3">
        <f t="shared" si="20"/>
        <v>0.6</v>
      </c>
      <c r="W43" s="3">
        <f t="shared" si="20"/>
        <v>0.3</v>
      </c>
    </row>
    <row r="44" spans="2:24" x14ac:dyDescent="0.35">
      <c r="B44" t="s">
        <v>27</v>
      </c>
      <c r="C44" s="3">
        <f>C40*C3</f>
        <v>-30</v>
      </c>
      <c r="D44" s="3">
        <f>(D41+D43)/(1-$C$3)-(D41+D43)</f>
        <v>4.7142857142857153</v>
      </c>
      <c r="E44" s="3">
        <f t="shared" ref="E44:W44" si="21">(E41+E43)/(1-$C$3)-(E41+E43)</f>
        <v>4.5857142857142872</v>
      </c>
      <c r="F44" s="3">
        <f t="shared" si="21"/>
        <v>4.4571428571428573</v>
      </c>
      <c r="G44" s="3">
        <f t="shared" si="21"/>
        <v>4.3285714285714292</v>
      </c>
      <c r="H44" s="3">
        <f t="shared" si="21"/>
        <v>4.2000000000000011</v>
      </c>
      <c r="I44" s="3">
        <f t="shared" si="21"/>
        <v>4.071428571428573</v>
      </c>
      <c r="J44" s="3">
        <f t="shared" si="21"/>
        <v>3.9428571428571431</v>
      </c>
      <c r="K44" s="3">
        <f t="shared" si="21"/>
        <v>3.8142857142857149</v>
      </c>
      <c r="L44" s="3">
        <f t="shared" si="21"/>
        <v>3.6857142857142868</v>
      </c>
      <c r="M44" s="3">
        <f t="shared" si="21"/>
        <v>3.5571428571428587</v>
      </c>
      <c r="N44" s="3">
        <f t="shared" si="21"/>
        <v>3.4285714285714288</v>
      </c>
      <c r="O44" s="3">
        <f t="shared" si="21"/>
        <v>3.3000000000000007</v>
      </c>
      <c r="P44" s="3">
        <f t="shared" si="21"/>
        <v>3.1714285714285726</v>
      </c>
      <c r="Q44" s="3">
        <f t="shared" si="21"/>
        <v>3.0428571428571427</v>
      </c>
      <c r="R44" s="3">
        <f t="shared" si="21"/>
        <v>2.9142857142857155</v>
      </c>
      <c r="S44" s="3">
        <f t="shared" si="21"/>
        <v>2.7857142857142865</v>
      </c>
      <c r="T44" s="3">
        <f t="shared" si="21"/>
        <v>2.6571428571428575</v>
      </c>
      <c r="U44" s="3">
        <f t="shared" si="21"/>
        <v>2.5285714285714285</v>
      </c>
      <c r="V44" s="3">
        <f t="shared" si="21"/>
        <v>2.4000000000000004</v>
      </c>
      <c r="W44" s="3">
        <f t="shared" si="21"/>
        <v>2.2714285714285722</v>
      </c>
      <c r="X44" s="3"/>
    </row>
    <row r="45" spans="2:24" x14ac:dyDescent="0.35">
      <c r="B45" t="s">
        <v>6</v>
      </c>
      <c r="C45" s="4">
        <f>C44</f>
        <v>-30</v>
      </c>
      <c r="D45" s="4">
        <f t="shared" ref="D45:W45" si="22">D41+D43+D44</f>
        <v>15.714285714285715</v>
      </c>
      <c r="E45" s="4">
        <f t="shared" si="22"/>
        <v>15.285714285714286</v>
      </c>
      <c r="F45" s="4">
        <f t="shared" si="22"/>
        <v>14.857142857142856</v>
      </c>
      <c r="G45" s="4">
        <f t="shared" si="22"/>
        <v>14.428571428571429</v>
      </c>
      <c r="H45" s="4">
        <f t="shared" si="22"/>
        <v>14.000000000000002</v>
      </c>
      <c r="I45" s="6">
        <f t="shared" si="22"/>
        <v>13.571428571428573</v>
      </c>
      <c r="J45" s="6">
        <f t="shared" si="22"/>
        <v>13.142857142857142</v>
      </c>
      <c r="K45" s="6">
        <f t="shared" si="22"/>
        <v>12.714285714285715</v>
      </c>
      <c r="L45" s="6">
        <f t="shared" si="22"/>
        <v>12.285714285714286</v>
      </c>
      <c r="M45" s="6">
        <f t="shared" si="22"/>
        <v>11.857142857142859</v>
      </c>
      <c r="N45" s="3">
        <f t="shared" si="22"/>
        <v>11.428571428571429</v>
      </c>
      <c r="O45" s="3">
        <f t="shared" si="22"/>
        <v>11</v>
      </c>
      <c r="P45" s="3">
        <f t="shared" si="22"/>
        <v>10.571428571428573</v>
      </c>
      <c r="Q45" s="3">
        <f t="shared" si="22"/>
        <v>10.142857142857142</v>
      </c>
      <c r="R45" s="3">
        <f t="shared" si="22"/>
        <v>9.7142857142857153</v>
      </c>
      <c r="S45" s="3">
        <f t="shared" si="22"/>
        <v>9.2857142857142865</v>
      </c>
      <c r="T45" s="3">
        <f t="shared" si="22"/>
        <v>8.8571428571428577</v>
      </c>
      <c r="U45" s="3">
        <f t="shared" si="22"/>
        <v>8.4285714285714288</v>
      </c>
      <c r="V45" s="3">
        <f t="shared" si="22"/>
        <v>8</v>
      </c>
      <c r="W45" s="3">
        <f t="shared" si="22"/>
        <v>7.5714285714285721</v>
      </c>
    </row>
    <row r="46" spans="2:24" x14ac:dyDescent="0.35">
      <c r="B46" t="s">
        <v>8</v>
      </c>
      <c r="C46" s="3">
        <f>C40</f>
        <v>-100</v>
      </c>
      <c r="D46" s="3">
        <f t="shared" ref="D46:W46" si="23">D45</f>
        <v>15.714285714285715</v>
      </c>
      <c r="E46" s="3">
        <f t="shared" si="23"/>
        <v>15.285714285714286</v>
      </c>
      <c r="F46" s="3">
        <f t="shared" si="23"/>
        <v>14.857142857142856</v>
      </c>
      <c r="G46" s="3">
        <f t="shared" si="23"/>
        <v>14.428571428571429</v>
      </c>
      <c r="H46" s="3">
        <f t="shared" si="23"/>
        <v>14.000000000000002</v>
      </c>
      <c r="I46" s="3">
        <f t="shared" si="23"/>
        <v>13.571428571428573</v>
      </c>
      <c r="J46" s="3">
        <f t="shared" si="23"/>
        <v>13.142857142857142</v>
      </c>
      <c r="K46" s="3">
        <f t="shared" si="23"/>
        <v>12.714285714285715</v>
      </c>
      <c r="L46" s="3">
        <f t="shared" si="23"/>
        <v>12.285714285714286</v>
      </c>
      <c r="M46" s="3">
        <f t="shared" si="23"/>
        <v>11.857142857142859</v>
      </c>
      <c r="N46" s="3">
        <f t="shared" si="23"/>
        <v>11.428571428571429</v>
      </c>
      <c r="O46" s="3">
        <f t="shared" si="23"/>
        <v>11</v>
      </c>
      <c r="P46" s="3">
        <f t="shared" si="23"/>
        <v>10.571428571428573</v>
      </c>
      <c r="Q46" s="3">
        <f t="shared" si="23"/>
        <v>10.142857142857142</v>
      </c>
      <c r="R46" s="3">
        <f t="shared" si="23"/>
        <v>9.7142857142857153</v>
      </c>
      <c r="S46" s="3">
        <f t="shared" si="23"/>
        <v>9.2857142857142865</v>
      </c>
      <c r="T46" s="3">
        <f t="shared" si="23"/>
        <v>8.8571428571428577</v>
      </c>
      <c r="U46" s="3">
        <f t="shared" si="23"/>
        <v>8.4285714285714288</v>
      </c>
      <c r="V46" s="3">
        <f t="shared" si="23"/>
        <v>8</v>
      </c>
      <c r="W46" s="3">
        <f t="shared" si="23"/>
        <v>7.5714285714285721</v>
      </c>
    </row>
    <row r="47" spans="2:24" x14ac:dyDescent="0.35">
      <c r="B47" t="s">
        <v>9</v>
      </c>
      <c r="C47" s="3">
        <f>C44</f>
        <v>-30</v>
      </c>
      <c r="D47" s="3">
        <f t="shared" ref="D47:W47" si="24">D46*$C$3</f>
        <v>4.7142857142857144</v>
      </c>
      <c r="E47" s="3">
        <f t="shared" si="24"/>
        <v>4.5857142857142854</v>
      </c>
      <c r="F47" s="3">
        <f t="shared" si="24"/>
        <v>4.4571428571428564</v>
      </c>
      <c r="G47" s="3">
        <f t="shared" si="24"/>
        <v>4.3285714285714283</v>
      </c>
      <c r="H47" s="3">
        <f t="shared" si="24"/>
        <v>4.2</v>
      </c>
      <c r="I47" s="3">
        <f t="shared" si="24"/>
        <v>4.0714285714285721</v>
      </c>
      <c r="J47" s="3">
        <f t="shared" si="24"/>
        <v>3.9428571428571426</v>
      </c>
      <c r="K47" s="3">
        <f t="shared" si="24"/>
        <v>3.8142857142857145</v>
      </c>
      <c r="L47" s="3">
        <f t="shared" si="24"/>
        <v>3.6857142857142859</v>
      </c>
      <c r="M47" s="3">
        <f t="shared" si="24"/>
        <v>3.5571428571428578</v>
      </c>
      <c r="N47" s="3">
        <f t="shared" si="24"/>
        <v>3.4285714285714284</v>
      </c>
      <c r="O47" s="3">
        <f t="shared" si="24"/>
        <v>3.3</v>
      </c>
      <c r="P47" s="3">
        <f t="shared" si="24"/>
        <v>3.1714285714285717</v>
      </c>
      <c r="Q47" s="3">
        <f t="shared" si="24"/>
        <v>3.0428571428571427</v>
      </c>
      <c r="R47" s="3">
        <f t="shared" si="24"/>
        <v>2.9142857142857146</v>
      </c>
      <c r="S47" s="3">
        <f t="shared" si="24"/>
        <v>2.785714285714286</v>
      </c>
      <c r="T47" s="3">
        <f t="shared" si="24"/>
        <v>2.657142857142857</v>
      </c>
      <c r="U47" s="3">
        <f t="shared" si="24"/>
        <v>2.5285714285714285</v>
      </c>
      <c r="V47" s="3">
        <f t="shared" si="24"/>
        <v>2.4</v>
      </c>
      <c r="W47" s="3">
        <f t="shared" si="24"/>
        <v>2.2714285714285714</v>
      </c>
      <c r="X47" s="3"/>
    </row>
    <row r="49" spans="2:23" x14ac:dyDescent="0.35">
      <c r="B49" t="s">
        <v>28</v>
      </c>
      <c r="D49" s="3">
        <f>D45-D47</f>
        <v>11</v>
      </c>
      <c r="E49" s="3">
        <f t="shared" ref="E49:W49" si="25">E45-E47</f>
        <v>10.700000000000001</v>
      </c>
      <c r="F49" s="3">
        <f t="shared" si="25"/>
        <v>10.399999999999999</v>
      </c>
      <c r="G49" s="3">
        <f t="shared" si="25"/>
        <v>10.100000000000001</v>
      </c>
      <c r="H49" s="3">
        <f t="shared" si="25"/>
        <v>9.8000000000000007</v>
      </c>
      <c r="I49" s="3">
        <f t="shared" si="25"/>
        <v>9.5</v>
      </c>
      <c r="J49" s="3">
        <f t="shared" si="25"/>
        <v>9.1999999999999993</v>
      </c>
      <c r="K49" s="3">
        <f t="shared" si="25"/>
        <v>8.9</v>
      </c>
      <c r="L49" s="3">
        <f t="shared" si="25"/>
        <v>8.6000000000000014</v>
      </c>
      <c r="M49" s="3">
        <f t="shared" si="25"/>
        <v>8.3000000000000007</v>
      </c>
      <c r="N49" s="3">
        <f t="shared" si="25"/>
        <v>8</v>
      </c>
      <c r="O49" s="3">
        <f t="shared" si="25"/>
        <v>7.7</v>
      </c>
      <c r="P49" s="3">
        <f t="shared" si="25"/>
        <v>7.4000000000000012</v>
      </c>
      <c r="Q49" s="3">
        <f t="shared" si="25"/>
        <v>7.1</v>
      </c>
      <c r="R49" s="3">
        <f t="shared" si="25"/>
        <v>6.8000000000000007</v>
      </c>
      <c r="S49" s="3">
        <f t="shared" si="25"/>
        <v>6.5</v>
      </c>
      <c r="T49" s="3">
        <f t="shared" si="25"/>
        <v>6.2000000000000011</v>
      </c>
      <c r="U49" s="3">
        <f t="shared" si="25"/>
        <v>5.9</v>
      </c>
      <c r="V49" s="3">
        <f t="shared" si="25"/>
        <v>5.6</v>
      </c>
      <c r="W49" s="3">
        <f t="shared" si="25"/>
        <v>5.3000000000000007</v>
      </c>
    </row>
    <row r="50" spans="2:23" x14ac:dyDescent="0.35">
      <c r="B50" s="18" t="s">
        <v>7</v>
      </c>
      <c r="C50" s="19">
        <f>NPV($C$2,D49:W49)</f>
        <v>99.999999999999986</v>
      </c>
    </row>
    <row r="51" spans="2:23" x14ac:dyDescent="0.35">
      <c r="B51" t="s">
        <v>30</v>
      </c>
      <c r="C51" s="1">
        <f>NPV($C$2,D49:H49)</f>
        <v>43.955637035045712</v>
      </c>
      <c r="D51" s="11">
        <f>C51/C42</f>
        <v>0.43955637035045714</v>
      </c>
      <c r="E51" s="1"/>
    </row>
    <row r="52" spans="2:23" x14ac:dyDescent="0.35">
      <c r="C52" s="1"/>
      <c r="D52" s="11"/>
      <c r="E52" s="1"/>
    </row>
    <row r="53" spans="2:23" x14ac:dyDescent="0.35">
      <c r="B53" t="s">
        <v>33</v>
      </c>
      <c r="C53" s="1"/>
      <c r="D53" s="12">
        <f t="shared" ref="D53:W53" si="26">MIN(D44,C54)</f>
        <v>4.7142857142857153</v>
      </c>
      <c r="E53" s="12">
        <f t="shared" si="26"/>
        <v>4.5857142857142872</v>
      </c>
      <c r="F53" s="12">
        <f t="shared" si="26"/>
        <v>4.4571428571428573</v>
      </c>
      <c r="G53" s="12">
        <f t="shared" si="26"/>
        <v>4.3285714285714292</v>
      </c>
      <c r="H53" s="12">
        <f t="shared" si="26"/>
        <v>4.2000000000000011</v>
      </c>
      <c r="I53" s="12">
        <f t="shared" si="26"/>
        <v>4.071428571428573</v>
      </c>
      <c r="J53" s="12">
        <f t="shared" si="26"/>
        <v>3.642857142857137</v>
      </c>
      <c r="K53" s="12">
        <f t="shared" si="26"/>
        <v>0</v>
      </c>
      <c r="L53" s="12">
        <f t="shared" si="26"/>
        <v>0</v>
      </c>
      <c r="M53" s="12">
        <f t="shared" si="26"/>
        <v>0</v>
      </c>
      <c r="N53" s="12">
        <f t="shared" si="26"/>
        <v>0</v>
      </c>
      <c r="O53" s="12">
        <f t="shared" si="26"/>
        <v>0</v>
      </c>
      <c r="P53" s="12">
        <f t="shared" si="26"/>
        <v>0</v>
      </c>
      <c r="Q53" s="12">
        <f t="shared" si="26"/>
        <v>0</v>
      </c>
      <c r="R53" s="12">
        <f t="shared" si="26"/>
        <v>0</v>
      </c>
      <c r="S53" s="12">
        <f t="shared" si="26"/>
        <v>0</v>
      </c>
      <c r="T53" s="12">
        <f t="shared" si="26"/>
        <v>0</v>
      </c>
      <c r="U53" s="12">
        <f t="shared" si="26"/>
        <v>0</v>
      </c>
      <c r="V53" s="12">
        <f t="shared" si="26"/>
        <v>0</v>
      </c>
      <c r="W53" s="12">
        <f t="shared" si="26"/>
        <v>0</v>
      </c>
    </row>
    <row r="54" spans="2:23" x14ac:dyDescent="0.35">
      <c r="B54" t="s">
        <v>32</v>
      </c>
      <c r="C54" s="3">
        <f>-C45</f>
        <v>30</v>
      </c>
      <c r="D54" s="3">
        <f>C54-D53</f>
        <v>25.285714285714285</v>
      </c>
      <c r="E54" s="3">
        <f t="shared" ref="E54:K54" si="27">D54-E53</f>
        <v>20.699999999999996</v>
      </c>
      <c r="F54" s="3">
        <f t="shared" si="27"/>
        <v>16.24285714285714</v>
      </c>
      <c r="G54" s="3">
        <f t="shared" si="27"/>
        <v>11.914285714285711</v>
      </c>
      <c r="H54" s="3">
        <f t="shared" si="27"/>
        <v>7.71428571428571</v>
      </c>
      <c r="I54" s="3">
        <f t="shared" si="27"/>
        <v>3.642857142857137</v>
      </c>
      <c r="J54" s="3">
        <f t="shared" si="27"/>
        <v>0</v>
      </c>
      <c r="K54" s="3">
        <f t="shared" si="27"/>
        <v>0</v>
      </c>
      <c r="L54" s="3">
        <f t="shared" ref="L54:W54" si="28">K54-L53</f>
        <v>0</v>
      </c>
      <c r="M54" s="3">
        <f t="shared" si="28"/>
        <v>0</v>
      </c>
      <c r="N54" s="3">
        <f t="shared" si="28"/>
        <v>0</v>
      </c>
      <c r="O54" s="3">
        <f t="shared" si="28"/>
        <v>0</v>
      </c>
      <c r="P54" s="3">
        <f t="shared" si="28"/>
        <v>0</v>
      </c>
      <c r="Q54" s="3">
        <f t="shared" si="28"/>
        <v>0</v>
      </c>
      <c r="R54" s="3">
        <f t="shared" si="28"/>
        <v>0</v>
      </c>
      <c r="S54" s="3">
        <f t="shared" si="28"/>
        <v>0</v>
      </c>
      <c r="T54" s="3">
        <f t="shared" si="28"/>
        <v>0</v>
      </c>
      <c r="U54" s="3">
        <f t="shared" si="28"/>
        <v>0</v>
      </c>
      <c r="V54" s="3">
        <f t="shared" si="28"/>
        <v>0</v>
      </c>
      <c r="W54" s="3">
        <f t="shared" si="28"/>
        <v>0</v>
      </c>
    </row>
    <row r="56" spans="2:23" x14ac:dyDescent="0.35">
      <c r="B56" t="s">
        <v>35</v>
      </c>
      <c r="D56" s="3">
        <f t="shared" ref="D56:W56" si="29">D45-D53</f>
        <v>11</v>
      </c>
      <c r="E56" s="3">
        <f t="shared" si="29"/>
        <v>10.7</v>
      </c>
      <c r="F56" s="3">
        <f t="shared" si="29"/>
        <v>10.399999999999999</v>
      </c>
      <c r="G56" s="3">
        <f t="shared" si="29"/>
        <v>10.1</v>
      </c>
      <c r="H56" s="3">
        <f t="shared" si="29"/>
        <v>9.8000000000000007</v>
      </c>
      <c r="I56" s="3">
        <f t="shared" si="29"/>
        <v>9.5</v>
      </c>
      <c r="J56" s="3">
        <f t="shared" si="29"/>
        <v>9.5000000000000053</v>
      </c>
      <c r="K56" s="3">
        <f t="shared" si="29"/>
        <v>12.714285714285715</v>
      </c>
      <c r="L56" s="3">
        <f t="shared" si="29"/>
        <v>12.285714285714286</v>
      </c>
      <c r="M56" s="3">
        <f t="shared" si="29"/>
        <v>11.857142857142859</v>
      </c>
      <c r="N56" s="3">
        <f t="shared" si="29"/>
        <v>11.428571428571429</v>
      </c>
      <c r="O56" s="3">
        <f t="shared" si="29"/>
        <v>11</v>
      </c>
      <c r="P56" s="3">
        <f t="shared" si="29"/>
        <v>10.571428571428573</v>
      </c>
      <c r="Q56" s="3">
        <f t="shared" si="29"/>
        <v>10.142857142857142</v>
      </c>
      <c r="R56" s="3">
        <f t="shared" si="29"/>
        <v>9.7142857142857153</v>
      </c>
      <c r="S56" s="3">
        <f t="shared" si="29"/>
        <v>9.2857142857142865</v>
      </c>
      <c r="T56" s="3">
        <f t="shared" si="29"/>
        <v>8.8571428571428577</v>
      </c>
      <c r="U56" s="3">
        <f t="shared" si="29"/>
        <v>8.4285714285714288</v>
      </c>
      <c r="V56" s="3">
        <f t="shared" si="29"/>
        <v>8</v>
      </c>
      <c r="W56" s="3">
        <f t="shared" si="29"/>
        <v>7.5714285714285721</v>
      </c>
    </row>
    <row r="57" spans="2:23" ht="29" x14ac:dyDescent="0.35">
      <c r="B57" s="21" t="s">
        <v>42</v>
      </c>
      <c r="D57" s="3">
        <f t="shared" ref="D57:W57" si="30">D56-D28</f>
        <v>-2.5714285714285712</v>
      </c>
      <c r="E57" s="3">
        <f t="shared" si="30"/>
        <v>-2.4428571428571431</v>
      </c>
      <c r="F57" s="3">
        <f t="shared" si="30"/>
        <v>-2.3142857142857149</v>
      </c>
      <c r="G57" s="3">
        <f t="shared" si="30"/>
        <v>-2.1857142857142851</v>
      </c>
      <c r="H57" s="3">
        <f t="shared" si="30"/>
        <v>-2.0571428571428569</v>
      </c>
      <c r="I57" s="3">
        <f t="shared" si="30"/>
        <v>-1.9285714285714288</v>
      </c>
      <c r="J57" s="3">
        <f t="shared" si="30"/>
        <v>-1.4999999999999947</v>
      </c>
      <c r="K57" s="3">
        <f t="shared" si="30"/>
        <v>2.1428571428571423</v>
      </c>
      <c r="L57" s="3">
        <f t="shared" si="30"/>
        <v>2.1428571428571441</v>
      </c>
      <c r="M57" s="3">
        <f t="shared" si="30"/>
        <v>2.1428571428571441</v>
      </c>
      <c r="N57" s="3">
        <f t="shared" si="30"/>
        <v>2.1428571428571441</v>
      </c>
      <c r="O57" s="3">
        <f t="shared" si="30"/>
        <v>2.1428571428571423</v>
      </c>
      <c r="P57" s="3">
        <f t="shared" si="30"/>
        <v>2.1428571428571441</v>
      </c>
      <c r="Q57" s="3">
        <f t="shared" si="30"/>
        <v>2.1428571428571423</v>
      </c>
      <c r="R57" s="3">
        <f t="shared" si="30"/>
        <v>2.1428571428571441</v>
      </c>
      <c r="S57" s="3">
        <f t="shared" si="30"/>
        <v>2.1428571428571441</v>
      </c>
      <c r="T57" s="3">
        <f t="shared" si="30"/>
        <v>2.1428571428571432</v>
      </c>
      <c r="U57" s="3">
        <f t="shared" si="30"/>
        <v>2.1428571428571423</v>
      </c>
      <c r="V57" s="3">
        <f t="shared" si="30"/>
        <v>2.1428571428571432</v>
      </c>
      <c r="W57" s="3">
        <f t="shared" si="30"/>
        <v>2.1428571428571432</v>
      </c>
    </row>
    <row r="58" spans="2:23" x14ac:dyDescent="0.35">
      <c r="B58" t="s">
        <v>34</v>
      </c>
      <c r="D58" s="14">
        <f>D49/(1+$C$2)^D6/$C$42</f>
        <v>0.10377358490566037</v>
      </c>
      <c r="E58" s="14">
        <f t="shared" ref="E58:W58" si="31">E49/(1+$C$2)^E6/$C$42+D58</f>
        <v>0.19900320398718402</v>
      </c>
      <c r="F58" s="14">
        <f t="shared" si="31"/>
        <v>0.28632360942254337</v>
      </c>
      <c r="G58" s="14">
        <f t="shared" si="31"/>
        <v>0.36632506940958343</v>
      </c>
      <c r="H58" s="14">
        <f t="shared" si="31"/>
        <v>0.43955637035045703</v>
      </c>
      <c r="I58" s="14">
        <f t="shared" si="31"/>
        <v>0.50652762169222632</v>
      </c>
      <c r="J58" s="14">
        <f t="shared" si="31"/>
        <v>0.56771287614548127</v>
      </c>
      <c r="K58" s="14">
        <f t="shared" si="31"/>
        <v>0.62355257719490387</v>
      </c>
      <c r="L58" s="14">
        <f t="shared" si="31"/>
        <v>0.67445584505848599</v>
      </c>
      <c r="M58" s="14">
        <f t="shared" si="31"/>
        <v>0.72080261154244074</v>
      </c>
      <c r="N58" s="14">
        <f t="shared" si="31"/>
        <v>0.76294561357377044</v>
      </c>
      <c r="O58" s="14">
        <f t="shared" si="31"/>
        <v>0.80121225456919953</v>
      </c>
      <c r="P58" s="14">
        <f t="shared" si="31"/>
        <v>0.83590634221514104</v>
      </c>
      <c r="Q58" s="14">
        <f t="shared" si="31"/>
        <v>0.86730971068609786</v>
      </c>
      <c r="R58" s="14">
        <f t="shared" si="31"/>
        <v>0.89568373481611463</v>
      </c>
      <c r="S58" s="14">
        <f t="shared" si="31"/>
        <v>0.92127074325744496</v>
      </c>
      <c r="T58" s="14">
        <f t="shared" si="31"/>
        <v>0.94429533721045622</v>
      </c>
      <c r="U58" s="14">
        <f t="shared" si="31"/>
        <v>0.96496562088707927</v>
      </c>
      <c r="V58" s="14">
        <f t="shared" si="31"/>
        <v>0.9834743494750372</v>
      </c>
      <c r="W58" s="14">
        <f t="shared" si="31"/>
        <v>0.99999999999999967</v>
      </c>
    </row>
    <row r="60" spans="2:23" x14ac:dyDescent="0.35">
      <c r="D60" s="3">
        <f>D45+C45</f>
        <v>-14.285714285714285</v>
      </c>
      <c r="E60" s="3">
        <f t="shared" ref="E60:M60" si="32">E45</f>
        <v>15.285714285714286</v>
      </c>
      <c r="F60" s="3">
        <f t="shared" si="32"/>
        <v>14.857142857142856</v>
      </c>
      <c r="G60" s="3">
        <f t="shared" si="32"/>
        <v>14.428571428571429</v>
      </c>
      <c r="H60" s="3">
        <f t="shared" si="32"/>
        <v>14.000000000000002</v>
      </c>
      <c r="I60" s="3">
        <f t="shared" si="32"/>
        <v>13.571428571428573</v>
      </c>
      <c r="J60" s="3">
        <f t="shared" si="32"/>
        <v>13.142857142857142</v>
      </c>
      <c r="K60" s="3">
        <f t="shared" si="32"/>
        <v>12.714285714285715</v>
      </c>
      <c r="L60" s="3">
        <f t="shared" si="32"/>
        <v>12.285714285714286</v>
      </c>
      <c r="M60" s="3">
        <f t="shared" si="32"/>
        <v>11.857142857142859</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4:F10"/>
  <sheetViews>
    <sheetView workbookViewId="0">
      <selection activeCell="D4" sqref="D4:F10"/>
    </sheetView>
  </sheetViews>
  <sheetFormatPr defaultRowHeight="14.5" x14ac:dyDescent="0.35"/>
  <cols>
    <col min="4" max="4" width="35.1796875" customWidth="1"/>
    <col min="5" max="5" width="33.6328125" bestFit="1" customWidth="1"/>
    <col min="6" max="6" width="24.81640625" customWidth="1"/>
  </cols>
  <sheetData>
    <row r="4" spans="4:6" x14ac:dyDescent="0.35">
      <c r="D4" s="2" t="s">
        <v>11</v>
      </c>
      <c r="E4" s="2" t="s">
        <v>12</v>
      </c>
      <c r="F4" s="2" t="s">
        <v>13</v>
      </c>
    </row>
    <row r="5" spans="4:6" x14ac:dyDescent="0.35">
      <c r="D5" t="s">
        <v>14</v>
      </c>
      <c r="E5" t="s">
        <v>17</v>
      </c>
      <c r="F5" t="s">
        <v>15</v>
      </c>
    </row>
    <row r="6" spans="4:6" x14ac:dyDescent="0.35">
      <c r="D6" t="s">
        <v>16</v>
      </c>
      <c r="E6" t="s">
        <v>18</v>
      </c>
      <c r="F6" t="s">
        <v>15</v>
      </c>
    </row>
    <row r="7" spans="4:6" x14ac:dyDescent="0.35">
      <c r="D7" t="s">
        <v>2</v>
      </c>
      <c r="E7" t="s">
        <v>25</v>
      </c>
      <c r="F7" t="s">
        <v>15</v>
      </c>
    </row>
    <row r="8" spans="4:6" x14ac:dyDescent="0.35">
      <c r="D8" t="s">
        <v>19</v>
      </c>
      <c r="E8" t="s">
        <v>20</v>
      </c>
      <c r="F8" t="s">
        <v>17</v>
      </c>
    </row>
    <row r="9" spans="4:6" x14ac:dyDescent="0.35">
      <c r="D9" t="s">
        <v>21</v>
      </c>
      <c r="E9" t="s">
        <v>22</v>
      </c>
      <c r="F9" t="s">
        <v>23</v>
      </c>
    </row>
    <row r="10" spans="4:6" x14ac:dyDescent="0.35">
      <c r="D10" t="s">
        <v>24</v>
      </c>
      <c r="E10" t="s">
        <v>26</v>
      </c>
      <c r="F10"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University of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Gray</dc:creator>
  <cp:lastModifiedBy>Eric Groom</cp:lastModifiedBy>
  <dcterms:created xsi:type="dcterms:W3CDTF">2018-11-05T02:31:07Z</dcterms:created>
  <dcterms:modified xsi:type="dcterms:W3CDTF">2018-11-27T04:54:40Z</dcterms:modified>
</cp:coreProperties>
</file>