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15" windowWidth="23715" windowHeight="9555" tabRatio="980"/>
  </bookViews>
  <sheets>
    <sheet name="Summary" sheetId="35" r:id="rId1"/>
    <sheet name="Unit volumes" sheetId="10" r:id="rId2"/>
    <sheet name="Unit rate summary - phones" sheetId="32" r:id="rId3"/>
    <sheet name="Unit rate summary - tablets" sheetId="33" r:id="rId4"/>
  </sheets>
  <externalReferences>
    <externalReference r:id="rId5"/>
  </externalReferences>
  <calcPr calcId="145621" calcMode="autoNoTable" calcOnSave="0"/>
</workbook>
</file>

<file path=xl/calcChain.xml><?xml version="1.0" encoding="utf-8"?>
<calcChain xmlns="http://schemas.openxmlformats.org/spreadsheetml/2006/main">
  <c r="F3" i="10" l="1"/>
  <c r="G3" i="10"/>
  <c r="H3" i="10"/>
  <c r="I3" i="10"/>
  <c r="E3" i="10"/>
  <c r="H3" i="35" l="1"/>
  <c r="G3" i="35"/>
  <c r="F3" i="35"/>
  <c r="E3" i="35"/>
  <c r="D3" i="35"/>
  <c r="C3" i="35"/>
  <c r="D13" i="35" l="1"/>
  <c r="C13" i="35"/>
  <c r="D9" i="35"/>
  <c r="C9" i="35"/>
  <c r="D6" i="10" l="1"/>
  <c r="D7" i="10"/>
  <c r="C22" i="10" l="1"/>
  <c r="C20" i="10"/>
  <c r="C29" i="10" s="1"/>
  <c r="C25" i="10"/>
  <c r="C21" i="10"/>
  <c r="E48" i="33" s="1"/>
  <c r="C24" i="10"/>
  <c r="C23" i="10"/>
  <c r="E46" i="32" s="1"/>
  <c r="E43" i="33"/>
  <c r="E49" i="32"/>
  <c r="E43" i="32"/>
  <c r="E44" i="32"/>
  <c r="C32" i="10"/>
  <c r="E16" i="32"/>
  <c r="E12" i="32"/>
  <c r="E13" i="32"/>
  <c r="E15" i="32"/>
  <c r="E11" i="32"/>
  <c r="E14" i="32"/>
  <c r="E10" i="32"/>
  <c r="E9" i="32"/>
  <c r="C34" i="10"/>
  <c r="C33" i="10"/>
  <c r="D22" i="10"/>
  <c r="E45" i="33" l="1"/>
  <c r="C31" i="10"/>
  <c r="E42" i="32"/>
  <c r="E45" i="32"/>
  <c r="E48" i="32"/>
  <c r="E42" i="33"/>
  <c r="E44" i="33"/>
  <c r="E49" i="33"/>
  <c r="C30" i="10"/>
  <c r="E46" i="33"/>
  <c r="E47" i="32"/>
  <c r="E38" i="32"/>
  <c r="E41" i="32"/>
  <c r="E39" i="32"/>
  <c r="E40" i="32"/>
  <c r="E41" i="33"/>
  <c r="E40" i="33"/>
  <c r="E38" i="33"/>
  <c r="E39" i="33"/>
  <c r="E47" i="33"/>
  <c r="E8" i="32"/>
  <c r="E18" i="32" s="1"/>
  <c r="E7" i="32"/>
  <c r="E5" i="32"/>
  <c r="E6" i="32"/>
  <c r="E16" i="33"/>
  <c r="E12" i="33"/>
  <c r="E13" i="33"/>
  <c r="E15" i="33"/>
  <c r="E11" i="33"/>
  <c r="E9" i="33"/>
  <c r="E14" i="33"/>
  <c r="E10" i="33"/>
  <c r="D32" i="10"/>
  <c r="F14" i="32"/>
  <c r="F13" i="32"/>
  <c r="F12" i="32"/>
  <c r="F15" i="32"/>
  <c r="F11" i="32"/>
  <c r="F10" i="32"/>
  <c r="F9" i="32"/>
  <c r="F16" i="32"/>
  <c r="D24" i="10"/>
  <c r="F47" i="32" s="1"/>
  <c r="E51" i="32" l="1"/>
  <c r="C8" i="35" s="1"/>
  <c r="C22" i="35" s="1"/>
  <c r="E51" i="33"/>
  <c r="E50" i="32"/>
  <c r="E50" i="33"/>
  <c r="E17" i="32"/>
  <c r="E8" i="33"/>
  <c r="E18" i="33" s="1"/>
  <c r="E5" i="33"/>
  <c r="E7" i="33"/>
  <c r="E6" i="33"/>
  <c r="F5" i="32"/>
  <c r="F7" i="32"/>
  <c r="F6" i="32"/>
  <c r="F8" i="32"/>
  <c r="F18" i="32" s="1"/>
  <c r="D25" i="10"/>
  <c r="F47" i="33" s="1"/>
  <c r="C7" i="35" l="1"/>
  <c r="C21" i="35" s="1"/>
  <c r="C12" i="35"/>
  <c r="C27" i="35" s="1"/>
  <c r="E17" i="33"/>
  <c r="C11" i="35" s="1"/>
  <c r="C26" i="35" s="1"/>
  <c r="F17" i="32"/>
  <c r="D20" i="10" l="1"/>
  <c r="D29" i="10" l="1"/>
  <c r="F16" i="33"/>
  <c r="F12" i="33"/>
  <c r="F15" i="33"/>
  <c r="F13" i="33"/>
  <c r="F11" i="33"/>
  <c r="F9" i="33"/>
  <c r="F14" i="33"/>
  <c r="F10" i="33"/>
  <c r="F6" i="33" l="1"/>
  <c r="F7" i="33"/>
  <c r="F5" i="33"/>
  <c r="F8" i="33"/>
  <c r="F18" i="33" s="1"/>
  <c r="F17" i="33" l="1"/>
  <c r="D23" i="10"/>
  <c r="F43" i="32" l="1"/>
  <c r="F46" i="32"/>
  <c r="F42" i="32"/>
  <c r="F48" i="32"/>
  <c r="F49" i="32"/>
  <c r="F45" i="32"/>
  <c r="F44" i="32"/>
  <c r="D33" i="10"/>
  <c r="D34" i="10"/>
  <c r="F39" i="32" l="1"/>
  <c r="F38" i="32"/>
  <c r="F40" i="32"/>
  <c r="F41" i="32"/>
  <c r="F51" i="32" s="1"/>
  <c r="D8" i="35" s="1"/>
  <c r="D22" i="35" s="1"/>
  <c r="F50" i="32" l="1"/>
  <c r="D7" i="35" s="1"/>
  <c r="D21" i="35" s="1"/>
  <c r="D21" i="10" l="1"/>
  <c r="F46" i="33" l="1"/>
  <c r="F42" i="33"/>
  <c r="F49" i="33"/>
  <c r="F45" i="33"/>
  <c r="F43" i="33"/>
  <c r="F44" i="33"/>
  <c r="F48" i="33"/>
  <c r="D30" i="10"/>
  <c r="D31" i="10"/>
  <c r="F38" i="33" l="1"/>
  <c r="F41" i="33"/>
  <c r="F51" i="33" s="1"/>
  <c r="D12" i="35" s="1"/>
  <c r="D27" i="35" s="1"/>
  <c r="F40" i="33"/>
  <c r="F39" i="33"/>
  <c r="F50" i="33" l="1"/>
  <c r="D11" i="35" s="1"/>
  <c r="D26" i="35" s="1"/>
  <c r="E22" i="10" l="1"/>
  <c r="E24" i="10"/>
  <c r="E25" i="10"/>
  <c r="E20" i="10"/>
  <c r="E23" i="10"/>
  <c r="E21" i="10"/>
  <c r="E34" i="10" l="1"/>
  <c r="G64" i="32"/>
  <c r="G49" i="32"/>
  <c r="G62" i="32"/>
  <c r="G48" i="32"/>
  <c r="G42" i="32"/>
  <c r="G46" i="32"/>
  <c r="F23" i="10"/>
  <c r="G58" i="32"/>
  <c r="E33" i="10"/>
  <c r="G59" i="32"/>
  <c r="G60" i="32"/>
  <c r="G61" i="32"/>
  <c r="G65" i="32"/>
  <c r="G43" i="32"/>
  <c r="G44" i="32"/>
  <c r="G45" i="32"/>
  <c r="G28" i="32"/>
  <c r="G30" i="32"/>
  <c r="G12" i="32"/>
  <c r="G10" i="32"/>
  <c r="G15" i="32"/>
  <c r="G31" i="32"/>
  <c r="G11" i="32"/>
  <c r="G32" i="32"/>
  <c r="G16" i="32"/>
  <c r="G29" i="32"/>
  <c r="G26" i="32"/>
  <c r="G13" i="32"/>
  <c r="E32" i="10"/>
  <c r="G25" i="32"/>
  <c r="G9" i="32"/>
  <c r="F22" i="10"/>
  <c r="G27" i="32"/>
  <c r="G14" i="32"/>
  <c r="G11" i="33"/>
  <c r="G10" i="33"/>
  <c r="G9" i="33"/>
  <c r="E29" i="10"/>
  <c r="G27" i="33"/>
  <c r="G25" i="33"/>
  <c r="G15" i="33"/>
  <c r="G13" i="33"/>
  <c r="F20" i="10"/>
  <c r="G32" i="33"/>
  <c r="G31" i="33"/>
  <c r="G29" i="33"/>
  <c r="G12" i="33"/>
  <c r="G26" i="33"/>
  <c r="G28" i="33"/>
  <c r="G14" i="33"/>
  <c r="G16" i="33"/>
  <c r="G63" i="33"/>
  <c r="G47" i="33"/>
  <c r="G30" i="33"/>
  <c r="F25" i="10"/>
  <c r="G59" i="33"/>
  <c r="G46" i="33"/>
  <c r="G65" i="33"/>
  <c r="G48" i="33"/>
  <c r="G64" i="33"/>
  <c r="G62" i="33"/>
  <c r="E30" i="10"/>
  <c r="F21" i="10"/>
  <c r="G60" i="33"/>
  <c r="G43" i="33"/>
  <c r="G42" i="33"/>
  <c r="G45" i="33"/>
  <c r="G61" i="33"/>
  <c r="G49" i="33"/>
  <c r="G44" i="33"/>
  <c r="G58" i="33"/>
  <c r="E31" i="10"/>
  <c r="F24" i="10"/>
  <c r="G63" i="32"/>
  <c r="G47" i="32"/>
  <c r="H62" i="33" l="1"/>
  <c r="H59" i="33"/>
  <c r="H60" i="33"/>
  <c r="H61" i="33"/>
  <c r="F30" i="10"/>
  <c r="F31" i="10"/>
  <c r="G21" i="10"/>
  <c r="H48" i="33"/>
  <c r="H49" i="33"/>
  <c r="H45" i="33"/>
  <c r="H58" i="33"/>
  <c r="H43" i="33"/>
  <c r="H46" i="33"/>
  <c r="H64" i="33"/>
  <c r="H65" i="33"/>
  <c r="H44" i="33"/>
  <c r="H42" i="33"/>
  <c r="G23" i="33"/>
  <c r="G21" i="33"/>
  <c r="G5" i="33"/>
  <c r="G6" i="33"/>
  <c r="G24" i="33"/>
  <c r="G7" i="33"/>
  <c r="G22" i="33"/>
  <c r="G8" i="33"/>
  <c r="G18" i="33" s="1"/>
  <c r="G25" i="10"/>
  <c r="H30" i="33"/>
  <c r="H63" i="33"/>
  <c r="H47" i="33"/>
  <c r="G23" i="32"/>
  <c r="G8" i="32"/>
  <c r="G18" i="32" s="1"/>
  <c r="G7" i="32"/>
  <c r="G6" i="32"/>
  <c r="G24" i="32"/>
  <c r="G5" i="32"/>
  <c r="G22" i="32"/>
  <c r="G21" i="32"/>
  <c r="G55" i="32"/>
  <c r="G56" i="32"/>
  <c r="G54" i="32"/>
  <c r="G57" i="32"/>
  <c r="G56" i="33"/>
  <c r="G54" i="33"/>
  <c r="G57" i="33"/>
  <c r="G55" i="33"/>
  <c r="H27" i="32"/>
  <c r="H26" i="32"/>
  <c r="H12" i="32"/>
  <c r="H11" i="32"/>
  <c r="H29" i="32"/>
  <c r="H25" i="32"/>
  <c r="H14" i="32"/>
  <c r="H32" i="32"/>
  <c r="F32" i="10"/>
  <c r="H9" i="32"/>
  <c r="H28" i="32"/>
  <c r="H30" i="32"/>
  <c r="H16" i="32"/>
  <c r="H15" i="32"/>
  <c r="G22" i="10"/>
  <c r="H13" i="32"/>
  <c r="H31" i="32"/>
  <c r="H10" i="32"/>
  <c r="H47" i="32"/>
  <c r="H63" i="32"/>
  <c r="G24" i="10"/>
  <c r="G38" i="33"/>
  <c r="G39" i="33"/>
  <c r="G40" i="33"/>
  <c r="G41" i="33"/>
  <c r="G51" i="33" s="1"/>
  <c r="H13" i="33"/>
  <c r="H9" i="33"/>
  <c r="H26" i="33"/>
  <c r="F29" i="10"/>
  <c r="H12" i="33"/>
  <c r="H32" i="33"/>
  <c r="H11" i="33"/>
  <c r="G20" i="10"/>
  <c r="H14" i="33"/>
  <c r="H10" i="33"/>
  <c r="H28" i="33"/>
  <c r="H31" i="33"/>
  <c r="H16" i="33"/>
  <c r="H29" i="33"/>
  <c r="H15" i="33"/>
  <c r="H25" i="33"/>
  <c r="H27" i="33"/>
  <c r="H49" i="32"/>
  <c r="H44" i="32"/>
  <c r="H43" i="32"/>
  <c r="F34" i="10"/>
  <c r="H45" i="32"/>
  <c r="H61" i="32"/>
  <c r="H60" i="32"/>
  <c r="F33" i="10"/>
  <c r="H65" i="32"/>
  <c r="H58" i="32"/>
  <c r="H48" i="32"/>
  <c r="H64" i="32"/>
  <c r="H46" i="32"/>
  <c r="H62" i="32"/>
  <c r="H59" i="32"/>
  <c r="H42" i="32"/>
  <c r="G23" i="10"/>
  <c r="G38" i="32"/>
  <c r="G40" i="32"/>
  <c r="G41" i="32"/>
  <c r="G51" i="32" s="1"/>
  <c r="G39" i="32"/>
  <c r="G66" i="32" l="1"/>
  <c r="G17" i="33"/>
  <c r="G17" i="32"/>
  <c r="I47" i="32"/>
  <c r="I63" i="32"/>
  <c r="H24" i="10"/>
  <c r="I31" i="32"/>
  <c r="I32" i="32"/>
  <c r="I15" i="32"/>
  <c r="I13" i="32"/>
  <c r="I29" i="32"/>
  <c r="I16" i="32"/>
  <c r="G32" i="10"/>
  <c r="I12" i="32"/>
  <c r="I27" i="32"/>
  <c r="I28" i="32"/>
  <c r="I11" i="32"/>
  <c r="I9" i="32"/>
  <c r="H22" i="10"/>
  <c r="I30" i="32"/>
  <c r="I14" i="32"/>
  <c r="I26" i="32"/>
  <c r="I25" i="32"/>
  <c r="I10" i="32"/>
  <c r="H38" i="33"/>
  <c r="H39" i="33"/>
  <c r="H41" i="33"/>
  <c r="H51" i="33" s="1"/>
  <c r="H40" i="33"/>
  <c r="I13" i="33"/>
  <c r="I9" i="33"/>
  <c r="I28" i="33"/>
  <c r="I12" i="33"/>
  <c r="I27" i="33"/>
  <c r="I11" i="33"/>
  <c r="I31" i="33"/>
  <c r="H20" i="10"/>
  <c r="I14" i="33"/>
  <c r="I10" i="33"/>
  <c r="I29" i="33"/>
  <c r="I25" i="33"/>
  <c r="I16" i="33"/>
  <c r="I32" i="33"/>
  <c r="G29" i="10"/>
  <c r="I15" i="33"/>
  <c r="I26" i="33"/>
  <c r="H24" i="33"/>
  <c r="H8" i="33"/>
  <c r="H18" i="33" s="1"/>
  <c r="H7" i="33"/>
  <c r="H22" i="33"/>
  <c r="H21" i="33"/>
  <c r="H5" i="33"/>
  <c r="H23" i="33"/>
  <c r="H6" i="33"/>
  <c r="H24" i="32"/>
  <c r="H5" i="32"/>
  <c r="H23" i="32"/>
  <c r="H8" i="32"/>
  <c r="H18" i="32" s="1"/>
  <c r="H22" i="32"/>
  <c r="H6" i="32"/>
  <c r="H21" i="32"/>
  <c r="H7" i="32"/>
  <c r="G33" i="32"/>
  <c r="I65" i="33"/>
  <c r="I62" i="33"/>
  <c r="I60" i="33"/>
  <c r="I64" i="33"/>
  <c r="I61" i="33"/>
  <c r="I58" i="33"/>
  <c r="I46" i="33"/>
  <c r="I43" i="33"/>
  <c r="G30" i="10"/>
  <c r="I49" i="33"/>
  <c r="G31" i="10"/>
  <c r="I45" i="33"/>
  <c r="I44" i="33"/>
  <c r="I59" i="33"/>
  <c r="H21" i="10"/>
  <c r="I48" i="33"/>
  <c r="I42" i="33"/>
  <c r="H57" i="33"/>
  <c r="H55" i="33"/>
  <c r="H56" i="33"/>
  <c r="H54" i="33"/>
  <c r="I65" i="32"/>
  <c r="I62" i="32"/>
  <c r="I64" i="32"/>
  <c r="I60" i="32"/>
  <c r="I49" i="32"/>
  <c r="G33" i="10"/>
  <c r="G34" i="10"/>
  <c r="I42" i="32"/>
  <c r="H23" i="10"/>
  <c r="I61" i="32"/>
  <c r="I58" i="32"/>
  <c r="I43" i="32"/>
  <c r="I48" i="32"/>
  <c r="I46" i="32"/>
  <c r="I59" i="32"/>
  <c r="I45" i="32"/>
  <c r="I44" i="32"/>
  <c r="E8" i="35"/>
  <c r="I47" i="33"/>
  <c r="H25" i="10"/>
  <c r="I63" i="33"/>
  <c r="I30" i="33"/>
  <c r="H56" i="32"/>
  <c r="H57" i="32"/>
  <c r="H54" i="32"/>
  <c r="H55" i="32"/>
  <c r="G33" i="33"/>
  <c r="G50" i="32"/>
  <c r="H39" i="32"/>
  <c r="H41" i="32"/>
  <c r="H51" i="32" s="1"/>
  <c r="H38" i="32"/>
  <c r="H40" i="32"/>
  <c r="G50" i="33"/>
  <c r="G66" i="33"/>
  <c r="E12" i="35"/>
  <c r="E7" i="35" l="1"/>
  <c r="H33" i="33"/>
  <c r="H50" i="32"/>
  <c r="H33" i="32"/>
  <c r="E11" i="35"/>
  <c r="E26" i="35" s="1"/>
  <c r="E21" i="35"/>
  <c r="E22" i="35"/>
  <c r="J64" i="33"/>
  <c r="J65" i="33"/>
  <c r="J58" i="33"/>
  <c r="J44" i="33"/>
  <c r="H30" i="10"/>
  <c r="H31" i="10"/>
  <c r="J49" i="33"/>
  <c r="J59" i="33"/>
  <c r="J62" i="33"/>
  <c r="J60" i="33"/>
  <c r="J61" i="33"/>
  <c r="J48" i="33"/>
  <c r="J43" i="33"/>
  <c r="I21" i="10"/>
  <c r="J46" i="33"/>
  <c r="J42" i="33"/>
  <c r="J45" i="33"/>
  <c r="I56" i="33"/>
  <c r="I57" i="33"/>
  <c r="I55" i="33"/>
  <c r="I54" i="33"/>
  <c r="E9" i="35"/>
  <c r="H50" i="33"/>
  <c r="I24" i="10"/>
  <c r="J47" i="32"/>
  <c r="J63" i="32"/>
  <c r="E13" i="35"/>
  <c r="H66" i="33"/>
  <c r="I40" i="33"/>
  <c r="I39" i="33"/>
  <c r="I38" i="33"/>
  <c r="I41" i="33"/>
  <c r="I51" i="33" s="1"/>
  <c r="H17" i="32"/>
  <c r="J25" i="32"/>
  <c r="J27" i="32"/>
  <c r="H32" i="10"/>
  <c r="J13" i="32"/>
  <c r="J15" i="32"/>
  <c r="J30" i="32"/>
  <c r="J14" i="32"/>
  <c r="J32" i="32"/>
  <c r="J10" i="32"/>
  <c r="J29" i="32"/>
  <c r="J28" i="32"/>
  <c r="J12" i="32"/>
  <c r="J11" i="32"/>
  <c r="J31" i="32"/>
  <c r="J9" i="32"/>
  <c r="J26" i="32"/>
  <c r="J16" i="32"/>
  <c r="I22" i="10"/>
  <c r="I25" i="10"/>
  <c r="J30" i="33"/>
  <c r="J47" i="33"/>
  <c r="J63" i="33"/>
  <c r="I38" i="32"/>
  <c r="I40" i="32"/>
  <c r="I39" i="32"/>
  <c r="I41" i="32"/>
  <c r="I51" i="32" s="1"/>
  <c r="J14" i="33"/>
  <c r="J10" i="33"/>
  <c r="J29" i="33"/>
  <c r="J25" i="33"/>
  <c r="J28" i="33"/>
  <c r="J16" i="33"/>
  <c r="J32" i="33"/>
  <c r="I20" i="10"/>
  <c r="J15" i="33"/>
  <c r="J11" i="33"/>
  <c r="J31" i="33"/>
  <c r="J26" i="33"/>
  <c r="J13" i="33"/>
  <c r="J9" i="33"/>
  <c r="H29" i="10"/>
  <c r="J12" i="33"/>
  <c r="J27" i="33"/>
  <c r="E27" i="35"/>
  <c r="H66" i="32"/>
  <c r="J60" i="32"/>
  <c r="J46" i="32"/>
  <c r="J62" i="32"/>
  <c r="J58" i="32"/>
  <c r="I23" i="10"/>
  <c r="J43" i="32"/>
  <c r="J45" i="32"/>
  <c r="H34" i="10"/>
  <c r="J65" i="32"/>
  <c r="J49" i="32"/>
  <c r="J64" i="32"/>
  <c r="J61" i="32"/>
  <c r="J44" i="32"/>
  <c r="J48" i="32"/>
  <c r="J42" i="32"/>
  <c r="H33" i="10"/>
  <c r="J59" i="32"/>
  <c r="I57" i="32"/>
  <c r="I54" i="32"/>
  <c r="I56" i="32"/>
  <c r="I55" i="32"/>
  <c r="F8" i="35"/>
  <c r="F22" i="35" s="1"/>
  <c r="H17" i="33"/>
  <c r="F12" i="35"/>
  <c r="F27" i="35" s="1"/>
  <c r="I21" i="33"/>
  <c r="I5" i="33"/>
  <c r="I8" i="33"/>
  <c r="I18" i="33" s="1"/>
  <c r="I23" i="33"/>
  <c r="I22" i="33"/>
  <c r="I6" i="33"/>
  <c r="I24" i="33"/>
  <c r="I7" i="33"/>
  <c r="I24" i="32"/>
  <c r="I5" i="32"/>
  <c r="I7" i="32"/>
  <c r="I21" i="32"/>
  <c r="I6" i="32"/>
  <c r="I23" i="32"/>
  <c r="I8" i="32"/>
  <c r="I18" i="32" s="1"/>
  <c r="I22" i="32"/>
  <c r="F13" i="35" l="1"/>
  <c r="F28" i="35" s="1"/>
  <c r="F29" i="35" s="1"/>
  <c r="F9" i="35"/>
  <c r="F23" i="35" s="1"/>
  <c r="F24" i="35" s="1"/>
  <c r="I17" i="33"/>
  <c r="E36" i="35"/>
  <c r="G12" i="35"/>
  <c r="G27" i="35" s="1"/>
  <c r="K63" i="33"/>
  <c r="K47" i="33"/>
  <c r="K30" i="33"/>
  <c r="I33" i="32"/>
  <c r="F11" i="35"/>
  <c r="E23" i="35"/>
  <c r="E24" i="35" s="1"/>
  <c r="G8" i="35"/>
  <c r="I33" i="33"/>
  <c r="I66" i="32"/>
  <c r="J40" i="32"/>
  <c r="J39" i="32"/>
  <c r="J41" i="32"/>
  <c r="J51" i="32" s="1"/>
  <c r="J38" i="32"/>
  <c r="K48" i="32"/>
  <c r="K43" i="32"/>
  <c r="K46" i="32"/>
  <c r="K61" i="32"/>
  <c r="I34" i="10"/>
  <c r="K42" i="32"/>
  <c r="K60" i="32"/>
  <c r="K58" i="32"/>
  <c r="K44" i="32"/>
  <c r="K62" i="32"/>
  <c r="K49" i="32"/>
  <c r="K64" i="32"/>
  <c r="K45" i="32"/>
  <c r="K59" i="32"/>
  <c r="K65" i="32"/>
  <c r="I33" i="10"/>
  <c r="K29" i="33"/>
  <c r="K25" i="33"/>
  <c r="K14" i="33"/>
  <c r="K9" i="33"/>
  <c r="K15" i="33"/>
  <c r="K32" i="33"/>
  <c r="K11" i="33"/>
  <c r="K31" i="33"/>
  <c r="K26" i="33"/>
  <c r="K12" i="33"/>
  <c r="K13" i="33"/>
  <c r="K28" i="33"/>
  <c r="K10" i="33"/>
  <c r="I29" i="10"/>
  <c r="K27" i="33"/>
  <c r="K16" i="33"/>
  <c r="I50" i="32"/>
  <c r="J23" i="32"/>
  <c r="J8" i="32"/>
  <c r="J18" i="32" s="1"/>
  <c r="J7" i="32"/>
  <c r="J21" i="32"/>
  <c r="J24" i="32"/>
  <c r="J5" i="32"/>
  <c r="J22" i="32"/>
  <c r="J6" i="32"/>
  <c r="I66" i="33"/>
  <c r="K60" i="33"/>
  <c r="K48" i="33"/>
  <c r="K44" i="33"/>
  <c r="I31" i="10"/>
  <c r="K46" i="33"/>
  <c r="K42" i="33"/>
  <c r="K45" i="33"/>
  <c r="K64" i="33"/>
  <c r="K58" i="33"/>
  <c r="K62" i="33"/>
  <c r="I30" i="10"/>
  <c r="K59" i="33"/>
  <c r="K61" i="33"/>
  <c r="K65" i="33"/>
  <c r="K43" i="33"/>
  <c r="K49" i="33"/>
  <c r="J55" i="32"/>
  <c r="J54" i="32"/>
  <c r="J57" i="32"/>
  <c r="J56" i="32"/>
  <c r="E28" i="35"/>
  <c r="E29" i="35" s="1"/>
  <c r="J56" i="33"/>
  <c r="J54" i="33"/>
  <c r="J57" i="33"/>
  <c r="J55" i="33"/>
  <c r="I17" i="32"/>
  <c r="J21" i="33"/>
  <c r="J5" i="33"/>
  <c r="J8" i="33"/>
  <c r="J18" i="33" s="1"/>
  <c r="J23" i="33"/>
  <c r="J22" i="33"/>
  <c r="J6" i="33"/>
  <c r="J24" i="33"/>
  <c r="J7" i="33"/>
  <c r="K25" i="32"/>
  <c r="K28" i="32"/>
  <c r="K15" i="32"/>
  <c r="K14" i="32"/>
  <c r="K31" i="32"/>
  <c r="K16" i="32"/>
  <c r="K26" i="32"/>
  <c r="K27" i="32"/>
  <c r="K12" i="32"/>
  <c r="K29" i="32"/>
  <c r="K32" i="32"/>
  <c r="K9" i="32"/>
  <c r="K11" i="32"/>
  <c r="K30" i="32"/>
  <c r="I32" i="10"/>
  <c r="K10" i="32"/>
  <c r="K13" i="32"/>
  <c r="F7" i="35"/>
  <c r="I50" i="33"/>
  <c r="K63" i="32"/>
  <c r="K47" i="32"/>
  <c r="J41" i="33"/>
  <c r="J51" i="33" s="1"/>
  <c r="J39" i="33"/>
  <c r="J38" i="33"/>
  <c r="J40" i="33"/>
  <c r="F32" i="35" l="1"/>
  <c r="J50" i="33"/>
  <c r="J33" i="32"/>
  <c r="G11" i="35"/>
  <c r="G26" i="35" s="1"/>
  <c r="J50" i="32"/>
  <c r="J33" i="33"/>
  <c r="G7" i="35"/>
  <c r="G21" i="35" s="1"/>
  <c r="K22" i="33"/>
  <c r="K23" i="33"/>
  <c r="K5" i="33"/>
  <c r="K6" i="33"/>
  <c r="K21" i="33"/>
  <c r="K8" i="33"/>
  <c r="K18" i="33" s="1"/>
  <c r="K7" i="33"/>
  <c r="K24" i="33"/>
  <c r="K41" i="32"/>
  <c r="K51" i="32" s="1"/>
  <c r="K40" i="32"/>
  <c r="K38" i="32"/>
  <c r="K39" i="32"/>
  <c r="G9" i="35"/>
  <c r="K57" i="33"/>
  <c r="K55" i="33"/>
  <c r="K56" i="33"/>
  <c r="K54" i="33"/>
  <c r="G22" i="35"/>
  <c r="K21" i="32"/>
  <c r="K7" i="32"/>
  <c r="K23" i="32"/>
  <c r="K6" i="32"/>
  <c r="K22" i="32"/>
  <c r="K24" i="32"/>
  <c r="K8" i="32"/>
  <c r="K18" i="32" s="1"/>
  <c r="K5" i="32"/>
  <c r="H12" i="35"/>
  <c r="J66" i="32"/>
  <c r="H8" i="35"/>
  <c r="H22" i="35" s="1"/>
  <c r="F21" i="35"/>
  <c r="J17" i="33"/>
  <c r="J66" i="33"/>
  <c r="K38" i="33"/>
  <c r="K40" i="33"/>
  <c r="K39" i="33"/>
  <c r="K41" i="33"/>
  <c r="K51" i="33" s="1"/>
  <c r="G13" i="35"/>
  <c r="E32" i="35"/>
  <c r="F26" i="35"/>
  <c r="J17" i="32"/>
  <c r="K55" i="32"/>
  <c r="K56" i="32"/>
  <c r="K57" i="32"/>
  <c r="K54" i="32"/>
  <c r="H13" i="35" l="1"/>
  <c r="H28" i="35" s="1"/>
  <c r="H29" i="35" s="1"/>
  <c r="G36" i="35"/>
  <c r="H9" i="35"/>
  <c r="H23" i="35" s="1"/>
  <c r="H24" i="35" s="1"/>
  <c r="K17" i="32"/>
  <c r="K50" i="32"/>
  <c r="K50" i="33"/>
  <c r="I8" i="35"/>
  <c r="I22" i="35" s="1"/>
  <c r="G23" i="35"/>
  <c r="G24" i="35" s="1"/>
  <c r="H11" i="35"/>
  <c r="H27" i="35"/>
  <c r="K33" i="32"/>
  <c r="K33" i="33"/>
  <c r="H7" i="35"/>
  <c r="K17" i="33"/>
  <c r="K66" i="32"/>
  <c r="G28" i="35"/>
  <c r="G29" i="35" s="1"/>
  <c r="F36" i="35"/>
  <c r="K66" i="33"/>
  <c r="I12" i="35"/>
  <c r="I27" i="35" s="1"/>
  <c r="H32" i="35" l="1"/>
  <c r="I7" i="35"/>
  <c r="I21" i="35" s="1"/>
  <c r="H21" i="35"/>
  <c r="J7" i="35"/>
  <c r="J21" i="35" s="1"/>
  <c r="I13" i="35"/>
  <c r="J12" i="35"/>
  <c r="J27" i="35" s="1"/>
  <c r="J8" i="35"/>
  <c r="J22" i="35" s="1"/>
  <c r="I11" i="35"/>
  <c r="I26" i="35" s="1"/>
  <c r="I36" i="35" s="1"/>
  <c r="I9" i="35"/>
  <c r="C16" i="35" s="1"/>
  <c r="H26" i="35"/>
  <c r="G32" i="35"/>
  <c r="J11" i="35" l="1"/>
  <c r="J26" i="35" s="1"/>
  <c r="I28" i="35"/>
  <c r="I29" i="35" s="1"/>
  <c r="J29" i="35" s="1"/>
  <c r="J13" i="35"/>
  <c r="J28" i="35" s="1"/>
  <c r="C17" i="35"/>
  <c r="I23" i="35"/>
  <c r="I24" i="35" s="1"/>
  <c r="J9" i="35"/>
  <c r="J23" i="35" s="1"/>
  <c r="H36" i="35"/>
  <c r="J36" i="35" l="1"/>
  <c r="I32" i="35"/>
  <c r="J24" i="35"/>
  <c r="J32" i="35" l="1"/>
</calcChain>
</file>

<file path=xl/comments1.xml><?xml version="1.0" encoding="utf-8"?>
<comments xmlns="http://schemas.openxmlformats.org/spreadsheetml/2006/main">
  <authors>
    <author>Jeff Anderson</author>
  </authors>
  <commentList>
    <comment ref="B15" authorId="0">
      <text>
        <r>
          <rPr>
            <sz val="9"/>
            <color indexed="81"/>
            <rFont val="Tahoma"/>
            <family val="2"/>
          </rPr>
          <t>Estimate only for purpose of NPV calculations (linked to Control Model).</t>
        </r>
      </text>
    </comment>
    <comment ref="B16" authorId="0">
      <text>
        <r>
          <rPr>
            <sz val="9"/>
            <color indexed="81"/>
            <rFont val="Tahoma"/>
            <family val="2"/>
          </rPr>
          <t>Positive NPV demonstrates opex only model is cheaper than capex/opex mix.</t>
        </r>
      </text>
    </comment>
    <comment ref="B17" authorId="0">
      <text>
        <r>
          <rPr>
            <sz val="9"/>
            <color indexed="81"/>
            <rFont val="Tahoma"/>
            <family val="2"/>
          </rPr>
          <t>Positive NPV demonstrates opex only model is cheaper than capex/opex mix.</t>
        </r>
      </text>
    </comment>
  </commentList>
</comments>
</file>

<file path=xl/sharedStrings.xml><?xml version="1.0" encoding="utf-8"?>
<sst xmlns="http://schemas.openxmlformats.org/spreadsheetml/2006/main" count="205" uniqueCount="68">
  <si>
    <t>Content Locker</t>
  </si>
  <si>
    <t>Labour</t>
  </si>
  <si>
    <t xml:space="preserve">RSA access maintenance </t>
  </si>
  <si>
    <t>TOTAL</t>
  </si>
  <si>
    <t>Cover</t>
  </si>
  <si>
    <t>Airwatch Inbox</t>
  </si>
  <si>
    <t>Replacement/fix allowance (5% of devices)</t>
  </si>
  <si>
    <t>Office 365</t>
  </si>
  <si>
    <t>MEAP</t>
  </si>
  <si>
    <t>Pronto</t>
  </si>
  <si>
    <t>Opex only model</t>
  </si>
  <si>
    <t>Capex and opex model (capex component)</t>
  </si>
  <si>
    <t>Capex and opex model (opex component)</t>
  </si>
  <si>
    <t>Step change</t>
  </si>
  <si>
    <t>Phone</t>
  </si>
  <si>
    <t>Sum (opex component)</t>
  </si>
  <si>
    <t>Sum (capex component)</t>
  </si>
  <si>
    <t>Unit volumes</t>
  </si>
  <si>
    <t>APPLICATION</t>
  </si>
  <si>
    <t>-</t>
  </si>
  <si>
    <t>Powercor</t>
  </si>
  <si>
    <t>CitiPower</t>
  </si>
  <si>
    <t>CUSTOMER NUMBERS</t>
  </si>
  <si>
    <t>Smart Phones</t>
  </si>
  <si>
    <t>Tablets (field)</t>
  </si>
  <si>
    <t>Tablets (office)</t>
  </si>
  <si>
    <t>Tablets</t>
  </si>
  <si>
    <t>Plan (including Shared Data)</t>
  </si>
  <si>
    <t>Replacement</t>
  </si>
  <si>
    <t>$ (p.a)</t>
  </si>
  <si>
    <t>Pronto forms (tablets)</t>
  </si>
  <si>
    <t>Plan (including Shared Data/Airwatch/Phone)</t>
  </si>
  <si>
    <t>Airwatch (Mobile Device Management MDM)</t>
  </si>
  <si>
    <t>Tablet</t>
  </si>
  <si>
    <t>Pronto forms (phones)</t>
  </si>
  <si>
    <t>Volume change</t>
  </si>
  <si>
    <t>2016–2020</t>
  </si>
  <si>
    <t>Rate of return</t>
  </si>
  <si>
    <t>NPV smart phones (opex mix minus opex only)</t>
  </si>
  <si>
    <t>NPV tablets (opex mix minus opex only)</t>
  </si>
  <si>
    <t>Smart Phones ($2015)</t>
  </si>
  <si>
    <t>Smart Phones ($2014)</t>
  </si>
  <si>
    <t>Tablets ($2014)</t>
  </si>
  <si>
    <t>Tablets ($2015)</t>
  </si>
  <si>
    <t>STEP CHANGE SUMMARY ($2015)</t>
  </si>
  <si>
    <t>NPV ANALYSIS</t>
  </si>
  <si>
    <t>Smart Phones (field)</t>
  </si>
  <si>
    <t>Smart Phones (office)</t>
  </si>
  <si>
    <t>ALTERNATIVE CAPITAL EXPENDITURE</t>
  </si>
  <si>
    <t>STEP CHANGE (incremental operating expenditure)</t>
  </si>
  <si>
    <t>For the reasons set out in our revised regulatory proposal, if the AER does not accept our proposed step, the capital expenditure estimate below should be added into our IT capital expenditure forecast for 2016–2020 regulatory control period</t>
  </si>
  <si>
    <t>UNIT</t>
  </si>
  <si>
    <t>CAPEX-OPEX MIX</t>
  </si>
  <si>
    <t>OPEX ONLY</t>
  </si>
  <si>
    <t>Sum (opex only)</t>
  </si>
  <si>
    <t>Tablets (FLD)</t>
  </si>
  <si>
    <t>Tablets (OFF 2YR)</t>
  </si>
  <si>
    <t>Tablets (OFF 3YR)</t>
  </si>
  <si>
    <t>Phones (FLD)</t>
  </si>
  <si>
    <t>Phones (OFF 2YR)</t>
  </si>
  <si>
    <t>Phones (OFF 3YR)</t>
  </si>
  <si>
    <t>Inflation conversion to $2015</t>
  </si>
  <si>
    <t>Replacement volumes</t>
  </si>
  <si>
    <t>Unit volumes replaced</t>
  </si>
  <si>
    <t>FIELD BASED PHONES</t>
  </si>
  <si>
    <t>OFFICE BASED PHONES</t>
  </si>
  <si>
    <t>FIELD BASED TABLETS</t>
  </si>
  <si>
    <t>OFFICE BASED TABLETS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</si>
</sst>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0.0%"/>
    <numFmt numFmtId="166" formatCode="#,##0_ ;\-#,##0\ "/>
    <numFmt numFmtId="167" formatCode="0.0\ %"/>
    <numFmt numFmtId="168" formatCode="#,##0.00;\(#,##0.00\);&quot;-&quot;"/>
  </numFmts>
  <fonts count="9" x14ac:knownFonts="1">
    <font>
      <sz val="10"/>
      <color theme="1"/>
      <name val="Verdana"/>
      <family val="2"/>
    </font>
    <font>
      <sz val="10"/>
      <color theme="1"/>
      <name val="Verdana"/>
      <family val="2"/>
    </font>
    <font>
      <sz val="9"/>
      <color indexed="81"/>
      <name val="Tahoma"/>
      <family val="2"/>
    </font>
    <font>
      <sz val="10"/>
      <color theme="1"/>
      <name val="Calibri"/>
      <family val="2"/>
      <scheme val="minor"/>
    </font>
    <font>
      <b/>
      <sz val="10"/>
      <color theme="0"/>
      <name val="Calibri"/>
      <family val="2"/>
      <scheme val="minor"/>
    </font>
    <font>
      <b/>
      <sz val="10"/>
      <color theme="1"/>
      <name val="Calibri"/>
      <family val="2"/>
      <scheme val="minor"/>
    </font>
    <font>
      <sz val="10"/>
      <name val="Calibri"/>
      <family val="2"/>
      <scheme val="minor"/>
    </font>
    <font>
      <sz val="10"/>
      <name val="Arial"/>
      <family val="2"/>
    </font>
    <font>
      <b/>
      <sz val="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3"/>
        <bgColor indexed="64"/>
      </patternFill>
    </fill>
    <fill>
      <patternFill patternType="solid">
        <fgColor theme="5" tint="0.79998168889431442"/>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cellStyleXfs>
  <cellXfs count="145">
    <xf numFmtId="0" fontId="0" fillId="0" borderId="0" xfId="0"/>
    <xf numFmtId="0" fontId="3" fillId="0" borderId="0" xfId="0" applyFont="1" applyAlignment="1">
      <alignment vertical="center"/>
    </xf>
    <xf numFmtId="164" fontId="3" fillId="0" borderId="0" xfId="0" applyNumberFormat="1" applyFont="1" applyAlignment="1">
      <alignment horizontal="right" vertical="center"/>
    </xf>
    <xf numFmtId="9" fontId="3" fillId="0" borderId="0" xfId="2" applyFont="1" applyAlignment="1">
      <alignment vertical="center"/>
    </xf>
    <xf numFmtId="0" fontId="5" fillId="3" borderId="9" xfId="0" applyFont="1" applyFill="1" applyBorder="1" applyAlignment="1">
      <alignment horizontal="left" vertical="center" indent="1"/>
    </xf>
    <xf numFmtId="0" fontId="5" fillId="3" borderId="2" xfId="0" applyFont="1" applyFill="1" applyBorder="1" applyAlignment="1">
      <alignment horizontal="right" vertical="center" indent="1"/>
    </xf>
    <xf numFmtId="0" fontId="5" fillId="3" borderId="9" xfId="0" applyFont="1" applyFill="1" applyBorder="1" applyAlignment="1">
      <alignment horizontal="right" vertical="center" indent="1"/>
    </xf>
    <xf numFmtId="0" fontId="5" fillId="3" borderId="3" xfId="0" applyFont="1" applyFill="1" applyBorder="1" applyAlignment="1">
      <alignment horizontal="right" vertical="center" indent="1"/>
    </xf>
    <xf numFmtId="0" fontId="3" fillId="0" borderId="9" xfId="0" applyFont="1" applyBorder="1" applyAlignment="1">
      <alignment horizontal="left" vertical="center" indent="1"/>
    </xf>
    <xf numFmtId="42" fontId="3" fillId="0" borderId="2" xfId="0" applyNumberFormat="1" applyFont="1" applyBorder="1" applyAlignment="1">
      <alignment horizontal="left" vertical="center"/>
    </xf>
    <xf numFmtId="42" fontId="3" fillId="0" borderId="9" xfId="0" applyNumberFormat="1" applyFont="1" applyBorder="1" applyAlignment="1">
      <alignment horizontal="left" vertical="center"/>
    </xf>
    <xf numFmtId="42" fontId="3" fillId="0" borderId="3" xfId="0" applyNumberFormat="1" applyFont="1" applyBorder="1" applyAlignment="1">
      <alignment horizontal="left" vertical="center"/>
    </xf>
    <xf numFmtId="0" fontId="3" fillId="0" borderId="11" xfId="0" applyFont="1" applyBorder="1" applyAlignment="1">
      <alignment horizontal="left" vertical="center" indent="1"/>
    </xf>
    <xf numFmtId="42" fontId="3" fillId="0" borderId="1" xfId="0" applyNumberFormat="1" applyFont="1" applyBorder="1" applyAlignment="1">
      <alignment horizontal="left" vertical="center"/>
    </xf>
    <xf numFmtId="42" fontId="3" fillId="0" borderId="11" xfId="0" applyNumberFormat="1" applyFont="1" applyBorder="1" applyAlignment="1">
      <alignment horizontal="left" vertical="center"/>
    </xf>
    <xf numFmtId="42" fontId="3" fillId="0" borderId="5" xfId="0" applyNumberFormat="1" applyFont="1" applyBorder="1" applyAlignment="1">
      <alignment horizontal="left" vertical="center"/>
    </xf>
    <xf numFmtId="164" fontId="3" fillId="0" borderId="0" xfId="0" applyNumberFormat="1" applyFont="1" applyAlignment="1">
      <alignment horizontal="left" vertical="center"/>
    </xf>
    <xf numFmtId="167" fontId="3" fillId="0" borderId="0" xfId="2" applyNumberFormat="1" applyFont="1" applyBorder="1" applyAlignment="1">
      <alignment horizontal="right" vertical="center"/>
    </xf>
    <xf numFmtId="42" fontId="3" fillId="0" borderId="0" xfId="0" applyNumberFormat="1" applyFont="1" applyBorder="1" applyAlignment="1">
      <alignment horizontal="left" vertical="center"/>
    </xf>
    <xf numFmtId="0" fontId="3" fillId="2" borderId="11" xfId="0" applyFont="1" applyFill="1" applyBorder="1" applyAlignment="1">
      <alignment horizontal="left" vertical="center" indent="1"/>
    </xf>
    <xf numFmtId="0" fontId="3" fillId="2" borderId="1" xfId="0" applyFont="1" applyFill="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right" vertical="center"/>
    </xf>
    <xf numFmtId="0" fontId="3" fillId="0" borderId="0" xfId="0" applyFont="1" applyFill="1" applyAlignment="1">
      <alignment vertical="center"/>
    </xf>
    <xf numFmtId="42" fontId="5" fillId="0" borderId="0" xfId="0" applyNumberFormat="1" applyFont="1" applyFill="1" applyBorder="1" applyAlignment="1">
      <alignment horizontal="left" vertical="center"/>
    </xf>
    <xf numFmtId="9" fontId="3" fillId="0" borderId="0" xfId="2" applyFont="1" applyFill="1" applyAlignment="1">
      <alignment vertical="center"/>
    </xf>
    <xf numFmtId="0" fontId="5" fillId="3" borderId="13" xfId="0" applyFont="1" applyFill="1" applyBorder="1" applyAlignment="1">
      <alignment horizontal="right" vertical="center" indent="1"/>
    </xf>
    <xf numFmtId="0" fontId="5" fillId="3" borderId="12" xfId="0" applyFont="1" applyFill="1" applyBorder="1" applyAlignment="1">
      <alignment horizontal="right" vertical="center" indent="1"/>
    </xf>
    <xf numFmtId="0" fontId="5" fillId="3" borderId="14" xfId="0" applyFont="1" applyFill="1" applyBorder="1" applyAlignment="1">
      <alignment horizontal="right" vertical="center" indent="1"/>
    </xf>
    <xf numFmtId="0" fontId="3" fillId="3" borderId="9" xfId="0" applyFont="1" applyFill="1" applyBorder="1" applyAlignment="1">
      <alignment horizontal="left" vertical="center" indent="1"/>
    </xf>
    <xf numFmtId="42" fontId="3" fillId="3" borderId="2" xfId="0" applyNumberFormat="1" applyFont="1" applyFill="1" applyBorder="1" applyAlignment="1">
      <alignment horizontal="left" vertical="center"/>
    </xf>
    <xf numFmtId="42" fontId="3" fillId="3" borderId="9" xfId="0" applyNumberFormat="1" applyFont="1" applyFill="1" applyBorder="1" applyAlignment="1">
      <alignment horizontal="left" vertical="center"/>
    </xf>
    <xf numFmtId="42" fontId="3" fillId="3" borderId="3" xfId="0" applyNumberFormat="1" applyFont="1" applyFill="1" applyBorder="1" applyAlignment="1">
      <alignment horizontal="left" vertical="center"/>
    </xf>
    <xf numFmtId="42" fontId="3" fillId="3" borderId="1" xfId="0" applyNumberFormat="1" applyFont="1" applyFill="1" applyBorder="1" applyAlignment="1">
      <alignment horizontal="left" vertical="center"/>
    </xf>
    <xf numFmtId="42" fontId="3" fillId="3" borderId="11" xfId="0" applyNumberFormat="1" applyFont="1" applyFill="1" applyBorder="1" applyAlignment="1">
      <alignment horizontal="left" vertical="center"/>
    </xf>
    <xf numFmtId="42" fontId="3" fillId="3" borderId="5" xfId="0" applyNumberFormat="1" applyFont="1" applyFill="1" applyBorder="1" applyAlignment="1">
      <alignment horizontal="left" vertical="center"/>
    </xf>
    <xf numFmtId="0" fontId="4" fillId="4" borderId="12" xfId="0" applyFont="1" applyFill="1" applyBorder="1" applyAlignment="1">
      <alignment horizontal="left" vertical="center" indent="1"/>
    </xf>
    <xf numFmtId="0" fontId="5" fillId="3" borderId="12" xfId="0" applyFont="1" applyFill="1" applyBorder="1" applyAlignment="1">
      <alignment horizontal="left" vertical="center" indent="1"/>
    </xf>
    <xf numFmtId="0" fontId="3" fillId="3" borderId="10" xfId="0" applyFont="1" applyFill="1" applyBorder="1" applyAlignment="1">
      <alignment horizontal="left" vertical="center" indent="1"/>
    </xf>
    <xf numFmtId="0" fontId="3" fillId="3" borderId="11" xfId="0" applyFont="1" applyFill="1" applyBorder="1" applyAlignment="1">
      <alignment horizontal="left" vertical="center" indent="1"/>
    </xf>
    <xf numFmtId="44" fontId="3" fillId="0" borderId="0" xfId="2" applyNumberFormat="1" applyFont="1" applyAlignment="1">
      <alignment vertical="center"/>
    </xf>
    <xf numFmtId="164" fontId="3" fillId="0" borderId="0" xfId="1" applyNumberFormat="1" applyFont="1" applyBorder="1" applyAlignment="1">
      <alignment horizontal="left" vertical="center"/>
    </xf>
    <xf numFmtId="8" fontId="3" fillId="0" borderId="0" xfId="2" applyNumberFormat="1" applyFont="1" applyAlignment="1">
      <alignment vertical="center"/>
    </xf>
    <xf numFmtId="42" fontId="3" fillId="0" borderId="0" xfId="2" applyNumberFormat="1" applyFont="1" applyAlignment="1">
      <alignment vertical="center"/>
    </xf>
    <xf numFmtId="0" fontId="5" fillId="3" borderId="15" xfId="0" applyFont="1" applyFill="1" applyBorder="1" applyAlignment="1">
      <alignment horizontal="right" vertical="center" indent="1"/>
    </xf>
    <xf numFmtId="0" fontId="5" fillId="0" borderId="0" xfId="0" applyFont="1" applyAlignment="1">
      <alignment horizontal="left" vertical="center"/>
    </xf>
    <xf numFmtId="166" fontId="3" fillId="0" borderId="6" xfId="3" applyNumberFormat="1" applyFont="1" applyBorder="1" applyAlignment="1">
      <alignment horizontal="right" vertical="center" indent="1"/>
    </xf>
    <xf numFmtId="0" fontId="3" fillId="0" borderId="0" xfId="0" applyFont="1" applyAlignment="1">
      <alignment horizontal="left" vertical="center"/>
    </xf>
    <xf numFmtId="166" fontId="3" fillId="0" borderId="8" xfId="3" applyNumberFormat="1" applyFont="1" applyBorder="1" applyAlignment="1">
      <alignment horizontal="right" vertical="center" indent="1"/>
    </xf>
    <xf numFmtId="0" fontId="3" fillId="0" borderId="0" xfId="0" applyFont="1" applyAlignment="1">
      <alignment horizontal="left" vertical="center" indent="1"/>
    </xf>
    <xf numFmtId="0" fontId="3" fillId="0" borderId="0" xfId="0" applyFont="1" applyAlignment="1">
      <alignment horizontal="right" vertical="center" indent="1"/>
    </xf>
    <xf numFmtId="0" fontId="3" fillId="4" borderId="13" xfId="0" applyFont="1" applyFill="1" applyBorder="1" applyAlignment="1">
      <alignment horizontal="right" vertical="center"/>
    </xf>
    <xf numFmtId="0" fontId="3" fillId="4" borderId="14" xfId="0" applyFont="1" applyFill="1" applyBorder="1" applyAlignment="1">
      <alignment horizontal="right" vertical="center"/>
    </xf>
    <xf numFmtId="166" fontId="3" fillId="0" borderId="7" xfId="3" applyNumberFormat="1" applyFont="1" applyBorder="1" applyAlignment="1">
      <alignment horizontal="right" vertical="center" indent="1"/>
    </xf>
    <xf numFmtId="166" fontId="3" fillId="3" borderId="0" xfId="3" applyNumberFormat="1" applyFont="1" applyFill="1" applyBorder="1" applyAlignment="1">
      <alignment horizontal="right" vertical="center" indent="1"/>
    </xf>
    <xf numFmtId="166" fontId="3" fillId="3" borderId="4" xfId="3" applyNumberFormat="1" applyFont="1" applyFill="1" applyBorder="1" applyAlignment="1">
      <alignment horizontal="right" vertical="center" indent="1"/>
    </xf>
    <xf numFmtId="166" fontId="3" fillId="3" borderId="1" xfId="3" applyNumberFormat="1" applyFont="1" applyFill="1" applyBorder="1" applyAlignment="1">
      <alignment horizontal="right" vertical="center" indent="1"/>
    </xf>
    <xf numFmtId="166" fontId="3" fillId="3" borderId="5" xfId="3" applyNumberFormat="1" applyFont="1" applyFill="1" applyBorder="1" applyAlignment="1">
      <alignment horizontal="right" vertical="center" indent="1"/>
    </xf>
    <xf numFmtId="166" fontId="3" fillId="3" borderId="2" xfId="3" applyNumberFormat="1" applyFont="1" applyFill="1" applyBorder="1" applyAlignment="1">
      <alignment horizontal="right" vertical="center" indent="1"/>
    </xf>
    <xf numFmtId="166" fontId="3" fillId="3" borderId="3" xfId="3" applyNumberFormat="1" applyFont="1" applyFill="1" applyBorder="1" applyAlignment="1">
      <alignment horizontal="right" vertical="center" indent="1"/>
    </xf>
    <xf numFmtId="9" fontId="3" fillId="0" borderId="0" xfId="2" applyFont="1" applyAlignment="1">
      <alignment horizontal="right" vertical="center" indent="1"/>
    </xf>
    <xf numFmtId="42" fontId="3" fillId="0" borderId="0" xfId="0" applyNumberFormat="1" applyFont="1" applyAlignment="1">
      <alignment vertical="center"/>
    </xf>
    <xf numFmtId="42" fontId="3" fillId="0" borderId="0" xfId="2" applyNumberFormat="1" applyFont="1" applyBorder="1" applyAlignment="1">
      <alignment vertical="center"/>
    </xf>
    <xf numFmtId="42" fontId="3" fillId="0" borderId="0" xfId="0" applyNumberFormat="1" applyFont="1" applyBorder="1" applyAlignment="1">
      <alignment vertical="center"/>
    </xf>
    <xf numFmtId="9" fontId="3" fillId="0" borderId="0" xfId="2" applyFont="1" applyBorder="1" applyAlignment="1">
      <alignment vertical="center"/>
    </xf>
    <xf numFmtId="0" fontId="3" fillId="0" borderId="0" xfId="0" applyFont="1" applyBorder="1" applyAlignment="1">
      <alignment vertical="center"/>
    </xf>
    <xf numFmtId="0" fontId="3" fillId="3" borderId="12" xfId="0" applyFont="1" applyFill="1" applyBorder="1" applyAlignment="1">
      <alignment horizontal="left" vertical="center" indent="1"/>
    </xf>
    <xf numFmtId="164" fontId="3" fillId="2" borderId="12" xfId="0" applyNumberFormat="1" applyFont="1" applyFill="1" applyBorder="1" applyAlignment="1">
      <alignment horizontal="left" vertical="center"/>
    </xf>
    <xf numFmtId="164" fontId="3" fillId="2" borderId="13" xfId="0" applyNumberFormat="1" applyFont="1" applyFill="1" applyBorder="1" applyAlignment="1">
      <alignment horizontal="left" vertical="center"/>
    </xf>
    <xf numFmtId="164" fontId="3" fillId="2" borderId="14" xfId="0" applyNumberFormat="1" applyFont="1" applyFill="1" applyBorder="1" applyAlignment="1">
      <alignment horizontal="left" vertical="center"/>
    </xf>
    <xf numFmtId="0" fontId="3" fillId="2" borderId="12" xfId="0" applyFont="1" applyFill="1" applyBorder="1" applyAlignment="1">
      <alignment horizontal="left" vertical="center" indent="1"/>
    </xf>
    <xf numFmtId="42" fontId="3" fillId="2" borderId="13" xfId="0" applyNumberFormat="1" applyFont="1" applyFill="1" applyBorder="1" applyAlignment="1">
      <alignment horizontal="left" vertical="center"/>
    </xf>
    <xf numFmtId="42" fontId="3" fillId="2" borderId="12" xfId="0" applyNumberFormat="1" applyFont="1" applyFill="1" applyBorder="1" applyAlignment="1">
      <alignment horizontal="left" vertical="center"/>
    </xf>
    <xf numFmtId="42" fontId="3" fillId="2" borderId="14" xfId="0" applyNumberFormat="1" applyFont="1" applyFill="1" applyBorder="1" applyAlignment="1">
      <alignment horizontal="left" vertical="center"/>
    </xf>
    <xf numFmtId="42" fontId="3" fillId="2" borderId="15" xfId="0" applyNumberFormat="1" applyFont="1" applyFill="1" applyBorder="1" applyAlignment="1">
      <alignment horizontal="left" vertical="center"/>
    </xf>
    <xf numFmtId="3" fontId="3" fillId="2" borderId="6" xfId="0" applyNumberFormat="1" applyFont="1" applyFill="1" applyBorder="1" applyAlignment="1">
      <alignment horizontal="right" vertical="center" indent="1"/>
    </xf>
    <xf numFmtId="165" fontId="3" fillId="2" borderId="6" xfId="2" applyNumberFormat="1" applyFont="1" applyFill="1" applyBorder="1" applyAlignment="1">
      <alignment horizontal="right" vertical="center" indent="1"/>
    </xf>
    <xf numFmtId="3" fontId="3" fillId="2" borderId="8" xfId="0" applyNumberFormat="1" applyFont="1" applyFill="1" applyBorder="1" applyAlignment="1">
      <alignment horizontal="right" vertical="center" indent="1"/>
    </xf>
    <xf numFmtId="165" fontId="3" fillId="2" borderId="8" xfId="2" applyNumberFormat="1" applyFont="1" applyFill="1" applyBorder="1" applyAlignment="1">
      <alignment horizontal="right" vertical="center" indent="1"/>
    </xf>
    <xf numFmtId="0" fontId="4" fillId="4" borderId="12" xfId="0" applyFont="1" applyFill="1" applyBorder="1" applyAlignment="1">
      <alignment horizontal="left" vertical="center" indent="1"/>
    </xf>
    <xf numFmtId="166" fontId="3" fillId="3" borderId="10" xfId="3" applyNumberFormat="1" applyFont="1" applyFill="1" applyBorder="1" applyAlignment="1">
      <alignment horizontal="right" vertical="center" indent="1"/>
    </xf>
    <xf numFmtId="49" fontId="5" fillId="3" borderId="13" xfId="0" applyNumberFormat="1" applyFont="1" applyFill="1" applyBorder="1" applyAlignment="1">
      <alignment horizontal="left" vertical="center"/>
    </xf>
    <xf numFmtId="49" fontId="5" fillId="3" borderId="12" xfId="0" applyNumberFormat="1" applyFont="1" applyFill="1" applyBorder="1" applyAlignment="1">
      <alignment horizontal="right" vertical="center" indent="1"/>
    </xf>
    <xf numFmtId="49" fontId="5" fillId="3" borderId="13" xfId="0" applyNumberFormat="1" applyFont="1" applyFill="1" applyBorder="1" applyAlignment="1">
      <alignment horizontal="right" vertical="center" indent="1"/>
    </xf>
    <xf numFmtId="49" fontId="5" fillId="3" borderId="14" xfId="0" applyNumberFormat="1" applyFont="1" applyFill="1" applyBorder="1" applyAlignment="1">
      <alignment horizontal="right" vertical="center" indent="1"/>
    </xf>
    <xf numFmtId="0" fontId="3" fillId="3" borderId="1" xfId="0" applyFont="1" applyFill="1" applyBorder="1" applyAlignment="1">
      <alignment horizontal="left" vertical="center"/>
    </xf>
    <xf numFmtId="164" fontId="3" fillId="3" borderId="12" xfId="0" applyNumberFormat="1" applyFont="1" applyFill="1" applyBorder="1" applyAlignment="1">
      <alignment horizontal="left" vertical="center"/>
    </xf>
    <xf numFmtId="164" fontId="3" fillId="3" borderId="13" xfId="0" applyNumberFormat="1" applyFont="1" applyFill="1" applyBorder="1" applyAlignment="1">
      <alignment horizontal="left" vertical="center"/>
    </xf>
    <xf numFmtId="164" fontId="3" fillId="3" borderId="14" xfId="0" applyNumberFormat="1" applyFont="1" applyFill="1" applyBorder="1" applyAlignment="1">
      <alignment horizontal="left" vertical="center"/>
    </xf>
    <xf numFmtId="0" fontId="5" fillId="5" borderId="12" xfId="0" applyFont="1" applyFill="1" applyBorder="1" applyAlignment="1">
      <alignment horizontal="left" vertical="center" indent="1"/>
    </xf>
    <xf numFmtId="0" fontId="3" fillId="5" borderId="9"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0" fontId="3" fillId="5" borderId="10" xfId="0" applyFont="1" applyFill="1" applyBorder="1" applyAlignment="1">
      <alignment horizontal="left" vertical="center" indent="1"/>
    </xf>
    <xf numFmtId="164" fontId="6" fillId="5" borderId="0" xfId="2" applyNumberFormat="1" applyFont="1" applyFill="1" applyBorder="1" applyAlignment="1">
      <alignment vertical="center"/>
    </xf>
    <xf numFmtId="164" fontId="3" fillId="0" borderId="0" xfId="0" applyNumberFormat="1" applyFont="1" applyBorder="1" applyAlignment="1">
      <alignment vertical="center"/>
    </xf>
    <xf numFmtId="0" fontId="5" fillId="5" borderId="13" xfId="2" applyNumberFormat="1" applyFont="1" applyFill="1" applyBorder="1" applyAlignment="1">
      <alignment horizontal="right" vertical="center"/>
    </xf>
    <xf numFmtId="0" fontId="5" fillId="5" borderId="14" xfId="2" applyNumberFormat="1" applyFont="1" applyFill="1" applyBorder="1" applyAlignment="1">
      <alignment horizontal="right" vertical="center"/>
    </xf>
    <xf numFmtId="42" fontId="6" fillId="5" borderId="2" xfId="2" applyNumberFormat="1" applyFont="1" applyFill="1" applyBorder="1" applyAlignment="1">
      <alignment vertical="center"/>
    </xf>
    <xf numFmtId="9" fontId="6" fillId="5" borderId="2" xfId="2" applyFont="1" applyFill="1" applyBorder="1" applyAlignment="1">
      <alignment vertical="center"/>
    </xf>
    <xf numFmtId="164" fontId="6" fillId="5" borderId="2" xfId="2" applyNumberFormat="1" applyFont="1" applyFill="1" applyBorder="1" applyAlignment="1">
      <alignment vertical="center"/>
    </xf>
    <xf numFmtId="164" fontId="6" fillId="5" borderId="3" xfId="2" applyNumberFormat="1" applyFont="1" applyFill="1" applyBorder="1" applyAlignment="1">
      <alignment vertical="center"/>
    </xf>
    <xf numFmtId="164" fontId="6" fillId="5" borderId="4" xfId="2" applyNumberFormat="1" applyFont="1" applyFill="1" applyBorder="1" applyAlignment="1">
      <alignment vertical="center"/>
    </xf>
    <xf numFmtId="42" fontId="6" fillId="5" borderId="1" xfId="2" applyNumberFormat="1" applyFont="1" applyFill="1" applyBorder="1" applyAlignment="1">
      <alignment vertical="center"/>
    </xf>
    <xf numFmtId="9" fontId="6" fillId="5" borderId="1" xfId="2" applyFont="1" applyFill="1" applyBorder="1" applyAlignment="1">
      <alignment vertical="center"/>
    </xf>
    <xf numFmtId="164" fontId="6" fillId="5" borderId="1" xfId="2" applyNumberFormat="1" applyFont="1" applyFill="1" applyBorder="1" applyAlignment="1">
      <alignment vertical="center"/>
    </xf>
    <xf numFmtId="164" fontId="6" fillId="5" borderId="5" xfId="2" applyNumberFormat="1" applyFont="1" applyFill="1" applyBorder="1" applyAlignment="1">
      <alignment vertical="center"/>
    </xf>
    <xf numFmtId="42" fontId="5" fillId="5" borderId="12" xfId="2" applyNumberFormat="1" applyFont="1" applyFill="1" applyBorder="1" applyAlignment="1">
      <alignment horizontal="right" vertical="center"/>
    </xf>
    <xf numFmtId="42" fontId="5" fillId="5" borderId="14" xfId="2" applyNumberFormat="1" applyFont="1" applyFill="1" applyBorder="1" applyAlignment="1">
      <alignment horizontal="right" vertical="center"/>
    </xf>
    <xf numFmtId="42" fontId="6" fillId="5" borderId="9" xfId="2" applyNumberFormat="1" applyFont="1" applyFill="1" applyBorder="1" applyAlignment="1">
      <alignment vertical="center"/>
    </xf>
    <xf numFmtId="9" fontId="6" fillId="5" borderId="3" xfId="2" applyFont="1" applyFill="1" applyBorder="1" applyAlignment="1">
      <alignment vertical="center"/>
    </xf>
    <xf numFmtId="42" fontId="6" fillId="5" borderId="10" xfId="2" applyNumberFormat="1" applyFont="1" applyFill="1" applyBorder="1" applyAlignment="1">
      <alignment vertical="center"/>
    </xf>
    <xf numFmtId="9" fontId="6" fillId="5" borderId="4" xfId="2" applyFont="1" applyFill="1" applyBorder="1" applyAlignment="1">
      <alignment vertical="center"/>
    </xf>
    <xf numFmtId="42" fontId="6" fillId="5" borderId="11" xfId="2" applyNumberFormat="1" applyFont="1" applyFill="1" applyBorder="1" applyAlignment="1">
      <alignment vertical="center"/>
    </xf>
    <xf numFmtId="9" fontId="6" fillId="5" borderId="5" xfId="2" applyFont="1" applyFill="1" applyBorder="1" applyAlignment="1">
      <alignment vertical="center"/>
    </xf>
    <xf numFmtId="9" fontId="3" fillId="5" borderId="13" xfId="2" applyFont="1" applyFill="1" applyBorder="1" applyAlignment="1">
      <alignment vertical="center"/>
    </xf>
    <xf numFmtId="0" fontId="3" fillId="5" borderId="13" xfId="0" applyFont="1" applyFill="1" applyBorder="1" applyAlignment="1">
      <alignment vertical="center"/>
    </xf>
    <xf numFmtId="164" fontId="3" fillId="5" borderId="13" xfId="0" applyNumberFormat="1" applyFont="1" applyFill="1" applyBorder="1" applyAlignment="1">
      <alignment vertical="center"/>
    </xf>
    <xf numFmtId="164" fontId="3" fillId="5" borderId="14" xfId="0" applyNumberFormat="1" applyFont="1" applyFill="1" applyBorder="1" applyAlignment="1">
      <alignment vertical="center"/>
    </xf>
    <xf numFmtId="0" fontId="5" fillId="2" borderId="0" xfId="0" applyFont="1" applyFill="1" applyAlignment="1">
      <alignment horizontal="left" vertical="center" indent="1"/>
    </xf>
    <xf numFmtId="9" fontId="3" fillId="2" borderId="0" xfId="2" applyFont="1" applyFill="1" applyBorder="1" applyAlignment="1">
      <alignment vertical="center"/>
    </xf>
    <xf numFmtId="0" fontId="3" fillId="2" borderId="0" xfId="0" applyFont="1" applyFill="1" applyBorder="1" applyAlignment="1">
      <alignment vertical="center"/>
    </xf>
    <xf numFmtId="166" fontId="3" fillId="3" borderId="9" xfId="3" applyNumberFormat="1" applyFont="1" applyFill="1" applyBorder="1" applyAlignment="1">
      <alignment horizontal="right" vertical="center" indent="1"/>
    </xf>
    <xf numFmtId="0" fontId="5" fillId="3" borderId="6" xfId="0" applyFont="1" applyFill="1" applyBorder="1" applyAlignment="1">
      <alignment horizontal="right" vertical="center" indent="1"/>
    </xf>
    <xf numFmtId="166" fontId="3" fillId="5" borderId="8" xfId="3" applyNumberFormat="1" applyFont="1" applyFill="1" applyBorder="1" applyAlignment="1">
      <alignment horizontal="right" vertical="center" indent="1"/>
    </xf>
    <xf numFmtId="166" fontId="3" fillId="5" borderId="11" xfId="3" applyNumberFormat="1" applyFont="1" applyFill="1" applyBorder="1" applyAlignment="1">
      <alignment horizontal="right" vertical="center" indent="1"/>
    </xf>
    <xf numFmtId="166" fontId="3" fillId="5" borderId="1" xfId="3" applyNumberFormat="1" applyFont="1" applyFill="1" applyBorder="1" applyAlignment="1">
      <alignment horizontal="right" vertical="center" indent="1"/>
    </xf>
    <xf numFmtId="166" fontId="3" fillId="5" borderId="5" xfId="3" applyNumberFormat="1" applyFont="1" applyFill="1" applyBorder="1" applyAlignment="1">
      <alignment horizontal="right" vertical="center" indent="1"/>
    </xf>
    <xf numFmtId="44" fontId="3" fillId="0" borderId="0" xfId="0" applyNumberFormat="1" applyFont="1" applyAlignment="1">
      <alignment vertical="center"/>
    </xf>
    <xf numFmtId="0" fontId="6" fillId="3" borderId="12" xfId="4" applyFont="1" applyFill="1" applyBorder="1" applyAlignment="1">
      <alignment horizontal="left" vertical="center" indent="1"/>
    </xf>
    <xf numFmtId="0" fontId="8" fillId="3" borderId="13" xfId="4" applyFont="1" applyFill="1" applyBorder="1" applyAlignment="1">
      <alignment horizontal="right" vertical="center" indent="1"/>
    </xf>
    <xf numFmtId="0" fontId="8" fillId="3" borderId="14" xfId="4" applyFont="1" applyFill="1" applyBorder="1" applyAlignment="1">
      <alignment horizontal="right" vertical="center" indent="1"/>
    </xf>
    <xf numFmtId="168" fontId="6" fillId="3" borderId="13" xfId="4" applyNumberFormat="1" applyFont="1" applyFill="1" applyBorder="1" applyAlignment="1">
      <alignment horizontal="right" vertical="center" indent="1"/>
    </xf>
    <xf numFmtId="0" fontId="8" fillId="3" borderId="12" xfId="4" applyFont="1" applyFill="1" applyBorder="1" applyAlignment="1">
      <alignment horizontal="right" vertical="center" indent="1"/>
    </xf>
    <xf numFmtId="168" fontId="6" fillId="3" borderId="12" xfId="4" applyNumberFormat="1" applyFont="1" applyFill="1" applyBorder="1" applyAlignment="1">
      <alignment horizontal="right" vertical="center" indent="1"/>
    </xf>
    <xf numFmtId="168" fontId="6" fillId="3" borderId="14" xfId="4" applyNumberFormat="1" applyFont="1" applyFill="1" applyBorder="1" applyAlignment="1">
      <alignment horizontal="right" vertical="center" indent="1"/>
    </xf>
    <xf numFmtId="166" fontId="3" fillId="0" borderId="15" xfId="3" applyNumberFormat="1" applyFont="1" applyFill="1" applyBorder="1" applyAlignment="1">
      <alignment horizontal="right" vertical="center" indent="1"/>
    </xf>
    <xf numFmtId="10" fontId="3" fillId="0" borderId="13" xfId="2" applyNumberFormat="1" applyFont="1" applyFill="1" applyBorder="1" applyAlignment="1">
      <alignment horizontal="right" vertical="center" indent="1"/>
    </xf>
    <xf numFmtId="10" fontId="3" fillId="0" borderId="12" xfId="2" applyNumberFormat="1" applyFont="1" applyFill="1" applyBorder="1" applyAlignment="1">
      <alignment horizontal="right" vertical="center" indent="1"/>
    </xf>
    <xf numFmtId="10" fontId="3" fillId="0" borderId="14" xfId="2" applyNumberFormat="1" applyFont="1" applyFill="1" applyBorder="1" applyAlignment="1">
      <alignment horizontal="right" vertical="center" indent="1"/>
    </xf>
    <xf numFmtId="0" fontId="4" fillId="4" borderId="12" xfId="0" applyFont="1" applyFill="1" applyBorder="1" applyAlignment="1">
      <alignment horizontal="left" vertical="center" indent="1"/>
    </xf>
    <xf numFmtId="0" fontId="4" fillId="4" borderId="13" xfId="0" applyFont="1" applyFill="1" applyBorder="1" applyAlignment="1">
      <alignment horizontal="left" vertical="center" indent="1"/>
    </xf>
    <xf numFmtId="0" fontId="4" fillId="4" borderId="14"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4" xfId="0" applyFont="1" applyFill="1" applyBorder="1" applyAlignment="1">
      <alignment horizontal="center" vertical="center"/>
    </xf>
  </cellXfs>
  <cellStyles count="5">
    <cellStyle name="Comma" xfId="3" builtinId="3"/>
    <cellStyle name="Currency" xfId="1" builtinId="4"/>
    <cellStyle name="Normal" xfId="0" builtinId="0"/>
    <cellStyle name="Normal 13 2" xfId="4"/>
    <cellStyle name="Percent" xfId="2"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20PUBLIC%20RRP%20MOD%201.36%20CP%20Opex%20Consolid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Lookup|Tables"/>
      <sheetName val="Check|List"/>
    </sheetNames>
    <sheetDataSet>
      <sheetData sheetId="0"/>
      <sheetData sheetId="1"/>
      <sheetData sheetId="2"/>
      <sheetData sheetId="3"/>
      <sheetData sheetId="4">
        <row r="32">
          <cell r="J32">
            <v>1.1424759481560132</v>
          </cell>
          <cell r="K32">
            <v>1.1111019528790982</v>
          </cell>
          <cell r="L32">
            <v>1.0829682230828193</v>
          </cell>
          <cell r="M32">
            <v>1.0568183435763274</v>
          </cell>
          <cell r="N32">
            <v>1.0337650051524583</v>
          </cell>
          <cell r="O32">
            <v>1.0124228365658292</v>
          </cell>
        </row>
      </sheetData>
      <sheetData sheetId="5"/>
      <sheetData sheetId="6">
        <row r="36">
          <cell r="O36">
            <v>1.4755718110541546E-2</v>
          </cell>
          <cell r="P36">
            <v>1.6284493483896011E-2</v>
          </cell>
          <cell r="Q36">
            <v>2.0502770734604284E-2</v>
          </cell>
          <cell r="R36">
            <v>1.4595584226544629E-2</v>
          </cell>
          <cell r="S36">
            <v>1.4232625007095778E-2</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37"/>
  <sheetViews>
    <sheetView showGridLines="0" tabSelected="1" zoomScale="85" zoomScaleNormal="85" workbookViewId="0">
      <selection activeCell="L17" sqref="L17"/>
    </sheetView>
  </sheetViews>
  <sheetFormatPr defaultRowHeight="24.75" customHeight="1" x14ac:dyDescent="0.2"/>
  <cols>
    <col min="1" max="1" width="4.375" style="1" customWidth="1"/>
    <col min="2" max="2" width="42.5" style="1" customWidth="1"/>
    <col min="3" max="6" width="15.375" style="21" customWidth="1"/>
    <col min="7" max="10" width="15.375" style="1" customWidth="1"/>
    <col min="11" max="11" width="6.375" style="1" customWidth="1"/>
    <col min="12" max="12" width="14.5" style="3" bestFit="1" customWidth="1"/>
    <col min="13" max="13" width="13" style="1" bestFit="1" customWidth="1"/>
    <col min="14" max="16384" width="9" style="1"/>
  </cols>
  <sheetData>
    <row r="1" spans="2:12" ht="24.75" customHeight="1" x14ac:dyDescent="0.2">
      <c r="C1" s="2"/>
      <c r="D1" s="2"/>
      <c r="E1" s="2"/>
      <c r="F1" s="2"/>
      <c r="G1" s="2"/>
      <c r="H1" s="2"/>
      <c r="I1" s="2"/>
      <c r="J1" s="2"/>
    </row>
    <row r="2" spans="2:12" ht="24.75" customHeight="1" x14ac:dyDescent="0.2">
      <c r="B2" s="129"/>
      <c r="C2" s="133">
        <v>2010</v>
      </c>
      <c r="D2" s="130">
        <v>2011</v>
      </c>
      <c r="E2" s="130">
        <v>2012</v>
      </c>
      <c r="F2" s="130">
        <v>2013</v>
      </c>
      <c r="G2" s="130">
        <v>2014</v>
      </c>
      <c r="H2" s="131">
        <v>2015</v>
      </c>
      <c r="I2" s="2"/>
      <c r="J2" s="2"/>
    </row>
    <row r="3" spans="2:12" ht="24.75" customHeight="1" x14ac:dyDescent="0.2">
      <c r="B3" s="129" t="s">
        <v>61</v>
      </c>
      <c r="C3" s="134">
        <f>'[1]Input|Rate of change'!J$32</f>
        <v>1.1424759481560132</v>
      </c>
      <c r="D3" s="132">
        <f>'[1]Input|Rate of change'!K$32</f>
        <v>1.1111019528790982</v>
      </c>
      <c r="E3" s="132">
        <f>'[1]Input|Rate of change'!L$32</f>
        <v>1.0829682230828193</v>
      </c>
      <c r="F3" s="132">
        <f>'[1]Input|Rate of change'!M$32</f>
        <v>1.0568183435763274</v>
      </c>
      <c r="G3" s="132">
        <f>'[1]Input|Rate of change'!N$32</f>
        <v>1.0337650051524583</v>
      </c>
      <c r="H3" s="135">
        <f>'[1]Input|Rate of change'!O$32</f>
        <v>1.0124228365658292</v>
      </c>
      <c r="I3" s="2"/>
      <c r="J3" s="2"/>
    </row>
    <row r="4" spans="2:12" ht="24.75" customHeight="1" x14ac:dyDescent="0.2">
      <c r="C4" s="2"/>
      <c r="D4" s="2"/>
      <c r="E4" s="2"/>
      <c r="F4" s="2"/>
      <c r="G4" s="2"/>
      <c r="H4" s="2"/>
      <c r="I4" s="2"/>
      <c r="J4" s="2"/>
    </row>
    <row r="5" spans="2:12" ht="24.75" customHeight="1" x14ac:dyDescent="0.2">
      <c r="B5" s="140" t="s">
        <v>45</v>
      </c>
      <c r="C5" s="141"/>
      <c r="D5" s="141"/>
      <c r="E5" s="141"/>
      <c r="F5" s="141"/>
      <c r="G5" s="141"/>
      <c r="H5" s="141"/>
      <c r="I5" s="141"/>
      <c r="J5" s="142"/>
      <c r="L5" s="42"/>
    </row>
    <row r="6" spans="2:12" ht="24.75" customHeight="1" x14ac:dyDescent="0.2">
      <c r="B6" s="4" t="s">
        <v>41</v>
      </c>
      <c r="C6" s="5">
        <v>2014</v>
      </c>
      <c r="D6" s="5">
        <v>2015</v>
      </c>
      <c r="E6" s="6">
        <v>2016</v>
      </c>
      <c r="F6" s="5">
        <v>2017</v>
      </c>
      <c r="G6" s="5">
        <v>2018</v>
      </c>
      <c r="H6" s="5">
        <v>2019</v>
      </c>
      <c r="I6" s="7">
        <v>2020</v>
      </c>
      <c r="J6" s="7" t="s">
        <v>36</v>
      </c>
      <c r="L6" s="42"/>
    </row>
    <row r="7" spans="2:12" ht="24.75" customHeight="1" x14ac:dyDescent="0.2">
      <c r="B7" s="8" t="s">
        <v>11</v>
      </c>
      <c r="C7" s="9">
        <f>'Unit rate summary - phones'!E17+'Unit rate summary - phones'!E50</f>
        <v>428883.8133499996</v>
      </c>
      <c r="D7" s="9">
        <f>'Unit rate summary - phones'!F17+'Unit rate summary - phones'!F50</f>
        <v>13150.407544349495</v>
      </c>
      <c r="E7" s="10">
        <f>'Unit rate summary - phones'!G17+'Unit rate summary - phones'!G50</f>
        <v>251503.44966631138</v>
      </c>
      <c r="F7" s="9">
        <f>'Unit rate summary - phones'!H17+'Unit rate summary - phones'!H50</f>
        <v>204140.51548283006</v>
      </c>
      <c r="G7" s="9">
        <f>'Unit rate summary - phones'!I17+'Unit rate summary - phones'!I50</f>
        <v>258078.36678575852</v>
      </c>
      <c r="H7" s="9">
        <f>'Unit rate summary - phones'!J17+'Unit rate summary - phones'!J50</f>
        <v>26972.70182322288</v>
      </c>
      <c r="I7" s="11">
        <f>'Unit rate summary - phones'!K17+'Unit rate summary - phones'!K50</f>
        <v>447658.52240104519</v>
      </c>
      <c r="J7" s="11">
        <f>SUM(E7:I7)</f>
        <v>1188353.556159168</v>
      </c>
    </row>
    <row r="8" spans="2:12" ht="24.75" customHeight="1" x14ac:dyDescent="0.2">
      <c r="B8" s="12" t="s">
        <v>12</v>
      </c>
      <c r="C8" s="13">
        <f>'Unit rate summary - phones'!E18+'Unit rate summary - phones'!E51</f>
        <v>413359.20581386122</v>
      </c>
      <c r="D8" s="13">
        <f>'Unit rate summary - phones'!F18+'Unit rate summary - phones'!F51</f>
        <v>386129.95037483424</v>
      </c>
      <c r="E8" s="14">
        <f>'Unit rate summary - phones'!G18+'Unit rate summary - phones'!G51</f>
        <v>407426.25469288998</v>
      </c>
      <c r="F8" s="13">
        <f>'Unit rate summary - phones'!H18+'Unit rate summary - phones'!H51</f>
        <v>410690.60924420186</v>
      </c>
      <c r="G8" s="13">
        <f>'Unit rate summary - phones'!I18+'Unit rate summary - phones'!I51</f>
        <v>422369.53368493263</v>
      </c>
      <c r="H8" s="13">
        <f>'Unit rate summary - phones'!J18+'Unit rate summary - phones'!J51</f>
        <v>413150.84167632286</v>
      </c>
      <c r="I8" s="15">
        <f>'Unit rate summary - phones'!K18+'Unit rate summary - phones'!K51</f>
        <v>446559.54223988496</v>
      </c>
      <c r="J8" s="15">
        <f t="shared" ref="J8:J9" si="0">SUM(E8:I8)</f>
        <v>2100196.7815382322</v>
      </c>
    </row>
    <row r="9" spans="2:12" ht="24.75" customHeight="1" x14ac:dyDescent="0.2">
      <c r="B9" s="12" t="s">
        <v>10</v>
      </c>
      <c r="C9" s="13">
        <f>'Unit rate summary - phones'!E33+'Unit rate summary - phones'!E66</f>
        <v>0</v>
      </c>
      <c r="D9" s="13">
        <f>'Unit rate summary - phones'!F33+'Unit rate summary - phones'!F66</f>
        <v>0</v>
      </c>
      <c r="E9" s="14">
        <f>'Unit rate summary - phones'!G33+'Unit rate summary - phones'!G66</f>
        <v>590833.2427749983</v>
      </c>
      <c r="F9" s="13">
        <f>'Unit rate summary - phones'!H33+'Unit rate summary - phones'!H66</f>
        <v>450180.57122563309</v>
      </c>
      <c r="G9" s="13">
        <f>'Unit rate summary - phones'!I33+'Unit rate summary - phones'!I66</f>
        <v>610318.50969019113</v>
      </c>
      <c r="H9" s="13">
        <f>'Unit rate summary - phones'!J33+'Unit rate summary - phones'!J66</f>
        <v>468304.01978242444</v>
      </c>
      <c r="I9" s="15">
        <f>'Unit rate summary - phones'!K33+'Unit rate summary - phones'!K66</f>
        <v>625835.98053832934</v>
      </c>
      <c r="J9" s="15">
        <f t="shared" si="0"/>
        <v>2745472.3240115764</v>
      </c>
      <c r="L9" s="42"/>
    </row>
    <row r="10" spans="2:12" ht="24.75" customHeight="1" x14ac:dyDescent="0.2">
      <c r="B10" s="4" t="s">
        <v>42</v>
      </c>
      <c r="C10" s="5">
        <v>2014</v>
      </c>
      <c r="D10" s="5">
        <v>2015</v>
      </c>
      <c r="E10" s="6">
        <v>2016</v>
      </c>
      <c r="F10" s="5">
        <v>2017</v>
      </c>
      <c r="G10" s="5">
        <v>2018</v>
      </c>
      <c r="H10" s="5">
        <v>2019</v>
      </c>
      <c r="I10" s="7">
        <v>2020</v>
      </c>
      <c r="J10" s="7" t="s">
        <v>36</v>
      </c>
      <c r="L10" s="42"/>
    </row>
    <row r="11" spans="2:12" ht="24.75" customHeight="1" x14ac:dyDescent="0.2">
      <c r="B11" s="8" t="s">
        <v>11</v>
      </c>
      <c r="C11" s="9">
        <f>'Unit rate summary - tablets'!E17+'Unit rate summary - tablets'!E50</f>
        <v>292775.89350813709</v>
      </c>
      <c r="D11" s="9">
        <f>'Unit rate summary - tablets'!F17+'Unit rate summary - tablets'!F50</f>
        <v>0</v>
      </c>
      <c r="E11" s="10">
        <f>'Unit rate summary - tablets'!G17+'Unit rate summary - tablets'!G50</f>
        <v>256664.08310181514</v>
      </c>
      <c r="F11" s="9">
        <f>'Unit rate summary - tablets'!H17+'Unit rate summary - tablets'!H50</f>
        <v>45269.987033009973</v>
      </c>
      <c r="G11" s="9">
        <f>'Unit rate summary - tablets'!I17+'Unit rate summary - tablets'!I50</f>
        <v>262257.96597234899</v>
      </c>
      <c r="H11" s="9">
        <f>'Unit rate summary - tablets'!J17+'Unit rate summary - tablets'!J50</f>
        <v>9263.7892684466024</v>
      </c>
      <c r="I11" s="11">
        <f>'Unit rate summary - tablets'!K17+'Unit rate summary - tablets'!K50</f>
        <v>306952.55575502117</v>
      </c>
      <c r="J11" s="11">
        <f t="shared" ref="J11:J13" si="1">SUM(E11:I11)</f>
        <v>880408.38113064191</v>
      </c>
      <c r="L11" s="42"/>
    </row>
    <row r="12" spans="2:12" ht="24.75" customHeight="1" x14ac:dyDescent="0.2">
      <c r="B12" s="12" t="s">
        <v>12</v>
      </c>
      <c r="C12" s="13">
        <f>'Unit rate summary - tablets'!E18+'Unit rate summary - tablets'!E51</f>
        <v>164442.81947070942</v>
      </c>
      <c r="D12" s="13">
        <f>'Unit rate summary - tablets'!F18+'Unit rate summary - tablets'!F51</f>
        <v>150247.39207432832</v>
      </c>
      <c r="E12" s="14">
        <f>'Unit rate summary - tablets'!G18+'Unit rate summary - tablets'!G51</f>
        <v>164819.41014764807</v>
      </c>
      <c r="F12" s="13">
        <f>'Unit rate summary - tablets'!H18+'Unit rate summary - tablets'!H51</f>
        <v>157231.6633389112</v>
      </c>
      <c r="G12" s="13">
        <f>'Unit rate summary - tablets'!I18+'Unit rate summary - tablets'!I51</f>
        <v>170748.96489177539</v>
      </c>
      <c r="H12" s="13">
        <f>'Unit rate summary - tablets'!J18+'Unit rate summary - tablets'!J51</f>
        <v>160880.96816069752</v>
      </c>
      <c r="I12" s="15">
        <f>'Unit rate summary - tablets'!K18+'Unit rate summary - tablets'!K51</f>
        <v>177596.3914024799</v>
      </c>
      <c r="J12" s="15">
        <f t="shared" si="1"/>
        <v>831277.39794151206</v>
      </c>
    </row>
    <row r="13" spans="2:12" ht="24.75" customHeight="1" x14ac:dyDescent="0.2">
      <c r="B13" s="12" t="s">
        <v>10</v>
      </c>
      <c r="C13" s="13">
        <f>'Unit rate summary - tablets'!E33+'Unit rate summary - tablets'!E66</f>
        <v>0</v>
      </c>
      <c r="D13" s="13">
        <f>'Unit rate summary - tablets'!F33+'Unit rate summary - tablets'!F66</f>
        <v>0</v>
      </c>
      <c r="E13" s="14">
        <f>'Unit rate summary - tablets'!G33+'Unit rate summary - tablets'!G66</f>
        <v>356744.8971747231</v>
      </c>
      <c r="F13" s="13">
        <f>'Unit rate summary - tablets'!H33+'Unit rate summary - tablets'!H66</f>
        <v>257591.74371400228</v>
      </c>
      <c r="G13" s="13">
        <f>'Unit rate summary - tablets'!I33+'Unit rate summary - tablets'!I66</f>
        <v>368278.41278609919</v>
      </c>
      <c r="H13" s="13">
        <f>'Unit rate summary - tablets'!J33+'Unit rate summary - tablets'!J66</f>
        <v>268238.22984064685</v>
      </c>
      <c r="I13" s="15">
        <f>'Unit rate summary - tablets'!K33+'Unit rate summary - tablets'!K66</f>
        <v>377432.49457004934</v>
      </c>
      <c r="J13" s="15">
        <f t="shared" si="1"/>
        <v>1628285.778085521</v>
      </c>
      <c r="L13" s="43"/>
    </row>
    <row r="14" spans="2:12" ht="24.75" customHeight="1" x14ac:dyDescent="0.2">
      <c r="C14" s="16"/>
      <c r="D14" s="16"/>
      <c r="E14" s="16"/>
      <c r="F14" s="16"/>
      <c r="G14" s="16"/>
      <c r="H14" s="16"/>
      <c r="I14" s="16"/>
      <c r="J14" s="16"/>
    </row>
    <row r="15" spans="2:12" ht="24.75" customHeight="1" x14ac:dyDescent="0.2">
      <c r="B15" s="1" t="s">
        <v>37</v>
      </c>
      <c r="C15" s="17">
        <v>6.2E-2</v>
      </c>
      <c r="D15" s="16"/>
      <c r="E15" s="3"/>
      <c r="F15" s="3"/>
      <c r="G15" s="3"/>
      <c r="H15" s="3"/>
      <c r="I15" s="3"/>
      <c r="J15" s="3"/>
    </row>
    <row r="16" spans="2:12" ht="24.75" customHeight="1" x14ac:dyDescent="0.2">
      <c r="B16" s="1" t="s">
        <v>38</v>
      </c>
      <c r="C16" s="41">
        <f>(NPV(C15,E7:I7)+NPV(C15,E8:I8))-NPV(C15,E9:I9)</f>
        <v>445173.37946715625</v>
      </c>
      <c r="D16" s="18"/>
      <c r="E16" s="3"/>
      <c r="F16" s="3"/>
      <c r="G16" s="3"/>
      <c r="H16" s="3"/>
      <c r="I16" s="3"/>
      <c r="J16" s="3"/>
    </row>
    <row r="17" spans="2:12" ht="24.75" customHeight="1" x14ac:dyDescent="0.2">
      <c r="B17" s="1" t="s">
        <v>39</v>
      </c>
      <c r="C17" s="41">
        <f>(NPV(C15,E11:I11)+NPV(C15,E12:I12))-NPV(C15,E13:I13)</f>
        <v>68331.689514340134</v>
      </c>
      <c r="D17" s="18"/>
      <c r="E17" s="3"/>
      <c r="F17" s="3"/>
      <c r="G17" s="3"/>
      <c r="H17" s="3"/>
      <c r="I17" s="3"/>
      <c r="J17" s="3"/>
    </row>
    <row r="18" spans="2:12" ht="24.75" customHeight="1" x14ac:dyDescent="0.2">
      <c r="C18" s="16"/>
      <c r="D18" s="16"/>
      <c r="E18" s="16"/>
      <c r="F18" s="16"/>
      <c r="G18" s="16"/>
      <c r="H18" s="16"/>
      <c r="I18" s="16"/>
      <c r="J18" s="16"/>
    </row>
    <row r="19" spans="2:12" ht="24.75" customHeight="1" x14ac:dyDescent="0.2">
      <c r="B19" s="140" t="s">
        <v>44</v>
      </c>
      <c r="C19" s="141"/>
      <c r="D19" s="141"/>
      <c r="E19" s="141"/>
      <c r="F19" s="141"/>
      <c r="G19" s="141"/>
      <c r="H19" s="141"/>
      <c r="I19" s="141"/>
      <c r="J19" s="142"/>
    </row>
    <row r="20" spans="2:12" ht="24.75" customHeight="1" x14ac:dyDescent="0.2">
      <c r="B20" s="37" t="s">
        <v>40</v>
      </c>
      <c r="C20" s="26">
        <v>2014</v>
      </c>
      <c r="D20" s="26">
        <v>2015</v>
      </c>
      <c r="E20" s="27">
        <v>2016</v>
      </c>
      <c r="F20" s="26">
        <v>2017</v>
      </c>
      <c r="G20" s="26">
        <v>2018</v>
      </c>
      <c r="H20" s="26">
        <v>2019</v>
      </c>
      <c r="I20" s="28">
        <v>2020</v>
      </c>
      <c r="J20" s="28" t="s">
        <v>36</v>
      </c>
    </row>
    <row r="21" spans="2:12" ht="24.75" customHeight="1" x14ac:dyDescent="0.2">
      <c r="B21" s="29" t="s">
        <v>11</v>
      </c>
      <c r="C21" s="30">
        <f>C7*$G$3</f>
        <v>443365.07751756831</v>
      </c>
      <c r="D21" s="30">
        <f t="shared" ref="D21:I23" si="2">D7*$G$3</f>
        <v>13594.431122841383</v>
      </c>
      <c r="E21" s="31">
        <f t="shared" si="2"/>
        <v>259995.46494015542</v>
      </c>
      <c r="F21" s="30">
        <f t="shared" si="2"/>
        <v>211033.3210399333</v>
      </c>
      <c r="G21" s="30">
        <f t="shared" si="2"/>
        <v>266792.38417001767</v>
      </c>
      <c r="H21" s="30">
        <f t="shared" si="2"/>
        <v>27883.435239259721</v>
      </c>
      <c r="I21" s="32">
        <f t="shared" si="2"/>
        <v>462773.71471645834</v>
      </c>
      <c r="J21" s="32">
        <f>J7*G$3</f>
        <v>1228478.3201058244</v>
      </c>
      <c r="L21" s="43"/>
    </row>
    <row r="22" spans="2:12" ht="24.75" customHeight="1" x14ac:dyDescent="0.2">
      <c r="B22" s="39" t="s">
        <v>12</v>
      </c>
      <c r="C22" s="33">
        <f>C8*$G$3</f>
        <v>427316.28152798233</v>
      </c>
      <c r="D22" s="33">
        <f t="shared" si="2"/>
        <v>399167.63013875898</v>
      </c>
      <c r="E22" s="34">
        <f t="shared" si="2"/>
        <v>421183.00428184221</v>
      </c>
      <c r="F22" s="33">
        <f t="shared" si="2"/>
        <v>424557.57978139858</v>
      </c>
      <c r="G22" s="33">
        <f t="shared" si="2"/>
        <v>436630.84316604579</v>
      </c>
      <c r="H22" s="33">
        <f t="shared" si="2"/>
        <v>427100.88197426638</v>
      </c>
      <c r="I22" s="35">
        <f t="shared" si="2"/>
        <v>461637.62748449406</v>
      </c>
      <c r="J22" s="35">
        <f>J8*G$3</f>
        <v>2171109.9366880469</v>
      </c>
      <c r="L22" s="43"/>
    </row>
    <row r="23" spans="2:12" ht="24.75" customHeight="1" x14ac:dyDescent="0.2">
      <c r="B23" s="39" t="s">
        <v>10</v>
      </c>
      <c r="C23" s="33">
        <v>0</v>
      </c>
      <c r="D23" s="33">
        <v>0</v>
      </c>
      <c r="E23" s="34">
        <f>E9*$G$3</f>
        <v>610782.73026153981</v>
      </c>
      <c r="F23" s="33">
        <f t="shared" si="2"/>
        <v>465380.92053260322</v>
      </c>
      <c r="G23" s="33">
        <f t="shared" si="2"/>
        <v>630925.91731452104</v>
      </c>
      <c r="H23" s="33">
        <f t="shared" si="2"/>
        <v>484116.30742329493</v>
      </c>
      <c r="I23" s="35">
        <f t="shared" si="2"/>
        <v>646967.33564579976</v>
      </c>
      <c r="J23" s="35">
        <f>J9*G$3</f>
        <v>2838173.2111777589</v>
      </c>
      <c r="L23" s="43"/>
    </row>
    <row r="24" spans="2:12" ht="24.75" customHeight="1" x14ac:dyDescent="0.2">
      <c r="B24" s="70" t="s">
        <v>13</v>
      </c>
      <c r="C24" s="71"/>
      <c r="D24" s="71"/>
      <c r="E24" s="72">
        <f>E23-$C$22</f>
        <v>183466.44873355748</v>
      </c>
      <c r="F24" s="71">
        <f>F23-$C$22</f>
        <v>38064.639004620898</v>
      </c>
      <c r="G24" s="71">
        <f>G23-$C$22</f>
        <v>203609.63578653871</v>
      </c>
      <c r="H24" s="71">
        <f>H23-$C$22</f>
        <v>56800.025895312603</v>
      </c>
      <c r="I24" s="73">
        <f>I23-$C$22</f>
        <v>219651.05411781743</v>
      </c>
      <c r="J24" s="74">
        <f>SUM(E24:I24)</f>
        <v>701591.80353784712</v>
      </c>
      <c r="L24" s="43"/>
    </row>
    <row r="25" spans="2:12" ht="24.75" customHeight="1" x14ac:dyDescent="0.2">
      <c r="B25" s="4" t="s">
        <v>43</v>
      </c>
      <c r="C25" s="5">
        <v>2014</v>
      </c>
      <c r="D25" s="5">
        <v>2015</v>
      </c>
      <c r="E25" s="6">
        <v>2016</v>
      </c>
      <c r="F25" s="5">
        <v>2017</v>
      </c>
      <c r="G25" s="5">
        <v>2018</v>
      </c>
      <c r="H25" s="5">
        <v>2019</v>
      </c>
      <c r="I25" s="7">
        <v>2020</v>
      </c>
      <c r="J25" s="7" t="s">
        <v>36</v>
      </c>
    </row>
    <row r="26" spans="2:12" ht="24.75" customHeight="1" x14ac:dyDescent="0.2">
      <c r="B26" s="29" t="s">
        <v>11</v>
      </c>
      <c r="C26" s="30">
        <f>C11*$G$3</f>
        <v>302661.47306095489</v>
      </c>
      <c r="D26" s="30">
        <f t="shared" ref="D26:I28" si="3">D11*$G$3</f>
        <v>0</v>
      </c>
      <c r="E26" s="31">
        <f t="shared" si="3"/>
        <v>265330.3471901989</v>
      </c>
      <c r="F26" s="30">
        <f t="shared" si="3"/>
        <v>46798.528378431278</v>
      </c>
      <c r="G26" s="30">
        <f t="shared" si="3"/>
        <v>271113.10754467855</v>
      </c>
      <c r="H26" s="30">
        <f t="shared" si="3"/>
        <v>9576.5811608269905</v>
      </c>
      <c r="I26" s="32">
        <f t="shared" si="3"/>
        <v>317316.8103816497</v>
      </c>
      <c r="J26" s="32">
        <f>J11*G$3</f>
        <v>910135.3746557855</v>
      </c>
      <c r="L26" s="43"/>
    </row>
    <row r="27" spans="2:12" ht="24.75" customHeight="1" x14ac:dyDescent="0.2">
      <c r="B27" s="39" t="s">
        <v>12</v>
      </c>
      <c r="C27" s="33">
        <f>C12*$G$3</f>
        <v>169995.23211742268</v>
      </c>
      <c r="D27" s="33">
        <f t="shared" si="3"/>
        <v>155320.49604186145</v>
      </c>
      <c r="E27" s="34">
        <f t="shared" si="3"/>
        <v>170384.53838050854</v>
      </c>
      <c r="F27" s="33">
        <f t="shared" si="3"/>
        <v>162540.59126167913</v>
      </c>
      <c r="G27" s="33">
        <f t="shared" si="3"/>
        <v>176514.3045711231</v>
      </c>
      <c r="H27" s="33">
        <f t="shared" si="3"/>
        <v>166313.11487957594</v>
      </c>
      <c r="I27" s="35">
        <f t="shared" si="3"/>
        <v>183592.93447324264</v>
      </c>
      <c r="J27" s="35">
        <f>J12*G$3</f>
        <v>859345.48356612935</v>
      </c>
      <c r="L27" s="43"/>
    </row>
    <row r="28" spans="2:12" ht="24.75" customHeight="1" x14ac:dyDescent="0.2">
      <c r="B28" s="39" t="s">
        <v>10</v>
      </c>
      <c r="C28" s="33">
        <v>0</v>
      </c>
      <c r="D28" s="33">
        <v>0</v>
      </c>
      <c r="E28" s="34">
        <f>E13*$G$3</f>
        <v>368790.39046594081</v>
      </c>
      <c r="F28" s="33">
        <f t="shared" si="3"/>
        <v>266289.33026773628</v>
      </c>
      <c r="G28" s="33">
        <f t="shared" si="3"/>
        <v>380713.33529136097</v>
      </c>
      <c r="H28" s="33">
        <f t="shared" si="3"/>
        <v>277295.2950533026</v>
      </c>
      <c r="I28" s="35">
        <f t="shared" si="3"/>
        <v>390176.50469391223</v>
      </c>
      <c r="J28" s="35">
        <f>J13*G$3</f>
        <v>1683264.8557722531</v>
      </c>
      <c r="L28" s="43"/>
    </row>
    <row r="29" spans="2:12" ht="24.75" customHeight="1" x14ac:dyDescent="0.2">
      <c r="B29" s="70" t="s">
        <v>13</v>
      </c>
      <c r="C29" s="71"/>
      <c r="D29" s="71"/>
      <c r="E29" s="72">
        <f>E28-$C$27</f>
        <v>198795.15834851813</v>
      </c>
      <c r="F29" s="71">
        <f>F28-$C$27</f>
        <v>96294.098150313599</v>
      </c>
      <c r="G29" s="71">
        <f>G28-$C$27</f>
        <v>210718.10317393829</v>
      </c>
      <c r="H29" s="71">
        <f>H28-$C$27</f>
        <v>107300.06293587992</v>
      </c>
      <c r="I29" s="73">
        <f>I28-$C$27</f>
        <v>220181.27257648954</v>
      </c>
      <c r="J29" s="74">
        <f>SUM(E29:I29)</f>
        <v>833288.69518513954</v>
      </c>
      <c r="L29" s="43"/>
    </row>
    <row r="30" spans="2:12" s="23" customFormat="1" ht="24.75" customHeight="1" x14ac:dyDescent="0.2">
      <c r="C30" s="24"/>
      <c r="D30" s="24"/>
      <c r="E30" s="24"/>
      <c r="F30" s="24"/>
      <c r="G30" s="24"/>
      <c r="H30" s="24"/>
      <c r="I30" s="24"/>
      <c r="J30" s="24"/>
      <c r="L30" s="25"/>
    </row>
    <row r="31" spans="2:12" ht="24.75" customHeight="1" x14ac:dyDescent="0.2">
      <c r="B31" s="37" t="s">
        <v>49</v>
      </c>
      <c r="C31" s="81"/>
      <c r="D31" s="81"/>
      <c r="E31" s="82">
        <v>2016</v>
      </c>
      <c r="F31" s="83">
        <v>2017</v>
      </c>
      <c r="G31" s="83">
        <v>2018</v>
      </c>
      <c r="H31" s="83">
        <v>2019</v>
      </c>
      <c r="I31" s="84">
        <v>2020</v>
      </c>
      <c r="J31" s="84" t="s">
        <v>36</v>
      </c>
    </row>
    <row r="32" spans="2:12" ht="24.75" customHeight="1" x14ac:dyDescent="0.2">
      <c r="B32" s="19" t="s">
        <v>21</v>
      </c>
      <c r="C32" s="20"/>
      <c r="D32" s="20"/>
      <c r="E32" s="67">
        <f>SUM(E24,E29)</f>
        <v>382261.60708207561</v>
      </c>
      <c r="F32" s="68">
        <f t="shared" ref="F32:I32" si="4">SUM(F24,F29)</f>
        <v>134358.7371549345</v>
      </c>
      <c r="G32" s="68">
        <f t="shared" si="4"/>
        <v>414327.738960477</v>
      </c>
      <c r="H32" s="68">
        <f t="shared" si="4"/>
        <v>164100.08883119252</v>
      </c>
      <c r="I32" s="69">
        <f t="shared" si="4"/>
        <v>439832.32669430698</v>
      </c>
      <c r="J32" s="69">
        <f>SUM(E32:I32)</f>
        <v>1534880.4987229866</v>
      </c>
      <c r="L32" s="43"/>
    </row>
    <row r="33" spans="2:12" ht="24.75" customHeight="1" x14ac:dyDescent="0.2">
      <c r="C33" s="1"/>
      <c r="D33" s="1"/>
      <c r="I33" s="22"/>
      <c r="L33" s="40"/>
    </row>
    <row r="34" spans="2:12" ht="24.75" customHeight="1" x14ac:dyDescent="0.2">
      <c r="B34" s="1" t="s">
        <v>50</v>
      </c>
      <c r="C34" s="1"/>
      <c r="D34" s="1"/>
      <c r="I34" s="22"/>
      <c r="L34" s="40"/>
    </row>
    <row r="35" spans="2:12" ht="24.75" customHeight="1" x14ac:dyDescent="0.2">
      <c r="B35" s="37" t="s">
        <v>48</v>
      </c>
      <c r="C35" s="81"/>
      <c r="D35" s="81"/>
      <c r="E35" s="82">
        <v>2016</v>
      </c>
      <c r="F35" s="83">
        <v>2017</v>
      </c>
      <c r="G35" s="83">
        <v>2018</v>
      </c>
      <c r="H35" s="83">
        <v>2019</v>
      </c>
      <c r="I35" s="84">
        <v>2020</v>
      </c>
      <c r="J35" s="84" t="s">
        <v>36</v>
      </c>
      <c r="L35" s="40"/>
    </row>
    <row r="36" spans="2:12" ht="24.75" customHeight="1" x14ac:dyDescent="0.2">
      <c r="B36" s="39" t="s">
        <v>21</v>
      </c>
      <c r="C36" s="85"/>
      <c r="D36" s="85"/>
      <c r="E36" s="86">
        <f>E21+E26</f>
        <v>525325.81213035434</v>
      </c>
      <c r="F36" s="87">
        <f t="shared" ref="F36:I36" si="5">F21+F26</f>
        <v>257831.84941836458</v>
      </c>
      <c r="G36" s="87">
        <f t="shared" si="5"/>
        <v>537905.49171469617</v>
      </c>
      <c r="H36" s="87">
        <f t="shared" si="5"/>
        <v>37460.016400086708</v>
      </c>
      <c r="I36" s="88">
        <f t="shared" si="5"/>
        <v>780090.52509810799</v>
      </c>
      <c r="J36" s="88">
        <f>SUM(E36:I36)</f>
        <v>2138613.6947616097</v>
      </c>
      <c r="L36" s="43"/>
    </row>
    <row r="37" spans="2:12" ht="24.75" customHeight="1" x14ac:dyDescent="0.2">
      <c r="C37" s="1"/>
      <c r="D37" s="1"/>
      <c r="I37" s="22"/>
      <c r="L37" s="40"/>
    </row>
  </sheetData>
  <mergeCells count="2">
    <mergeCell ref="B5:J5"/>
    <mergeCell ref="B19:J19"/>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45"/>
  <sheetViews>
    <sheetView showGridLines="0" workbookViewId="0">
      <selection activeCell="J7" sqref="J7"/>
    </sheetView>
  </sheetViews>
  <sheetFormatPr defaultRowHeight="20.25" customHeight="1" x14ac:dyDescent="0.2"/>
  <cols>
    <col min="1" max="1" width="9" style="21"/>
    <col min="2" max="2" width="25.125" style="49" customWidth="1"/>
    <col min="3" max="9" width="10.875" style="50" bestFit="1" customWidth="1"/>
    <col min="10" max="16384" width="9" style="21"/>
  </cols>
  <sheetData>
    <row r="2" spans="2:13" ht="20.25" customHeight="1" x14ac:dyDescent="0.2">
      <c r="B2" s="37" t="s">
        <v>35</v>
      </c>
      <c r="C2" s="44">
        <v>2014</v>
      </c>
      <c r="D2" s="26">
        <v>2015</v>
      </c>
      <c r="E2" s="26">
        <v>2016</v>
      </c>
      <c r="F2" s="26">
        <v>2017</v>
      </c>
      <c r="G2" s="26">
        <v>2018</v>
      </c>
      <c r="H2" s="26">
        <v>2019</v>
      </c>
      <c r="I2" s="28">
        <v>2020</v>
      </c>
      <c r="K2" s="45"/>
    </row>
    <row r="3" spans="2:13" ht="20.25" customHeight="1" x14ac:dyDescent="0.2">
      <c r="B3" s="66" t="s">
        <v>21</v>
      </c>
      <c r="C3" s="136" t="s">
        <v>19</v>
      </c>
      <c r="D3" s="138">
        <v>0</v>
      </c>
      <c r="E3" s="137">
        <f>'[1]Calc|Opex forecast'!O$36</f>
        <v>1.4755718110541546E-2</v>
      </c>
      <c r="F3" s="137">
        <f>'[1]Calc|Opex forecast'!P$36</f>
        <v>1.6284493483896011E-2</v>
      </c>
      <c r="G3" s="137">
        <f>'[1]Calc|Opex forecast'!Q$36</f>
        <v>2.0502770734604284E-2</v>
      </c>
      <c r="H3" s="137">
        <f>'[1]Calc|Opex forecast'!R$36</f>
        <v>1.4595584226544629E-2</v>
      </c>
      <c r="I3" s="139">
        <f>'[1]Calc|Opex forecast'!S$36</f>
        <v>1.4232625007095778E-2</v>
      </c>
      <c r="K3" s="47"/>
      <c r="L3" s="47"/>
      <c r="M3" s="47"/>
    </row>
    <row r="4" spans="2:13" ht="20.25" customHeight="1" x14ac:dyDescent="0.2">
      <c r="L4" s="47"/>
      <c r="M4" s="47"/>
    </row>
    <row r="5" spans="2:13" ht="20.25" customHeight="1" x14ac:dyDescent="0.2">
      <c r="B5" s="37" t="s">
        <v>22</v>
      </c>
      <c r="C5" s="143">
        <v>2016</v>
      </c>
      <c r="D5" s="144"/>
      <c r="E5" s="21"/>
      <c r="F5" s="21"/>
      <c r="G5" s="21"/>
      <c r="H5" s="21"/>
      <c r="I5" s="21"/>
      <c r="L5" s="47"/>
      <c r="M5" s="47"/>
    </row>
    <row r="6" spans="2:13" ht="20.25" customHeight="1" x14ac:dyDescent="0.2">
      <c r="B6" s="29" t="s">
        <v>20</v>
      </c>
      <c r="C6" s="75">
        <v>785541.94901697326</v>
      </c>
      <c r="D6" s="76">
        <f>C6/SUM(C6:C7)</f>
        <v>0.70030976425821567</v>
      </c>
      <c r="E6" s="21"/>
      <c r="F6" s="21"/>
      <c r="G6" s="21"/>
      <c r="H6" s="21"/>
      <c r="I6" s="21"/>
      <c r="L6" s="47"/>
      <c r="M6" s="47"/>
    </row>
    <row r="7" spans="2:13" ht="20.25" customHeight="1" x14ac:dyDescent="0.2">
      <c r="B7" s="39" t="s">
        <v>21</v>
      </c>
      <c r="C7" s="77">
        <v>336164.45736026391</v>
      </c>
      <c r="D7" s="78">
        <f>C7/SUM(C6:C7)</f>
        <v>0.29969023574178427</v>
      </c>
      <c r="E7" s="21"/>
      <c r="F7" s="21"/>
      <c r="G7" s="21"/>
      <c r="H7" s="21"/>
      <c r="I7" s="21"/>
      <c r="L7" s="47"/>
      <c r="M7" s="47"/>
    </row>
    <row r="8" spans="2:13" ht="20.25" customHeight="1" x14ac:dyDescent="0.2">
      <c r="B8" s="21"/>
      <c r="C8" s="21"/>
      <c r="D8" s="21"/>
      <c r="E8" s="21"/>
      <c r="F8" s="21"/>
      <c r="G8" s="21"/>
      <c r="H8" s="21"/>
      <c r="I8" s="21"/>
      <c r="L8" s="47"/>
      <c r="M8" s="47"/>
    </row>
    <row r="9" spans="2:13" ht="20.25" customHeight="1" x14ac:dyDescent="0.2">
      <c r="B9" s="36" t="s">
        <v>3</v>
      </c>
      <c r="C9" s="51"/>
      <c r="D9" s="21"/>
      <c r="E9" s="21"/>
      <c r="F9" s="21"/>
      <c r="G9" s="21"/>
      <c r="H9" s="21"/>
      <c r="I9" s="21"/>
      <c r="J9" s="22"/>
      <c r="L9" s="47"/>
      <c r="M9" s="47"/>
    </row>
    <row r="10" spans="2:13" ht="20.25" customHeight="1" x14ac:dyDescent="0.2">
      <c r="B10" s="37" t="s">
        <v>17</v>
      </c>
      <c r="C10" s="44">
        <v>2014</v>
      </c>
      <c r="D10" s="21"/>
      <c r="E10" s="21"/>
      <c r="F10" s="21"/>
      <c r="G10" s="21"/>
      <c r="H10" s="21"/>
      <c r="I10" s="21"/>
      <c r="J10" s="22"/>
      <c r="L10" s="47"/>
      <c r="M10" s="47"/>
    </row>
    <row r="11" spans="2:13" ht="20.25" customHeight="1" x14ac:dyDescent="0.2">
      <c r="B11" s="38" t="s">
        <v>24</v>
      </c>
      <c r="C11" s="53">
        <v>711</v>
      </c>
      <c r="D11" s="21"/>
      <c r="E11" s="21"/>
      <c r="F11" s="21"/>
      <c r="G11" s="21"/>
      <c r="H11" s="21"/>
      <c r="I11" s="21"/>
      <c r="J11" s="22"/>
      <c r="K11" s="47"/>
      <c r="L11" s="47"/>
      <c r="M11" s="47"/>
    </row>
    <row r="12" spans="2:13" ht="20.25" customHeight="1" x14ac:dyDescent="0.2">
      <c r="B12" s="38" t="s">
        <v>25</v>
      </c>
      <c r="C12" s="53">
        <v>120</v>
      </c>
      <c r="D12" s="21"/>
      <c r="E12" s="21"/>
      <c r="F12" s="21"/>
      <c r="G12" s="21"/>
      <c r="H12" s="21"/>
      <c r="I12" s="21"/>
      <c r="J12" s="22"/>
      <c r="K12" s="47"/>
      <c r="L12" s="47"/>
      <c r="M12" s="47"/>
    </row>
    <row r="13" spans="2:13" ht="20.25" customHeight="1" x14ac:dyDescent="0.2">
      <c r="B13" s="38" t="s">
        <v>46</v>
      </c>
      <c r="C13" s="53">
        <v>889.62573867367041</v>
      </c>
      <c r="D13" s="21"/>
      <c r="E13" s="21"/>
      <c r="F13" s="21"/>
      <c r="G13" s="21"/>
      <c r="H13" s="21"/>
      <c r="I13" s="21"/>
      <c r="J13" s="22"/>
      <c r="K13" s="47"/>
      <c r="L13" s="47"/>
      <c r="M13" s="47"/>
    </row>
    <row r="14" spans="2:13" ht="20.25" customHeight="1" x14ac:dyDescent="0.2">
      <c r="B14" s="39" t="s">
        <v>47</v>
      </c>
      <c r="C14" s="48">
        <v>704.37426132632959</v>
      </c>
      <c r="D14" s="21"/>
      <c r="E14" s="21"/>
      <c r="F14" s="21"/>
      <c r="G14" s="21"/>
      <c r="H14" s="21"/>
      <c r="I14" s="21"/>
      <c r="J14" s="22"/>
      <c r="K14" s="47"/>
      <c r="L14" s="47"/>
      <c r="M14" s="47"/>
    </row>
    <row r="15" spans="2:13" ht="20.25" customHeight="1" x14ac:dyDescent="0.2">
      <c r="B15" s="29" t="s">
        <v>34</v>
      </c>
      <c r="C15" s="46">
        <v>50</v>
      </c>
      <c r="D15" s="21"/>
      <c r="E15" s="21"/>
      <c r="F15" s="21"/>
      <c r="G15" s="21"/>
      <c r="H15" s="21"/>
      <c r="I15" s="21"/>
      <c r="J15" s="22"/>
      <c r="K15" s="47"/>
      <c r="L15" s="47"/>
      <c r="M15" s="47"/>
    </row>
    <row r="16" spans="2:13" ht="20.25" customHeight="1" x14ac:dyDescent="0.2">
      <c r="B16" s="39" t="s">
        <v>30</v>
      </c>
      <c r="C16" s="48">
        <v>0</v>
      </c>
      <c r="D16" s="21"/>
      <c r="E16" s="21"/>
      <c r="F16" s="21"/>
      <c r="G16" s="21"/>
      <c r="H16" s="21"/>
      <c r="I16" s="21"/>
      <c r="K16" s="47"/>
      <c r="L16" s="47"/>
      <c r="M16" s="47"/>
    </row>
    <row r="17" spans="2:13" ht="20.25" customHeight="1" x14ac:dyDescent="0.2">
      <c r="L17" s="47"/>
      <c r="M17" s="47"/>
    </row>
    <row r="18" spans="2:13" ht="20.25" customHeight="1" x14ac:dyDescent="0.2">
      <c r="B18" s="36" t="s">
        <v>21</v>
      </c>
      <c r="C18" s="51"/>
      <c r="D18" s="51"/>
      <c r="E18" s="51"/>
      <c r="F18" s="51"/>
      <c r="G18" s="51"/>
      <c r="H18" s="51"/>
      <c r="I18" s="52"/>
      <c r="J18" s="22"/>
      <c r="L18" s="47"/>
      <c r="M18" s="47"/>
    </row>
    <row r="19" spans="2:13" ht="20.25" customHeight="1" x14ac:dyDescent="0.2">
      <c r="B19" s="37" t="s">
        <v>17</v>
      </c>
      <c r="C19" s="44">
        <v>2014</v>
      </c>
      <c r="D19" s="26">
        <v>2015</v>
      </c>
      <c r="E19" s="26">
        <v>2016</v>
      </c>
      <c r="F19" s="26">
        <v>2017</v>
      </c>
      <c r="G19" s="26">
        <v>2018</v>
      </c>
      <c r="H19" s="26">
        <v>2019</v>
      </c>
      <c r="I19" s="28">
        <v>2020</v>
      </c>
      <c r="J19" s="22"/>
      <c r="L19" s="47"/>
      <c r="M19" s="47"/>
    </row>
    <row r="20" spans="2:13" ht="20.25" customHeight="1" x14ac:dyDescent="0.2">
      <c r="B20" s="38" t="s">
        <v>24</v>
      </c>
      <c r="C20" s="53">
        <f t="shared" ref="C20:C25" si="0">$D$7*C11</f>
        <v>213.07975761240863</v>
      </c>
      <c r="D20" s="54">
        <f t="shared" ref="D20:I25" si="1">C20*(1+D$3)</f>
        <v>213.07975761240863</v>
      </c>
      <c r="E20" s="54">
        <f t="shared" si="1"/>
        <v>216.22390245079984</v>
      </c>
      <c r="F20" s="54">
        <f t="shared" si="1"/>
        <v>219.74499918132244</v>
      </c>
      <c r="G20" s="54">
        <f t="shared" si="1"/>
        <v>224.25038051961292</v>
      </c>
      <c r="H20" s="54">
        <f t="shared" si="1"/>
        <v>227.5234458363216</v>
      </c>
      <c r="I20" s="55">
        <f t="shared" si="1"/>
        <v>230.76170172123224</v>
      </c>
      <c r="J20" s="22"/>
      <c r="K20" s="47"/>
      <c r="L20" s="47"/>
      <c r="M20" s="47"/>
    </row>
    <row r="21" spans="2:13" ht="20.25" customHeight="1" x14ac:dyDescent="0.2">
      <c r="B21" s="38" t="s">
        <v>25</v>
      </c>
      <c r="C21" s="53">
        <f t="shared" si="0"/>
        <v>35.962828289014112</v>
      </c>
      <c r="D21" s="54">
        <f t="shared" si="1"/>
        <v>35.962828289014112</v>
      </c>
      <c r="E21" s="54">
        <f t="shared" si="1"/>
        <v>36.493485645704617</v>
      </c>
      <c r="F21" s="54">
        <f t="shared" si="1"/>
        <v>37.087763574906745</v>
      </c>
      <c r="G21" s="54">
        <f t="shared" si="1"/>
        <v>37.848165488542271</v>
      </c>
      <c r="H21" s="54">
        <f t="shared" si="1"/>
        <v>38.400581575750486</v>
      </c>
      <c r="I21" s="55">
        <f t="shared" si="1"/>
        <v>38.947122653372539</v>
      </c>
      <c r="J21" s="22"/>
      <c r="K21" s="47"/>
      <c r="L21" s="47"/>
      <c r="M21" s="47"/>
    </row>
    <row r="22" spans="2:13" ht="20.25" customHeight="1" x14ac:dyDescent="0.2">
      <c r="B22" s="29" t="s">
        <v>46</v>
      </c>
      <c r="C22" s="46">
        <f t="shared" si="0"/>
        <v>266.61214734507126</v>
      </c>
      <c r="D22" s="58">
        <f>C22*(1+D$3)</f>
        <v>266.61214734507126</v>
      </c>
      <c r="E22" s="58">
        <f>D22*(1+E$3)</f>
        <v>270.54620103614133</v>
      </c>
      <c r="F22" s="58">
        <f t="shared" ref="F22" si="2">E22*(1+F$3)</f>
        <v>274.9519088840072</v>
      </c>
      <c r="G22" s="58">
        <f t="shared" ref="G22" si="3">F22*(1+G$3)</f>
        <v>280.58918483489782</v>
      </c>
      <c r="H22" s="58">
        <f t="shared" ref="H22" si="4">G22*(1+H$3)</f>
        <v>284.68454791521305</v>
      </c>
      <c r="I22" s="59">
        <f t="shared" ref="I22" si="5">H22*(1+I$3)</f>
        <v>288.73635633100491</v>
      </c>
      <c r="J22" s="22"/>
      <c r="K22" s="47"/>
      <c r="L22" s="47"/>
      <c r="M22" s="47"/>
    </row>
    <row r="23" spans="2:13" ht="20.25" customHeight="1" x14ac:dyDescent="0.2">
      <c r="B23" s="39" t="s">
        <v>47</v>
      </c>
      <c r="C23" s="48">
        <f t="shared" si="0"/>
        <v>211.09408842733288</v>
      </c>
      <c r="D23" s="56">
        <f t="shared" si="1"/>
        <v>211.09408842733288</v>
      </c>
      <c r="E23" s="56">
        <f t="shared" si="1"/>
        <v>214.20893329096833</v>
      </c>
      <c r="F23" s="56">
        <f t="shared" si="1"/>
        <v>217.69721726933741</v>
      </c>
      <c r="G23" s="56">
        <f t="shared" si="1"/>
        <v>222.16061340457199</v>
      </c>
      <c r="H23" s="56">
        <f t="shared" si="1"/>
        <v>225.40317734933924</v>
      </c>
      <c r="I23" s="57">
        <f t="shared" si="1"/>
        <v>228.61125624796031</v>
      </c>
      <c r="J23" s="22"/>
      <c r="K23" s="47"/>
      <c r="L23" s="47"/>
      <c r="M23" s="47"/>
    </row>
    <row r="24" spans="2:13" ht="20.25" customHeight="1" x14ac:dyDescent="0.2">
      <c r="B24" s="29" t="s">
        <v>34</v>
      </c>
      <c r="C24" s="46">
        <f t="shared" si="0"/>
        <v>14.984511787089213</v>
      </c>
      <c r="D24" s="58">
        <f t="shared" si="1"/>
        <v>14.984511787089213</v>
      </c>
      <c r="E24" s="58">
        <f t="shared" si="1"/>
        <v>15.205619019043588</v>
      </c>
      <c r="F24" s="58">
        <f t="shared" si="1"/>
        <v>15.453234822877809</v>
      </c>
      <c r="G24" s="58">
        <f t="shared" si="1"/>
        <v>15.770068953559278</v>
      </c>
      <c r="H24" s="58">
        <f t="shared" si="1"/>
        <v>16.000242323229369</v>
      </c>
      <c r="I24" s="59">
        <f t="shared" si="1"/>
        <v>16.227967772238557</v>
      </c>
      <c r="J24" s="22"/>
      <c r="K24" s="47"/>
      <c r="L24" s="47"/>
      <c r="M24" s="47"/>
    </row>
    <row r="25" spans="2:13" ht="20.25" customHeight="1" x14ac:dyDescent="0.2">
      <c r="B25" s="39" t="s">
        <v>30</v>
      </c>
      <c r="C25" s="48">
        <f t="shared" si="0"/>
        <v>0</v>
      </c>
      <c r="D25" s="56">
        <f t="shared" si="1"/>
        <v>0</v>
      </c>
      <c r="E25" s="56">
        <f t="shared" si="1"/>
        <v>0</v>
      </c>
      <c r="F25" s="56">
        <f t="shared" si="1"/>
        <v>0</v>
      </c>
      <c r="G25" s="56">
        <f t="shared" si="1"/>
        <v>0</v>
      </c>
      <c r="H25" s="56">
        <f t="shared" si="1"/>
        <v>0</v>
      </c>
      <c r="I25" s="57">
        <f t="shared" si="1"/>
        <v>0</v>
      </c>
      <c r="K25" s="47"/>
      <c r="L25" s="47"/>
      <c r="M25" s="47"/>
    </row>
    <row r="26" spans="2:13" ht="20.25" customHeight="1" x14ac:dyDescent="0.2">
      <c r="D26" s="60"/>
      <c r="E26" s="60"/>
      <c r="F26" s="60"/>
      <c r="G26" s="60"/>
      <c r="H26" s="60"/>
      <c r="I26" s="60"/>
      <c r="K26" s="47"/>
      <c r="L26" s="47"/>
      <c r="M26" s="47"/>
    </row>
    <row r="27" spans="2:13" ht="20.25" customHeight="1" x14ac:dyDescent="0.2">
      <c r="B27" s="79" t="s">
        <v>62</v>
      </c>
      <c r="C27" s="51"/>
      <c r="D27" s="51"/>
      <c r="E27" s="51"/>
      <c r="F27" s="51"/>
      <c r="G27" s="51"/>
      <c r="H27" s="51"/>
      <c r="I27" s="52"/>
      <c r="J27" s="22"/>
      <c r="L27" s="47"/>
      <c r="M27" s="47"/>
    </row>
    <row r="28" spans="2:13" ht="20.25" customHeight="1" x14ac:dyDescent="0.2">
      <c r="B28" s="4" t="s">
        <v>63</v>
      </c>
      <c r="C28" s="123">
        <v>2014</v>
      </c>
      <c r="D28" s="5">
        <v>2015</v>
      </c>
      <c r="E28" s="5">
        <v>2016</v>
      </c>
      <c r="F28" s="5">
        <v>2017</v>
      </c>
      <c r="G28" s="5">
        <v>2018</v>
      </c>
      <c r="H28" s="5">
        <v>2019</v>
      </c>
      <c r="I28" s="7">
        <v>2020</v>
      </c>
      <c r="J28" s="22"/>
      <c r="L28" s="47"/>
      <c r="M28" s="47"/>
    </row>
    <row r="29" spans="2:13" ht="20.25" customHeight="1" x14ac:dyDescent="0.2">
      <c r="B29" s="29" t="s">
        <v>55</v>
      </c>
      <c r="C29" s="46">
        <f>C20</f>
        <v>213.07975761240863</v>
      </c>
      <c r="D29" s="122">
        <f>D20-C20</f>
        <v>0</v>
      </c>
      <c r="E29" s="58">
        <f t="shared" ref="E29:I29" si="6">E20-D20+C29</f>
        <v>216.22390245079984</v>
      </c>
      <c r="F29" s="58">
        <f t="shared" si="6"/>
        <v>3.5210967305226006</v>
      </c>
      <c r="G29" s="58">
        <f t="shared" si="6"/>
        <v>220.72928378909032</v>
      </c>
      <c r="H29" s="58">
        <f t="shared" si="6"/>
        <v>6.794162047231282</v>
      </c>
      <c r="I29" s="59">
        <f t="shared" si="6"/>
        <v>223.96753967400096</v>
      </c>
      <c r="J29" s="22"/>
      <c r="K29" s="47"/>
      <c r="L29" s="47"/>
      <c r="M29" s="47"/>
    </row>
    <row r="30" spans="2:13" ht="20.25" customHeight="1" x14ac:dyDescent="0.2">
      <c r="B30" s="38" t="s">
        <v>56</v>
      </c>
      <c r="C30" s="53">
        <f>C21</f>
        <v>35.962828289014112</v>
      </c>
      <c r="D30" s="80">
        <f>D21-C21</f>
        <v>0</v>
      </c>
      <c r="E30" s="54">
        <f t="shared" ref="E30" si="7">E21-D21+C30</f>
        <v>36.493485645704617</v>
      </c>
      <c r="F30" s="54">
        <f t="shared" ref="F30" si="8">F21-E21+D30</f>
        <v>0.59427792920212852</v>
      </c>
      <c r="G30" s="54">
        <f t="shared" ref="G30" si="9">G21-F21+E30</f>
        <v>37.253887559340143</v>
      </c>
      <c r="H30" s="54">
        <f t="shared" ref="H30" si="10">H21-G21+F30</f>
        <v>1.1466940164103434</v>
      </c>
      <c r="I30" s="55">
        <f t="shared" ref="I30" si="11">I21-H21+G30</f>
        <v>37.800428636962195</v>
      </c>
      <c r="J30" s="22"/>
      <c r="K30" s="47"/>
      <c r="L30" s="47"/>
      <c r="M30" s="47"/>
    </row>
    <row r="31" spans="2:13" ht="20.25" customHeight="1" x14ac:dyDescent="0.2">
      <c r="B31" s="91" t="s">
        <v>57</v>
      </c>
      <c r="C31" s="124">
        <f>C21</f>
        <v>35.962828289014112</v>
      </c>
      <c r="D31" s="125">
        <f>D21-C21</f>
        <v>0</v>
      </c>
      <c r="E31" s="126">
        <f>E21-D21</f>
        <v>0.5306573566905044</v>
      </c>
      <c r="F31" s="126">
        <f>F21-E21+C31</f>
        <v>36.557106218216241</v>
      </c>
      <c r="G31" s="126">
        <f t="shared" ref="G31:I31" si="12">G21-F21+D31</f>
        <v>0.76040191363552623</v>
      </c>
      <c r="H31" s="126">
        <f t="shared" si="12"/>
        <v>1.0830734438987193</v>
      </c>
      <c r="I31" s="127">
        <f t="shared" si="12"/>
        <v>37.103647295838293</v>
      </c>
      <c r="J31" s="22"/>
      <c r="K31" s="47"/>
      <c r="L31" s="47"/>
      <c r="M31" s="47"/>
    </row>
    <row r="32" spans="2:13" ht="20.25" customHeight="1" x14ac:dyDescent="0.2">
      <c r="B32" s="29" t="s">
        <v>58</v>
      </c>
      <c r="C32" s="46">
        <f>C22</f>
        <v>266.61214734507126</v>
      </c>
      <c r="D32" s="122">
        <f>D22-C22</f>
        <v>0</v>
      </c>
      <c r="E32" s="58">
        <f t="shared" ref="E32:I33" si="13">E22-D22+C32</f>
        <v>270.54620103614133</v>
      </c>
      <c r="F32" s="58">
        <f t="shared" si="13"/>
        <v>4.4057078478658696</v>
      </c>
      <c r="G32" s="58">
        <f t="shared" si="13"/>
        <v>276.18347698703195</v>
      </c>
      <c r="H32" s="58">
        <f t="shared" si="13"/>
        <v>8.5010709281810932</v>
      </c>
      <c r="I32" s="59">
        <f t="shared" si="13"/>
        <v>280.23528540282382</v>
      </c>
      <c r="J32" s="22"/>
      <c r="K32" s="47"/>
      <c r="L32" s="47"/>
      <c r="M32" s="47"/>
    </row>
    <row r="33" spans="1:13" ht="20.25" customHeight="1" x14ac:dyDescent="0.2">
      <c r="B33" s="38" t="s">
        <v>59</v>
      </c>
      <c r="C33" s="53">
        <f>C23</f>
        <v>211.09408842733288</v>
      </c>
      <c r="D33" s="80">
        <f>D23-C23</f>
        <v>0</v>
      </c>
      <c r="E33" s="54">
        <f t="shared" si="13"/>
        <v>214.20893329096833</v>
      </c>
      <c r="F33" s="54">
        <f t="shared" si="13"/>
        <v>3.4882839783690827</v>
      </c>
      <c r="G33" s="54">
        <f t="shared" si="13"/>
        <v>218.67232942620291</v>
      </c>
      <c r="H33" s="54">
        <f t="shared" si="13"/>
        <v>6.7308479231363378</v>
      </c>
      <c r="I33" s="55">
        <f t="shared" si="13"/>
        <v>221.88040832482397</v>
      </c>
      <c r="J33" s="22"/>
      <c r="K33" s="47"/>
      <c r="L33" s="47"/>
      <c r="M33" s="47"/>
    </row>
    <row r="34" spans="1:13" ht="20.25" customHeight="1" x14ac:dyDescent="0.2">
      <c r="B34" s="91" t="s">
        <v>60</v>
      </c>
      <c r="C34" s="124">
        <f>C23</f>
        <v>211.09408842733288</v>
      </c>
      <c r="D34" s="125">
        <f>D23-C23</f>
        <v>0</v>
      </c>
      <c r="E34" s="126">
        <f>E23-D23</f>
        <v>3.1148448636354544</v>
      </c>
      <c r="F34" s="126">
        <f>F23-E23+C34</f>
        <v>214.58237240570196</v>
      </c>
      <c r="G34" s="126">
        <f t="shared" ref="G34:I34" si="14">G23-F23+D34</f>
        <v>4.463396135234575</v>
      </c>
      <c r="H34" s="126">
        <f t="shared" si="14"/>
        <v>6.3574088084027096</v>
      </c>
      <c r="I34" s="127">
        <f t="shared" si="14"/>
        <v>217.79045130432303</v>
      </c>
      <c r="J34" s="22"/>
      <c r="K34" s="47"/>
      <c r="L34" s="47"/>
      <c r="M34" s="47"/>
    </row>
    <row r="35" spans="1:13" ht="20.25" customHeight="1" x14ac:dyDescent="0.2">
      <c r="A35" s="47"/>
      <c r="B35" s="47"/>
      <c r="C35" s="47"/>
      <c r="D35" s="47"/>
      <c r="E35" s="47"/>
      <c r="F35" s="47"/>
      <c r="G35" s="47"/>
      <c r="H35" s="47"/>
      <c r="I35" s="47"/>
      <c r="J35" s="47"/>
      <c r="K35" s="47"/>
      <c r="L35" s="47"/>
      <c r="M35" s="47"/>
    </row>
    <row r="36" spans="1:13" ht="20.25" customHeight="1" x14ac:dyDescent="0.2">
      <c r="B36" s="37" t="s">
        <v>28</v>
      </c>
      <c r="C36" s="44" t="s">
        <v>29</v>
      </c>
      <c r="D36" s="21"/>
      <c r="E36" s="21"/>
      <c r="F36" s="21"/>
      <c r="G36" s="21"/>
      <c r="H36" s="21"/>
      <c r="I36" s="21"/>
      <c r="K36" s="47"/>
      <c r="L36" s="47"/>
      <c r="M36" s="47"/>
    </row>
    <row r="37" spans="1:13" ht="20.25" customHeight="1" x14ac:dyDescent="0.2">
      <c r="B37" s="29" t="s">
        <v>23</v>
      </c>
      <c r="C37" s="46">
        <v>350</v>
      </c>
      <c r="D37" s="21"/>
      <c r="E37" s="21"/>
      <c r="F37" s="21"/>
      <c r="G37" s="21"/>
      <c r="H37" s="21"/>
      <c r="I37" s="21"/>
      <c r="K37" s="47"/>
      <c r="L37" s="47"/>
      <c r="M37" s="47"/>
    </row>
    <row r="38" spans="1:13" ht="20.25" customHeight="1" x14ac:dyDescent="0.2">
      <c r="B38" s="39" t="s">
        <v>26</v>
      </c>
      <c r="C38" s="48">
        <v>350</v>
      </c>
      <c r="D38" s="21"/>
      <c r="E38" s="21"/>
      <c r="F38" s="21"/>
      <c r="G38" s="21"/>
      <c r="H38" s="21"/>
      <c r="I38" s="21"/>
      <c r="K38" s="47"/>
      <c r="L38" s="47"/>
      <c r="M38" s="47"/>
    </row>
    <row r="40" spans="1:13" ht="20.25" customHeight="1" x14ac:dyDescent="0.2">
      <c r="B40" s="50"/>
    </row>
    <row r="41" spans="1:13" ht="20.25" customHeight="1" x14ac:dyDescent="0.2">
      <c r="B41" s="50"/>
    </row>
    <row r="42" spans="1:13" ht="20.25" customHeight="1" x14ac:dyDescent="0.2">
      <c r="B42" s="50"/>
    </row>
    <row r="43" spans="1:13" ht="20.25" customHeight="1" x14ac:dyDescent="0.2">
      <c r="B43" s="50"/>
    </row>
    <row r="44" spans="1:13" ht="20.25" customHeight="1" x14ac:dyDescent="0.2">
      <c r="B44" s="50"/>
    </row>
    <row r="45" spans="1:13" ht="20.25" customHeight="1" x14ac:dyDescent="0.2">
      <c r="B45" s="50"/>
    </row>
  </sheetData>
  <mergeCells count="1">
    <mergeCell ref="C5:D5"/>
  </mergeCells>
  <pageMargins left="0.7" right="0.7" top="0.75" bottom="0.75" header="0.3" footer="0.3"/>
  <pageSetup orientation="portrait" r:id="rId1"/>
  <ignoredErrors>
    <ignoredError sqref="F35:J35 J3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2:L69"/>
  <sheetViews>
    <sheetView showGridLines="0" zoomScale="85" zoomScaleNormal="85" workbookViewId="0">
      <selection activeCell="B2" sqref="B2"/>
    </sheetView>
  </sheetViews>
  <sheetFormatPr defaultRowHeight="17.25" customHeight="1" x14ac:dyDescent="0.2"/>
  <cols>
    <col min="1" max="1" width="4.25" style="1" customWidth="1"/>
    <col min="2" max="2" width="46.375" style="49" customWidth="1"/>
    <col min="3" max="3" width="12.25" style="64" customWidth="1"/>
    <col min="4" max="11" width="12.25" style="65" customWidth="1"/>
    <col min="12" max="12" width="4.25" style="1" customWidth="1"/>
    <col min="13" max="16384" width="9" style="1"/>
  </cols>
  <sheetData>
    <row r="2" spans="2:11" ht="17.25" customHeight="1" x14ac:dyDescent="0.2">
      <c r="B2" s="119" t="s">
        <v>64</v>
      </c>
      <c r="C2" s="120"/>
      <c r="D2" s="121"/>
      <c r="E2" s="121"/>
      <c r="F2" s="121"/>
      <c r="G2" s="121"/>
      <c r="H2" s="121"/>
      <c r="I2" s="121"/>
      <c r="J2" s="121"/>
      <c r="K2" s="121"/>
    </row>
    <row r="3" spans="2:11" ht="17.25" customHeight="1" x14ac:dyDescent="0.2">
      <c r="C3" s="62"/>
      <c r="D3" s="62"/>
      <c r="E3" s="62"/>
      <c r="F3" s="62"/>
      <c r="G3" s="62"/>
      <c r="H3" s="62"/>
      <c r="I3" s="62"/>
      <c r="J3" s="62"/>
      <c r="K3" s="62"/>
    </row>
    <row r="4" spans="2:11" ht="17.25" customHeight="1" x14ac:dyDescent="0.2">
      <c r="B4" s="89" t="s">
        <v>52</v>
      </c>
      <c r="C4" s="107" t="s">
        <v>51</v>
      </c>
      <c r="D4" s="108" t="s">
        <v>18</v>
      </c>
      <c r="E4" s="96">
        <v>2014</v>
      </c>
      <c r="F4" s="96">
        <v>2015</v>
      </c>
      <c r="G4" s="96">
        <v>2016</v>
      </c>
      <c r="H4" s="96">
        <v>2017</v>
      </c>
      <c r="I4" s="96">
        <v>2018</v>
      </c>
      <c r="J4" s="96">
        <v>2019</v>
      </c>
      <c r="K4" s="97">
        <v>2020</v>
      </c>
    </row>
    <row r="5" spans="2:11" ht="17.25" customHeight="1" x14ac:dyDescent="0.2">
      <c r="B5" s="90" t="s">
        <v>14</v>
      </c>
      <c r="C5" s="109">
        <v>617.27</v>
      </c>
      <c r="D5" s="110">
        <v>1</v>
      </c>
      <c r="E5" s="100">
        <f>$C5*'Unit volumes'!C$32*$D5</f>
        <v>164571.68019169214</v>
      </c>
      <c r="F5" s="100">
        <f>$C5*'Unit volumes'!D$32*$D5</f>
        <v>0</v>
      </c>
      <c r="G5" s="100">
        <f>$C5*'Unit volumes'!E$32*$D5</f>
        <v>167000.05351357895</v>
      </c>
      <c r="H5" s="100">
        <f>$C5*'Unit volumes'!F$32*$D5</f>
        <v>2719.5112832521654</v>
      </c>
      <c r="I5" s="100">
        <f>$C5*'Unit volumes'!G$32*$D5</f>
        <v>170479.77483978521</v>
      </c>
      <c r="J5" s="100">
        <f>$C5*'Unit volumes'!H$32*$D5</f>
        <v>5247.4560518383432</v>
      </c>
      <c r="K5" s="101">
        <f>$C5*'Unit volumes'!I$32*$D5</f>
        <v>172980.83462060106</v>
      </c>
    </row>
    <row r="6" spans="2:11" ht="17.25" customHeight="1" x14ac:dyDescent="0.2">
      <c r="B6" s="93" t="s">
        <v>4</v>
      </c>
      <c r="C6" s="111">
        <v>65</v>
      </c>
      <c r="D6" s="112">
        <v>1</v>
      </c>
      <c r="E6" s="94">
        <f>$C6*'Unit volumes'!C$32*$D6</f>
        <v>17329.789577429634</v>
      </c>
      <c r="F6" s="94">
        <f>$C6*'Unit volumes'!D$32*$D6</f>
        <v>0</v>
      </c>
      <c r="G6" s="94">
        <f>$C6*'Unit volumes'!E$32*$D6</f>
        <v>17585.503067349186</v>
      </c>
      <c r="H6" s="94">
        <f>$C6*'Unit volumes'!F$32*$D6</f>
        <v>286.37101011128152</v>
      </c>
      <c r="I6" s="94">
        <f>$C6*'Unit volumes'!G$32*$D6</f>
        <v>17951.926004157078</v>
      </c>
      <c r="J6" s="94">
        <f>$C6*'Unit volumes'!H$32*$D6</f>
        <v>552.56961033177106</v>
      </c>
      <c r="K6" s="102">
        <f>$C6*'Unit volumes'!I$32*$D6</f>
        <v>18215.293551183549</v>
      </c>
    </row>
    <row r="7" spans="2:11" ht="17.25" customHeight="1" x14ac:dyDescent="0.2">
      <c r="B7" s="93" t="s">
        <v>1</v>
      </c>
      <c r="C7" s="111">
        <v>188</v>
      </c>
      <c r="D7" s="112">
        <v>1</v>
      </c>
      <c r="E7" s="94">
        <f>$C7*'Unit volumes'!C$32*$D7</f>
        <v>50123.083700873394</v>
      </c>
      <c r="F7" s="94">
        <f>$C7*'Unit volumes'!D$32*$D7</f>
        <v>0</v>
      </c>
      <c r="G7" s="94">
        <f>$C7*'Unit volumes'!E$32*$D7</f>
        <v>50862.685794794568</v>
      </c>
      <c r="H7" s="94">
        <f>$C7*'Unit volumes'!F$32*$D7</f>
        <v>828.27307539878348</v>
      </c>
      <c r="I7" s="94">
        <f>$C7*'Unit volumes'!G$32*$D7</f>
        <v>51922.493673562007</v>
      </c>
      <c r="J7" s="94">
        <f>$C7*'Unit volumes'!H$32*$D7</f>
        <v>1598.2013344980455</v>
      </c>
      <c r="K7" s="102">
        <f>$C7*'Unit volumes'!I$32*$D7</f>
        <v>52684.233655730881</v>
      </c>
    </row>
    <row r="8" spans="2:11" ht="17.25" customHeight="1" x14ac:dyDescent="0.2">
      <c r="B8" s="91" t="s">
        <v>2</v>
      </c>
      <c r="C8" s="113">
        <v>57</v>
      </c>
      <c r="D8" s="114">
        <v>1</v>
      </c>
      <c r="E8" s="105">
        <f>$C8*'Unit volumes'!C$32*$D8</f>
        <v>15196.892398669062</v>
      </c>
      <c r="F8" s="105">
        <f>$C8*'Unit volumes'!D$32*$D8</f>
        <v>0</v>
      </c>
      <c r="G8" s="105">
        <f>$C8*'Unit volumes'!E$32*$D8</f>
        <v>15421.133459060056</v>
      </c>
      <c r="H8" s="105">
        <f>$C8*'Unit volumes'!F$32*$D8</f>
        <v>251.12534732835456</v>
      </c>
      <c r="I8" s="105">
        <f>$C8*'Unit volumes'!G$32*$D8</f>
        <v>15742.458188260822</v>
      </c>
      <c r="J8" s="105">
        <f>$C8*'Unit volumes'!H$32*$D8</f>
        <v>484.56104290632231</v>
      </c>
      <c r="K8" s="106">
        <f>$C8*'Unit volumes'!I$32*$D8</f>
        <v>15973.411267960957</v>
      </c>
    </row>
    <row r="9" spans="2:11" ht="17.25" customHeight="1" x14ac:dyDescent="0.2">
      <c r="B9" s="93" t="s">
        <v>31</v>
      </c>
      <c r="C9" s="111">
        <v>720</v>
      </c>
      <c r="D9" s="112">
        <v>1</v>
      </c>
      <c r="E9" s="94">
        <f>$C9*'Unit volumes'!C$22*$D9</f>
        <v>191960.7460884513</v>
      </c>
      <c r="F9" s="94">
        <f>$C9*'Unit volumes'!D$22*$D9</f>
        <v>191960.7460884513</v>
      </c>
      <c r="G9" s="94">
        <f>$C9*'Unit volumes'!E$22*$D9</f>
        <v>194793.26474602174</v>
      </c>
      <c r="H9" s="94">
        <f>$C9*'Unit volumes'!F$22*$D9</f>
        <v>197965.37439648519</v>
      </c>
      <c r="I9" s="94">
        <f>$C9*'Unit volumes'!G$22*$D9</f>
        <v>202024.21308112642</v>
      </c>
      <c r="J9" s="94">
        <f>$C9*'Unit volumes'!H$22*$D9</f>
        <v>204972.8744989534</v>
      </c>
      <c r="K9" s="102">
        <f>$C9*'Unit volumes'!I$22*$D9</f>
        <v>207890.17655832352</v>
      </c>
    </row>
    <row r="10" spans="2:11" ht="17.25" customHeight="1" x14ac:dyDescent="0.2">
      <c r="B10" s="93" t="s">
        <v>0</v>
      </c>
      <c r="C10" s="111">
        <v>60</v>
      </c>
      <c r="D10" s="112">
        <v>0.5</v>
      </c>
      <c r="E10" s="94">
        <f>$C10*'Unit volumes'!C$22*$D10</f>
        <v>7998.364420352138</v>
      </c>
      <c r="F10" s="94">
        <f>$C10*'Unit volumes'!D$22*$D10</f>
        <v>7998.364420352138</v>
      </c>
      <c r="G10" s="94">
        <f>$C10*'Unit volumes'!E$22*$D10</f>
        <v>8116.3860310842401</v>
      </c>
      <c r="H10" s="94">
        <f>$C10*'Unit volumes'!F$22*$D10</f>
        <v>8248.5572665202162</v>
      </c>
      <c r="I10" s="94">
        <f>$C10*'Unit volumes'!G$22*$D10</f>
        <v>8417.6755450469354</v>
      </c>
      <c r="J10" s="94">
        <f>$C10*'Unit volumes'!H$22*$D10</f>
        <v>8540.5364374563906</v>
      </c>
      <c r="K10" s="102">
        <f>$C10*'Unit volumes'!I$22*$D10</f>
        <v>8662.0906899301481</v>
      </c>
    </row>
    <row r="11" spans="2:11" ht="17.25" customHeight="1" x14ac:dyDescent="0.2">
      <c r="B11" s="93" t="s">
        <v>32</v>
      </c>
      <c r="C11" s="111">
        <v>39</v>
      </c>
      <c r="D11" s="112">
        <v>1</v>
      </c>
      <c r="E11" s="94">
        <f>$C11*'Unit volumes'!C$22*$D11</f>
        <v>10397.873746457779</v>
      </c>
      <c r="F11" s="94">
        <f>$C11*'Unit volumes'!D$22*$D11</f>
        <v>10397.873746457779</v>
      </c>
      <c r="G11" s="94">
        <f>$C11*'Unit volumes'!E$22*$D11</f>
        <v>10551.301840409511</v>
      </c>
      <c r="H11" s="94">
        <f>$C11*'Unit volumes'!F$22*$D11</f>
        <v>10723.12444647628</v>
      </c>
      <c r="I11" s="94">
        <f>$C11*'Unit volumes'!G$22*$D11</f>
        <v>10942.978208561015</v>
      </c>
      <c r="J11" s="94">
        <f>$C11*'Unit volumes'!H$22*$D11</f>
        <v>11102.697368693309</v>
      </c>
      <c r="K11" s="102">
        <f>$C11*'Unit volumes'!I$22*$D11</f>
        <v>11260.717896909191</v>
      </c>
    </row>
    <row r="12" spans="2:11" ht="17.25" customHeight="1" x14ac:dyDescent="0.2">
      <c r="B12" s="93" t="s">
        <v>5</v>
      </c>
      <c r="C12" s="111">
        <v>12</v>
      </c>
      <c r="D12" s="112">
        <v>0.15</v>
      </c>
      <c r="E12" s="94">
        <f>$C12*'Unit volumes'!C$22*$D12</f>
        <v>479.90186522112828</v>
      </c>
      <c r="F12" s="94">
        <f>$C12*'Unit volumes'!D$22*$D12</f>
        <v>479.90186522112828</v>
      </c>
      <c r="G12" s="94">
        <f>$C12*'Unit volumes'!E$22*$D12</f>
        <v>486.98316186505434</v>
      </c>
      <c r="H12" s="94">
        <f>$C12*'Unit volumes'!F$22*$D12</f>
        <v>494.91343599121291</v>
      </c>
      <c r="I12" s="94">
        <f>$C12*'Unit volumes'!G$22*$D12</f>
        <v>505.06053270281603</v>
      </c>
      <c r="J12" s="94">
        <f>$C12*'Unit volumes'!H$22*$D12</f>
        <v>512.43218624738347</v>
      </c>
      <c r="K12" s="102">
        <f>$C12*'Unit volumes'!I$22*$D12</f>
        <v>519.72544139580884</v>
      </c>
    </row>
    <row r="13" spans="2:11" ht="17.25" customHeight="1" x14ac:dyDescent="0.2">
      <c r="B13" s="93" t="s">
        <v>7</v>
      </c>
      <c r="C13" s="111">
        <v>120</v>
      </c>
      <c r="D13" s="112">
        <v>0</v>
      </c>
      <c r="E13" s="94">
        <f>$C13*'Unit volumes'!C$22*$D13</f>
        <v>0</v>
      </c>
      <c r="F13" s="94">
        <f>$C13*'Unit volumes'!D$22*$D13</f>
        <v>0</v>
      </c>
      <c r="G13" s="94">
        <f>$C13*'Unit volumes'!E$22*$D13</f>
        <v>0</v>
      </c>
      <c r="H13" s="94">
        <f>$C13*'Unit volumes'!F$22*$D13</f>
        <v>0</v>
      </c>
      <c r="I13" s="94">
        <f>$C13*'Unit volumes'!G$22*$D13</f>
        <v>0</v>
      </c>
      <c r="J13" s="94">
        <f>$C13*'Unit volumes'!H$22*$D13</f>
        <v>0</v>
      </c>
      <c r="K13" s="102">
        <f>$C13*'Unit volumes'!I$22*$D13</f>
        <v>0</v>
      </c>
    </row>
    <row r="14" spans="2:11" ht="17.25" customHeight="1" x14ac:dyDescent="0.2">
      <c r="B14" s="93" t="s">
        <v>9</v>
      </c>
      <c r="C14" s="111">
        <v>240</v>
      </c>
      <c r="D14" s="112">
        <v>0</v>
      </c>
      <c r="E14" s="94">
        <f>$C14*'Unit volumes'!C$22*$D14</f>
        <v>0</v>
      </c>
      <c r="F14" s="94">
        <f>$C14*'Unit volumes'!D$22*$D14</f>
        <v>0</v>
      </c>
      <c r="G14" s="94">
        <f>$C14*'Unit volumes'!E$22*$D14</f>
        <v>0</v>
      </c>
      <c r="H14" s="94">
        <f>$C14*'Unit volumes'!F$22*$D14</f>
        <v>0</v>
      </c>
      <c r="I14" s="94">
        <f>$C14*'Unit volumes'!G$22*$D14</f>
        <v>0</v>
      </c>
      <c r="J14" s="94">
        <f>$C14*'Unit volumes'!H$22*$D14</f>
        <v>0</v>
      </c>
      <c r="K14" s="102">
        <f>$C14*'Unit volumes'!I$22*$D14</f>
        <v>0</v>
      </c>
    </row>
    <row r="15" spans="2:11" ht="17.25" customHeight="1" x14ac:dyDescent="0.2">
      <c r="B15" s="93" t="s">
        <v>8</v>
      </c>
      <c r="C15" s="111">
        <v>20</v>
      </c>
      <c r="D15" s="112">
        <v>1</v>
      </c>
      <c r="E15" s="94">
        <f>$C15*'Unit volumes'!C$22*$D15</f>
        <v>5332.2429469014251</v>
      </c>
      <c r="F15" s="94">
        <f>$C15*'Unit volumes'!D$22*$D15</f>
        <v>5332.2429469014251</v>
      </c>
      <c r="G15" s="94">
        <f>$C15*'Unit volumes'!E$22*$D15</f>
        <v>5410.9240207228268</v>
      </c>
      <c r="H15" s="94">
        <f>$C15*'Unit volumes'!F$22*$D15</f>
        <v>5499.0381776801441</v>
      </c>
      <c r="I15" s="94">
        <f>$C15*'Unit volumes'!G$22*$D15</f>
        <v>5611.7836966979567</v>
      </c>
      <c r="J15" s="94">
        <f>$C15*'Unit volumes'!H$22*$D15</f>
        <v>5693.6909583042607</v>
      </c>
      <c r="K15" s="102">
        <f>$C15*'Unit volumes'!I$22*$D15</f>
        <v>5774.7271266200987</v>
      </c>
    </row>
    <row r="16" spans="2:11" ht="17.25" customHeight="1" x14ac:dyDescent="0.2">
      <c r="B16" s="91" t="s">
        <v>6</v>
      </c>
      <c r="C16" s="113">
        <v>350.00000000000006</v>
      </c>
      <c r="D16" s="114">
        <v>0.05</v>
      </c>
      <c r="E16" s="105">
        <f>$C16*'Unit volumes'!C$22*$D16</f>
        <v>4665.7125785387479</v>
      </c>
      <c r="F16" s="105">
        <f>$C16*'Unit volumes'!D$22*$D16</f>
        <v>4665.7125785387479</v>
      </c>
      <c r="G16" s="105">
        <f>$C16*'Unit volumes'!E$22*$D16</f>
        <v>4734.5585181324741</v>
      </c>
      <c r="H16" s="105">
        <f>$C16*'Unit volumes'!F$22*$D16</f>
        <v>4811.658405470127</v>
      </c>
      <c r="I16" s="105">
        <f>$C16*'Unit volumes'!G$22*$D16</f>
        <v>4910.3107346107126</v>
      </c>
      <c r="J16" s="105">
        <f>$C16*'Unit volumes'!H$22*$D16</f>
        <v>4981.9795885162293</v>
      </c>
      <c r="K16" s="106">
        <f>$C16*'Unit volumes'!I$22*$D16</f>
        <v>5052.8862357925873</v>
      </c>
    </row>
    <row r="17" spans="2:12" ht="17.25" customHeight="1" x14ac:dyDescent="0.2">
      <c r="B17" s="90" t="s">
        <v>16</v>
      </c>
      <c r="C17" s="98"/>
      <c r="D17" s="99"/>
      <c r="E17" s="100">
        <f>SUM(E5,E14,E15,E6,E7)</f>
        <v>237356.7964168966</v>
      </c>
      <c r="F17" s="100">
        <f>SUM(F5,F14,F15,F6,F7)</f>
        <v>5332.2429469014251</v>
      </c>
      <c r="G17" s="100">
        <f>SUM(G5,G14,G15,G6,G7)</f>
        <v>240859.16639644554</v>
      </c>
      <c r="H17" s="100">
        <f t="shared" ref="H17:K17" si="0">SUM(H5,H14,H15,H6,H7)</f>
        <v>9333.193546442375</v>
      </c>
      <c r="I17" s="100">
        <f t="shared" si="0"/>
        <v>245965.97821420227</v>
      </c>
      <c r="J17" s="100">
        <f t="shared" si="0"/>
        <v>13091.917954972421</v>
      </c>
      <c r="K17" s="101">
        <f t="shared" si="0"/>
        <v>249655.08895413557</v>
      </c>
    </row>
    <row r="18" spans="2:12" ht="17.25" customHeight="1" x14ac:dyDescent="0.2">
      <c r="B18" s="91" t="s">
        <v>15</v>
      </c>
      <c r="C18" s="103"/>
      <c r="D18" s="104"/>
      <c r="E18" s="105">
        <f>SUM(E8:E13,E16)</f>
        <v>230699.49109769013</v>
      </c>
      <c r="F18" s="105">
        <f>SUM(F8:F13,F16)</f>
        <v>215502.59869902107</v>
      </c>
      <c r="G18" s="105">
        <f>SUM(G8:G13,G16)</f>
        <v>234103.62775657309</v>
      </c>
      <c r="H18" s="105">
        <f t="shared" ref="H18:K18" si="1">SUM(H8:H13,H16)</f>
        <v>222494.75329827139</v>
      </c>
      <c r="I18" s="105">
        <f t="shared" si="1"/>
        <v>242542.6962903087</v>
      </c>
      <c r="J18" s="105">
        <f t="shared" si="1"/>
        <v>230595.081122773</v>
      </c>
      <c r="K18" s="106">
        <f t="shared" si="1"/>
        <v>249359.00809031224</v>
      </c>
    </row>
    <row r="19" spans="2:12" ht="17.25" customHeight="1" x14ac:dyDescent="0.2">
      <c r="C19" s="62"/>
      <c r="D19" s="63"/>
      <c r="E19" s="63"/>
      <c r="F19" s="63"/>
      <c r="G19" s="63"/>
      <c r="H19" s="63"/>
      <c r="I19" s="63"/>
      <c r="J19" s="63"/>
      <c r="K19" s="63"/>
      <c r="L19" s="61"/>
    </row>
    <row r="20" spans="2:12" ht="17.25" customHeight="1" x14ac:dyDescent="0.2">
      <c r="B20" s="89" t="s">
        <v>53</v>
      </c>
      <c r="C20" s="107" t="s">
        <v>51</v>
      </c>
      <c r="D20" s="108" t="s">
        <v>18</v>
      </c>
      <c r="E20" s="96">
        <v>2014</v>
      </c>
      <c r="F20" s="96">
        <v>2015</v>
      </c>
      <c r="G20" s="96">
        <v>2016</v>
      </c>
      <c r="H20" s="96">
        <v>2017</v>
      </c>
      <c r="I20" s="96">
        <v>2018</v>
      </c>
      <c r="J20" s="96">
        <v>2019</v>
      </c>
      <c r="K20" s="97">
        <v>2020</v>
      </c>
    </row>
    <row r="21" spans="2:12" ht="17.25" customHeight="1" x14ac:dyDescent="0.2">
      <c r="B21" s="90" t="s">
        <v>14</v>
      </c>
      <c r="C21" s="109">
        <v>617</v>
      </c>
      <c r="D21" s="110">
        <v>0</v>
      </c>
      <c r="E21" s="100"/>
      <c r="F21" s="100"/>
      <c r="G21" s="100">
        <f>$C21*'Unit volumes'!E$32*$D21</f>
        <v>0</v>
      </c>
      <c r="H21" s="100">
        <f>$C21*'Unit volumes'!F$32*$D21</f>
        <v>0</v>
      </c>
      <c r="I21" s="100">
        <f>$C21*'Unit volumes'!G$32*$D21</f>
        <v>0</v>
      </c>
      <c r="J21" s="100">
        <f>$C21*'Unit volumes'!H$32*$D21</f>
        <v>0</v>
      </c>
      <c r="K21" s="101">
        <f>$C21*'Unit volumes'!I$32*$D21</f>
        <v>0</v>
      </c>
    </row>
    <row r="22" spans="2:12" ht="17.25" customHeight="1" x14ac:dyDescent="0.2">
      <c r="B22" s="93" t="s">
        <v>4</v>
      </c>
      <c r="C22" s="111">
        <v>65</v>
      </c>
      <c r="D22" s="112">
        <v>1</v>
      </c>
      <c r="E22" s="94"/>
      <c r="F22" s="94"/>
      <c r="G22" s="94">
        <f>$C22*'Unit volumes'!E$32*$D22</f>
        <v>17585.503067349186</v>
      </c>
      <c r="H22" s="94">
        <f>$C22*'Unit volumes'!F$32*$D22</f>
        <v>286.37101011128152</v>
      </c>
      <c r="I22" s="94">
        <f>$C22*'Unit volumes'!G$32*$D22</f>
        <v>17951.926004157078</v>
      </c>
      <c r="J22" s="94">
        <f>$C22*'Unit volumes'!H$32*$D22</f>
        <v>552.56961033177106</v>
      </c>
      <c r="K22" s="102">
        <f>$C22*'Unit volumes'!I$32*$D22</f>
        <v>18215.293551183549</v>
      </c>
    </row>
    <row r="23" spans="2:12" ht="17.25" customHeight="1" x14ac:dyDescent="0.2">
      <c r="B23" s="93" t="s">
        <v>1</v>
      </c>
      <c r="C23" s="111">
        <v>188</v>
      </c>
      <c r="D23" s="112">
        <v>1</v>
      </c>
      <c r="E23" s="94"/>
      <c r="F23" s="94"/>
      <c r="G23" s="94">
        <f>$C23*'Unit volumes'!E$32*$D23</f>
        <v>50862.685794794568</v>
      </c>
      <c r="H23" s="94">
        <f>$C23*'Unit volumes'!F$32*$D23</f>
        <v>828.27307539878348</v>
      </c>
      <c r="I23" s="94">
        <f>$C23*'Unit volumes'!G$32*$D23</f>
        <v>51922.493673562007</v>
      </c>
      <c r="J23" s="94">
        <f>$C23*'Unit volumes'!H$32*$D23</f>
        <v>1598.2013344980455</v>
      </c>
      <c r="K23" s="102">
        <f>$C23*'Unit volumes'!I$32*$D23</f>
        <v>52684.233655730881</v>
      </c>
    </row>
    <row r="24" spans="2:12" ht="17.25" customHeight="1" x14ac:dyDescent="0.2">
      <c r="B24" s="93" t="s">
        <v>2</v>
      </c>
      <c r="C24" s="111">
        <v>57</v>
      </c>
      <c r="D24" s="112">
        <v>1</v>
      </c>
      <c r="E24" s="94"/>
      <c r="F24" s="94"/>
      <c r="G24" s="94">
        <f>$C24*'Unit volumes'!E$32*$D24</f>
        <v>15421.133459060056</v>
      </c>
      <c r="H24" s="94">
        <f>$C24*'Unit volumes'!F$32*$D24</f>
        <v>251.12534732835456</v>
      </c>
      <c r="I24" s="94">
        <f>$C24*'Unit volumes'!G$32*$D24</f>
        <v>15742.458188260822</v>
      </c>
      <c r="J24" s="94">
        <f>$C24*'Unit volumes'!H$32*$D24</f>
        <v>484.56104290632231</v>
      </c>
      <c r="K24" s="102">
        <f>$C24*'Unit volumes'!I$32*$D24</f>
        <v>15973.411267960957</v>
      </c>
    </row>
    <row r="25" spans="2:12" ht="17.25" customHeight="1" x14ac:dyDescent="0.2">
      <c r="B25" s="90" t="s">
        <v>31</v>
      </c>
      <c r="C25" s="109">
        <v>832</v>
      </c>
      <c r="D25" s="110">
        <v>1</v>
      </c>
      <c r="E25" s="100"/>
      <c r="F25" s="100"/>
      <c r="G25" s="100">
        <f>$C25*'Unit volumes'!E$22*$D25</f>
        <v>225094.43926206959</v>
      </c>
      <c r="H25" s="100">
        <f>$C25*'Unit volumes'!F$22*$D25</f>
        <v>228759.98819149399</v>
      </c>
      <c r="I25" s="100">
        <f>$C25*'Unit volumes'!G$22*$D25</f>
        <v>233450.20178263498</v>
      </c>
      <c r="J25" s="100">
        <f>$C25*'Unit volumes'!H$22*$D25</f>
        <v>236857.54386545726</v>
      </c>
      <c r="K25" s="101">
        <f>$C25*'Unit volumes'!I$22*$D25</f>
        <v>240228.64846739609</v>
      </c>
    </row>
    <row r="26" spans="2:12" ht="17.25" customHeight="1" x14ac:dyDescent="0.2">
      <c r="B26" s="93" t="s">
        <v>0</v>
      </c>
      <c r="C26" s="111">
        <v>60</v>
      </c>
      <c r="D26" s="112">
        <v>0.5</v>
      </c>
      <c r="E26" s="94"/>
      <c r="F26" s="94"/>
      <c r="G26" s="94">
        <f>$C26*'Unit volumes'!E$22*$D26</f>
        <v>8116.3860310842401</v>
      </c>
      <c r="H26" s="94">
        <f>$C26*'Unit volumes'!F$22*$D26</f>
        <v>8248.5572665202162</v>
      </c>
      <c r="I26" s="94">
        <f>$C26*'Unit volumes'!G$22*$D26</f>
        <v>8417.6755450469354</v>
      </c>
      <c r="J26" s="94">
        <f>$C26*'Unit volumes'!H$22*$D26</f>
        <v>8540.5364374563906</v>
      </c>
      <c r="K26" s="102">
        <f>$C26*'Unit volumes'!I$22*$D26</f>
        <v>8662.0906899301481</v>
      </c>
    </row>
    <row r="27" spans="2:12" ht="17.25" customHeight="1" x14ac:dyDescent="0.2">
      <c r="B27" s="93" t="s">
        <v>32</v>
      </c>
      <c r="C27" s="111">
        <v>39</v>
      </c>
      <c r="D27" s="112">
        <v>0</v>
      </c>
      <c r="E27" s="94"/>
      <c r="F27" s="94"/>
      <c r="G27" s="94">
        <f>$C27*'Unit volumes'!E$22*$D27</f>
        <v>0</v>
      </c>
      <c r="H27" s="94">
        <f>$C27*'Unit volumes'!F$22*$D27</f>
        <v>0</v>
      </c>
      <c r="I27" s="94">
        <f>$C27*'Unit volumes'!G$22*$D27</f>
        <v>0</v>
      </c>
      <c r="J27" s="94">
        <f>$C27*'Unit volumes'!H$22*$D27</f>
        <v>0</v>
      </c>
      <c r="K27" s="102">
        <f>$C27*'Unit volumes'!I$22*$D27</f>
        <v>0</v>
      </c>
    </row>
    <row r="28" spans="2:12" ht="17.25" customHeight="1" x14ac:dyDescent="0.2">
      <c r="B28" s="93" t="s">
        <v>5</v>
      </c>
      <c r="C28" s="111">
        <v>12</v>
      </c>
      <c r="D28" s="112">
        <v>0.15</v>
      </c>
      <c r="E28" s="94"/>
      <c r="F28" s="94"/>
      <c r="G28" s="94">
        <f>$C28*'Unit volumes'!E$22*$D28</f>
        <v>486.98316186505434</v>
      </c>
      <c r="H28" s="94">
        <f>$C28*'Unit volumes'!F$22*$D28</f>
        <v>494.91343599121291</v>
      </c>
      <c r="I28" s="94">
        <f>$C28*'Unit volumes'!G$22*$D28</f>
        <v>505.06053270281603</v>
      </c>
      <c r="J28" s="94">
        <f>$C28*'Unit volumes'!H$22*$D28</f>
        <v>512.43218624738347</v>
      </c>
      <c r="K28" s="102">
        <f>$C28*'Unit volumes'!I$22*$D28</f>
        <v>519.72544139580884</v>
      </c>
    </row>
    <row r="29" spans="2:12" ht="17.25" customHeight="1" x14ac:dyDescent="0.2">
      <c r="B29" s="93" t="s">
        <v>7</v>
      </c>
      <c r="C29" s="111">
        <v>120</v>
      </c>
      <c r="D29" s="112">
        <v>0</v>
      </c>
      <c r="E29" s="94"/>
      <c r="F29" s="94"/>
      <c r="G29" s="94">
        <f>$C29*'Unit volumes'!E$22*$D29</f>
        <v>0</v>
      </c>
      <c r="H29" s="94">
        <f>$C29*'Unit volumes'!F$22*$D29</f>
        <v>0</v>
      </c>
      <c r="I29" s="94">
        <f>$C29*'Unit volumes'!G$22*$D29</f>
        <v>0</v>
      </c>
      <c r="J29" s="94">
        <f>$C29*'Unit volumes'!H$22*$D29</f>
        <v>0</v>
      </c>
      <c r="K29" s="102">
        <f>$C29*'Unit volumes'!I$22*$D29</f>
        <v>0</v>
      </c>
    </row>
    <row r="30" spans="2:12" ht="17.25" customHeight="1" x14ac:dyDescent="0.2">
      <c r="B30" s="93" t="s">
        <v>9</v>
      </c>
      <c r="C30" s="111">
        <v>240</v>
      </c>
      <c r="D30" s="112">
        <v>0</v>
      </c>
      <c r="E30" s="94"/>
      <c r="F30" s="94"/>
      <c r="G30" s="94">
        <f>$C30*'Unit volumes'!E$22*$D30</f>
        <v>0</v>
      </c>
      <c r="H30" s="94">
        <f>$C30*'Unit volumes'!F$22*$D30</f>
        <v>0</v>
      </c>
      <c r="I30" s="94">
        <f>$C30*'Unit volumes'!G$22*$D30</f>
        <v>0</v>
      </c>
      <c r="J30" s="94">
        <f>$C30*'Unit volumes'!H$22*$D30</f>
        <v>0</v>
      </c>
      <c r="K30" s="102">
        <f>$C30*'Unit volumes'!I$22*$D30</f>
        <v>0</v>
      </c>
    </row>
    <row r="31" spans="2:12" ht="17.25" customHeight="1" x14ac:dyDescent="0.2">
      <c r="B31" s="93" t="s">
        <v>8</v>
      </c>
      <c r="C31" s="111">
        <v>20</v>
      </c>
      <c r="D31" s="112">
        <v>1</v>
      </c>
      <c r="E31" s="94"/>
      <c r="F31" s="94"/>
      <c r="G31" s="94">
        <f>$C31*'Unit volumes'!E$22*$D31</f>
        <v>5410.9240207228268</v>
      </c>
      <c r="H31" s="94">
        <f>$C31*'Unit volumes'!F$22*$D31</f>
        <v>5499.0381776801441</v>
      </c>
      <c r="I31" s="94">
        <f>$C31*'Unit volumes'!G$22*$D31</f>
        <v>5611.7836966979567</v>
      </c>
      <c r="J31" s="94">
        <f>$C31*'Unit volumes'!H$22*$D31</f>
        <v>5693.6909583042607</v>
      </c>
      <c r="K31" s="102">
        <f>$C31*'Unit volumes'!I$22*$D31</f>
        <v>5774.7271266200987</v>
      </c>
    </row>
    <row r="32" spans="2:12" ht="17.25" customHeight="1" x14ac:dyDescent="0.2">
      <c r="B32" s="91" t="s">
        <v>6</v>
      </c>
      <c r="C32" s="113">
        <v>350.00000000000006</v>
      </c>
      <c r="D32" s="114">
        <v>0.05</v>
      </c>
      <c r="E32" s="105"/>
      <c r="F32" s="105"/>
      <c r="G32" s="105">
        <f>$C32*'Unit volumes'!E$22*$D32</f>
        <v>4734.5585181324741</v>
      </c>
      <c r="H32" s="105">
        <f>$C32*'Unit volumes'!F$22*$D32</f>
        <v>4811.658405470127</v>
      </c>
      <c r="I32" s="105">
        <f>$C32*'Unit volumes'!G$22*$D32</f>
        <v>4910.3107346107126</v>
      </c>
      <c r="J32" s="105">
        <f>$C32*'Unit volumes'!H$22*$D32</f>
        <v>4981.9795885162293</v>
      </c>
      <c r="K32" s="106">
        <f>$C32*'Unit volumes'!I$22*$D32</f>
        <v>5052.8862357925873</v>
      </c>
    </row>
    <row r="33" spans="2:11" ht="17.25" customHeight="1" x14ac:dyDescent="0.2">
      <c r="B33" s="92" t="s">
        <v>54</v>
      </c>
      <c r="C33" s="115"/>
      <c r="D33" s="116"/>
      <c r="E33" s="117"/>
      <c r="F33" s="117"/>
      <c r="G33" s="117">
        <f>SUM(G21:G32)</f>
        <v>327712.61331507796</v>
      </c>
      <c r="H33" s="117">
        <f>SUM(H21:H32)</f>
        <v>249179.92490999412</v>
      </c>
      <c r="I33" s="117">
        <f>SUM(I21:I32)</f>
        <v>338511.91015767329</v>
      </c>
      <c r="J33" s="117">
        <f>SUM(J21:J32)</f>
        <v>259221.51502371766</v>
      </c>
      <c r="K33" s="118">
        <f>SUM(K21:K32)</f>
        <v>347111.01643601008</v>
      </c>
    </row>
    <row r="35" spans="2:11" ht="17.25" customHeight="1" x14ac:dyDescent="0.2">
      <c r="B35" s="119" t="s">
        <v>65</v>
      </c>
      <c r="C35" s="120"/>
      <c r="D35" s="121"/>
      <c r="E35" s="121"/>
      <c r="F35" s="121"/>
      <c r="G35" s="121"/>
      <c r="H35" s="121"/>
      <c r="I35" s="121"/>
      <c r="J35" s="121"/>
      <c r="K35" s="121"/>
    </row>
    <row r="36" spans="2:11" ht="17.25" customHeight="1" x14ac:dyDescent="0.2">
      <c r="C36" s="62"/>
      <c r="D36" s="62"/>
      <c r="E36" s="62"/>
      <c r="F36" s="62"/>
      <c r="G36" s="62"/>
      <c r="H36" s="62"/>
      <c r="I36" s="62"/>
      <c r="J36" s="62"/>
      <c r="K36" s="62"/>
    </row>
    <row r="37" spans="2:11" ht="17.25" customHeight="1" x14ac:dyDescent="0.2">
      <c r="B37" s="89" t="s">
        <v>52</v>
      </c>
      <c r="C37" s="107" t="s">
        <v>51</v>
      </c>
      <c r="D37" s="108" t="s">
        <v>18</v>
      </c>
      <c r="E37" s="96">
        <v>2014</v>
      </c>
      <c r="F37" s="96">
        <v>2015</v>
      </c>
      <c r="G37" s="96">
        <v>2016</v>
      </c>
      <c r="H37" s="96">
        <v>2017</v>
      </c>
      <c r="I37" s="96">
        <v>2018</v>
      </c>
      <c r="J37" s="96">
        <v>2019</v>
      </c>
      <c r="K37" s="97">
        <v>2020</v>
      </c>
    </row>
    <row r="38" spans="2:11" ht="17.25" customHeight="1" x14ac:dyDescent="0.2">
      <c r="B38" s="90" t="s">
        <v>14</v>
      </c>
      <c r="C38" s="109">
        <v>617.27</v>
      </c>
      <c r="D38" s="110">
        <v>1</v>
      </c>
      <c r="E38" s="100">
        <f>$C38*'Unit volumes'!C$34*$D38</f>
        <v>130302.04796353976</v>
      </c>
      <c r="F38" s="100">
        <f>$C38*'Unit volumes'!D$34*$D38</f>
        <v>0</v>
      </c>
      <c r="G38" s="100">
        <f>$C38*'Unit volumes'!E$34*$D38</f>
        <v>1922.7002889762568</v>
      </c>
      <c r="H38" s="100">
        <f>$C38*'Unit volumes'!F$34*$D38</f>
        <v>132455.26101486763</v>
      </c>
      <c r="I38" s="100">
        <f>$C38*'Unit volumes'!G$34*$D38</f>
        <v>2755.1205323962458</v>
      </c>
      <c r="J38" s="100">
        <f>$C38*'Unit volumes'!H$34*$D38</f>
        <v>3924.2377351627406</v>
      </c>
      <c r="K38" s="101">
        <f>$C38*'Unit volumes'!I$34*$D38</f>
        <v>134435.51187661948</v>
      </c>
    </row>
    <row r="39" spans="2:11" ht="17.25" customHeight="1" x14ac:dyDescent="0.2">
      <c r="B39" s="93" t="s">
        <v>4</v>
      </c>
      <c r="C39" s="111">
        <v>65</v>
      </c>
      <c r="D39" s="112">
        <v>1</v>
      </c>
      <c r="E39" s="94">
        <f>$C39*'Unit volumes'!C$34*$D39</f>
        <v>13721.115747776637</v>
      </c>
      <c r="F39" s="94">
        <f>$C39*'Unit volumes'!D$34*$D39</f>
        <v>0</v>
      </c>
      <c r="G39" s="94">
        <f>$C39*'Unit volumes'!E$34*$D39</f>
        <v>202.46491613630454</v>
      </c>
      <c r="H39" s="94">
        <f>$C39*'Unit volumes'!F$34*$D39</f>
        <v>13947.854206370628</v>
      </c>
      <c r="I39" s="94">
        <f>$C39*'Unit volumes'!G$34*$D39</f>
        <v>290.12074879024738</v>
      </c>
      <c r="J39" s="94">
        <f>$C39*'Unit volumes'!H$34*$D39</f>
        <v>413.23157254617615</v>
      </c>
      <c r="K39" s="102">
        <f>$C39*'Unit volumes'!I$34*$D39</f>
        <v>14156.379334780997</v>
      </c>
    </row>
    <row r="40" spans="2:11" ht="17.25" customHeight="1" x14ac:dyDescent="0.2">
      <c r="B40" s="93" t="s">
        <v>1</v>
      </c>
      <c r="C40" s="111">
        <v>188</v>
      </c>
      <c r="D40" s="112">
        <v>1</v>
      </c>
      <c r="E40" s="94">
        <f>$C40*'Unit volumes'!C$34*$D40</f>
        <v>39685.688624338582</v>
      </c>
      <c r="F40" s="94">
        <f>$C40*'Unit volumes'!D$34*$D40</f>
        <v>0</v>
      </c>
      <c r="G40" s="94">
        <f>$C40*'Unit volumes'!E$34*$D40</f>
        <v>585.59083436346543</v>
      </c>
      <c r="H40" s="94">
        <f>$C40*'Unit volumes'!F$34*$D40</f>
        <v>40341.486012271969</v>
      </c>
      <c r="I40" s="94">
        <f>$C40*'Unit volumes'!G$34*$D40</f>
        <v>839.1184734241001</v>
      </c>
      <c r="J40" s="94">
        <f>$C40*'Unit volumes'!H$34*$D40</f>
        <v>1195.1928559797093</v>
      </c>
      <c r="K40" s="102">
        <f>$C40*'Unit volumes'!I$34*$D40</f>
        <v>40944.604845212729</v>
      </c>
    </row>
    <row r="41" spans="2:11" ht="17.25" customHeight="1" x14ac:dyDescent="0.2">
      <c r="B41" s="91" t="s">
        <v>2</v>
      </c>
      <c r="C41" s="113">
        <v>57</v>
      </c>
      <c r="D41" s="114">
        <v>1</v>
      </c>
      <c r="E41" s="105">
        <f>$C41*'Unit volumes'!C$34*$D41</f>
        <v>12032.363040357974</v>
      </c>
      <c r="F41" s="105">
        <f>$C41*'Unit volumes'!D$34*$D41</f>
        <v>0</v>
      </c>
      <c r="G41" s="105">
        <f>$C41*'Unit volumes'!E$34*$D41</f>
        <v>177.5461572272209</v>
      </c>
      <c r="H41" s="105">
        <f>$C41*'Unit volumes'!F$34*$D41</f>
        <v>12231.195227125012</v>
      </c>
      <c r="I41" s="105">
        <f>$C41*'Unit volumes'!G$34*$D41</f>
        <v>254.41357970837078</v>
      </c>
      <c r="J41" s="105">
        <f>$C41*'Unit volumes'!H$34*$D41</f>
        <v>362.37230207895448</v>
      </c>
      <c r="K41" s="106">
        <f>$C41*'Unit volumes'!I$34*$D41</f>
        <v>12414.055724346412</v>
      </c>
    </row>
    <row r="42" spans="2:11" ht="17.25" customHeight="1" x14ac:dyDescent="0.2">
      <c r="B42" s="93" t="s">
        <v>31</v>
      </c>
      <c r="C42" s="111">
        <v>720</v>
      </c>
      <c r="D42" s="112">
        <v>1</v>
      </c>
      <c r="E42" s="94">
        <f>$C42*'Unit volumes'!C$23*$D42</f>
        <v>151987.74366767966</v>
      </c>
      <c r="F42" s="94">
        <f>$C42*'Unit volumes'!D$23*$D42</f>
        <v>151987.74366767966</v>
      </c>
      <c r="G42" s="94">
        <f>$C42*'Unit volumes'!E$23*$D42</f>
        <v>154230.43196949721</v>
      </c>
      <c r="H42" s="94">
        <f>$C42*'Unit volumes'!F$23*$D42</f>
        <v>156741.99643392293</v>
      </c>
      <c r="I42" s="94">
        <f>$C42*'Unit volumes'!G$23*$D42</f>
        <v>159955.64165129184</v>
      </c>
      <c r="J42" s="94">
        <f>$C42*'Unit volumes'!H$23*$D42</f>
        <v>162290.28769152425</v>
      </c>
      <c r="K42" s="102">
        <f>$C42*'Unit volumes'!I$23*$D42</f>
        <v>164600.10449853144</v>
      </c>
    </row>
    <row r="43" spans="2:11" ht="17.25" customHeight="1" x14ac:dyDescent="0.2">
      <c r="B43" s="93" t="s">
        <v>0</v>
      </c>
      <c r="C43" s="111">
        <v>60</v>
      </c>
      <c r="D43" s="112">
        <v>0.5</v>
      </c>
      <c r="E43" s="94">
        <f>$C43*'Unit volumes'!C$23*$D43</f>
        <v>6332.8226528199866</v>
      </c>
      <c r="F43" s="94">
        <f>$C43*'Unit volumes'!D$23*$D43</f>
        <v>6332.8226528199866</v>
      </c>
      <c r="G43" s="94">
        <f>$C43*'Unit volumes'!E$23*$D43</f>
        <v>6426.2679987290503</v>
      </c>
      <c r="H43" s="94">
        <f>$C43*'Unit volumes'!F$23*$D43</f>
        <v>6530.9165180801228</v>
      </c>
      <c r="I43" s="94">
        <f>$C43*'Unit volumes'!G$23*$D43</f>
        <v>6664.8184021371599</v>
      </c>
      <c r="J43" s="94">
        <f>$C43*'Unit volumes'!H$23*$D43</f>
        <v>6762.0953204801772</v>
      </c>
      <c r="K43" s="102">
        <f>$C43*'Unit volumes'!I$23*$D43</f>
        <v>6858.3376874388096</v>
      </c>
    </row>
    <row r="44" spans="2:11" ht="17.25" customHeight="1" x14ac:dyDescent="0.2">
      <c r="B44" s="93" t="s">
        <v>32</v>
      </c>
      <c r="C44" s="111">
        <v>39</v>
      </c>
      <c r="D44" s="112">
        <v>1</v>
      </c>
      <c r="E44" s="94">
        <f>$C44*'Unit volumes'!C$23*$D44</f>
        <v>8232.6694486659817</v>
      </c>
      <c r="F44" s="94">
        <f>$C44*'Unit volumes'!D$23*$D44</f>
        <v>8232.6694486659817</v>
      </c>
      <c r="G44" s="94">
        <f>$C44*'Unit volumes'!E$23*$D44</f>
        <v>8354.1483983477647</v>
      </c>
      <c r="H44" s="94">
        <f>$C44*'Unit volumes'!F$23*$D44</f>
        <v>8490.1914735041591</v>
      </c>
      <c r="I44" s="94">
        <f>$C44*'Unit volumes'!G$23*$D44</f>
        <v>8664.2639227783075</v>
      </c>
      <c r="J44" s="94">
        <f>$C44*'Unit volumes'!H$23*$D44</f>
        <v>8790.7239166242307</v>
      </c>
      <c r="K44" s="102">
        <f>$C44*'Unit volumes'!I$23*$D44</f>
        <v>8915.8389936704516</v>
      </c>
    </row>
    <row r="45" spans="2:11" ht="17.25" customHeight="1" x14ac:dyDescent="0.2">
      <c r="B45" s="93" t="s">
        <v>5</v>
      </c>
      <c r="C45" s="111">
        <v>12</v>
      </c>
      <c r="D45" s="112">
        <v>0.15</v>
      </c>
      <c r="E45" s="94">
        <f>$C45*'Unit volumes'!C$23*$D45</f>
        <v>379.96935916919921</v>
      </c>
      <c r="F45" s="94">
        <f>$C45*'Unit volumes'!D$23*$D45</f>
        <v>379.96935916919921</v>
      </c>
      <c r="G45" s="94">
        <f>$C45*'Unit volumes'!E$23*$D45</f>
        <v>385.57607992374295</v>
      </c>
      <c r="H45" s="94">
        <f>$C45*'Unit volumes'!F$23*$D45</f>
        <v>391.8549910848073</v>
      </c>
      <c r="I45" s="94">
        <f>$C45*'Unit volumes'!G$23*$D45</f>
        <v>399.88910412822958</v>
      </c>
      <c r="J45" s="94">
        <f>$C45*'Unit volumes'!H$23*$D45</f>
        <v>405.72571922881065</v>
      </c>
      <c r="K45" s="102">
        <f>$C45*'Unit volumes'!I$23*$D45</f>
        <v>411.50026124632853</v>
      </c>
    </row>
    <row r="46" spans="2:11" ht="17.25" customHeight="1" x14ac:dyDescent="0.2">
      <c r="B46" s="93" t="s">
        <v>7</v>
      </c>
      <c r="C46" s="111">
        <v>120</v>
      </c>
      <c r="D46" s="112">
        <v>0</v>
      </c>
      <c r="E46" s="94">
        <f>$C46*'Unit volumes'!C$23*$D46</f>
        <v>0</v>
      </c>
      <c r="F46" s="94">
        <f>$C46*'Unit volumes'!D$23*$D46</f>
        <v>0</v>
      </c>
      <c r="G46" s="94">
        <f>$C46*'Unit volumes'!E$23*$D46</f>
        <v>0</v>
      </c>
      <c r="H46" s="94">
        <f>$C46*'Unit volumes'!F$23*$D46</f>
        <v>0</v>
      </c>
      <c r="I46" s="94">
        <f>$C46*'Unit volumes'!G$23*$D46</f>
        <v>0</v>
      </c>
      <c r="J46" s="94">
        <f>$C46*'Unit volumes'!H$23*$D46</f>
        <v>0</v>
      </c>
      <c r="K46" s="102">
        <f>$C46*'Unit volumes'!I$23*$D46</f>
        <v>0</v>
      </c>
    </row>
    <row r="47" spans="2:11" ht="17.25" customHeight="1" x14ac:dyDescent="0.2">
      <c r="B47" s="93" t="s">
        <v>9</v>
      </c>
      <c r="C47" s="111">
        <v>240</v>
      </c>
      <c r="D47" s="112">
        <v>1</v>
      </c>
      <c r="E47" s="94">
        <f>$C47*'Unit volumes'!C$24*$D47</f>
        <v>3596.282828901411</v>
      </c>
      <c r="F47" s="94">
        <f>$C47*'Unit volumes'!D$24*$D47</f>
        <v>3596.282828901411</v>
      </c>
      <c r="G47" s="94">
        <f>$C47*'Unit volumes'!E$24*$D47</f>
        <v>3649.3485645704613</v>
      </c>
      <c r="H47" s="94">
        <f>$C47*'Unit volumes'!F$24*$D47</f>
        <v>3708.7763574906739</v>
      </c>
      <c r="I47" s="94">
        <f>$C47*'Unit volumes'!G$24*$D47</f>
        <v>3784.8165488542268</v>
      </c>
      <c r="J47" s="94">
        <f>$C47*'Unit volumes'!H$24*$D47</f>
        <v>3840.0581575750484</v>
      </c>
      <c r="K47" s="102">
        <f>$C47*'Unit volumes'!I$24*$D47</f>
        <v>3894.7122653372535</v>
      </c>
    </row>
    <row r="48" spans="2:11" ht="17.25" customHeight="1" x14ac:dyDescent="0.2">
      <c r="B48" s="93" t="s">
        <v>8</v>
      </c>
      <c r="C48" s="111">
        <v>20</v>
      </c>
      <c r="D48" s="112">
        <v>1</v>
      </c>
      <c r="E48" s="94">
        <f>$C48*'Unit volumes'!C$23*$D48</f>
        <v>4221.8817685466574</v>
      </c>
      <c r="F48" s="94">
        <f>$C48*'Unit volumes'!D$23*$D48</f>
        <v>4221.8817685466574</v>
      </c>
      <c r="G48" s="94">
        <f>$C48*'Unit volumes'!E$23*$D48</f>
        <v>4284.1786658193669</v>
      </c>
      <c r="H48" s="94">
        <f>$C48*'Unit volumes'!F$23*$D48</f>
        <v>4353.944345386748</v>
      </c>
      <c r="I48" s="94">
        <f>$C48*'Unit volumes'!G$23*$D48</f>
        <v>4443.2122680914399</v>
      </c>
      <c r="J48" s="94">
        <f>$C48*'Unit volumes'!H$23*$D48</f>
        <v>4508.0635469867848</v>
      </c>
      <c r="K48" s="102">
        <f>$C48*'Unit volumes'!I$23*$D48</f>
        <v>4572.2251249592064</v>
      </c>
    </row>
    <row r="49" spans="2:11" ht="17.25" customHeight="1" x14ac:dyDescent="0.2">
      <c r="B49" s="91" t="s">
        <v>6</v>
      </c>
      <c r="C49" s="113">
        <v>350.00000000000006</v>
      </c>
      <c r="D49" s="114">
        <v>0.05</v>
      </c>
      <c r="E49" s="105">
        <f>$C49*'Unit volumes'!C$23*$D49</f>
        <v>3694.1465474783263</v>
      </c>
      <c r="F49" s="105">
        <f>$C49*'Unit volumes'!D$23*$D49</f>
        <v>3694.1465474783263</v>
      </c>
      <c r="G49" s="105">
        <f>$C49*'Unit volumes'!E$23*$D49</f>
        <v>3748.6563325919469</v>
      </c>
      <c r="H49" s="105">
        <f>$C49*'Unit volumes'!F$23*$D49</f>
        <v>3809.7013022134051</v>
      </c>
      <c r="I49" s="105">
        <f>$C49*'Unit volumes'!G$23*$D49</f>
        <v>3887.8107345800108</v>
      </c>
      <c r="J49" s="105">
        <f>$C49*'Unit volumes'!H$23*$D49</f>
        <v>3944.5556036134376</v>
      </c>
      <c r="K49" s="106">
        <f>$C49*'Unit volumes'!I$23*$D49</f>
        <v>4000.6969843393063</v>
      </c>
    </row>
    <row r="50" spans="2:11" ht="17.25" customHeight="1" x14ac:dyDescent="0.2">
      <c r="B50" s="90" t="s">
        <v>16</v>
      </c>
      <c r="C50" s="98"/>
      <c r="D50" s="99"/>
      <c r="E50" s="100">
        <f>SUM(E38,E47,E48,E39,E40)</f>
        <v>191527.01693310303</v>
      </c>
      <c r="F50" s="100">
        <f t="shared" ref="F50" si="2">SUM(F38,F47,F48,F39,F40)</f>
        <v>7818.1645974480689</v>
      </c>
      <c r="G50" s="100">
        <f>SUM(G38,G47,G48,G39,G40)</f>
        <v>10644.283269865857</v>
      </c>
      <c r="H50" s="100">
        <f t="shared" ref="H50:K50" si="3">SUM(H38,H47,H48,H39,H40)</f>
        <v>194807.32193638769</v>
      </c>
      <c r="I50" s="100">
        <f t="shared" si="3"/>
        <v>12112.388571556259</v>
      </c>
      <c r="J50" s="100">
        <f t="shared" si="3"/>
        <v>13880.783868250459</v>
      </c>
      <c r="K50" s="101">
        <f t="shared" si="3"/>
        <v>198003.43344690965</v>
      </c>
    </row>
    <row r="51" spans="2:11" ht="17.25" customHeight="1" x14ac:dyDescent="0.2">
      <c r="B51" s="91" t="s">
        <v>15</v>
      </c>
      <c r="C51" s="103"/>
      <c r="D51" s="104"/>
      <c r="E51" s="105">
        <f>SUM(E41:E46,E49)</f>
        <v>182659.71471617112</v>
      </c>
      <c r="F51" s="105">
        <f t="shared" ref="F51" si="4">SUM(F41:F46,F49)</f>
        <v>170627.35167581314</v>
      </c>
      <c r="G51" s="105">
        <f>SUM(G41:G46,G49)</f>
        <v>173322.62693631693</v>
      </c>
      <c r="H51" s="105">
        <f t="shared" ref="H51:K51" si="5">SUM(H41:H46,H49)</f>
        <v>188195.85594593047</v>
      </c>
      <c r="I51" s="105">
        <f t="shared" si="5"/>
        <v>179826.83739462393</v>
      </c>
      <c r="J51" s="105">
        <f t="shared" si="5"/>
        <v>182555.76055354989</v>
      </c>
      <c r="K51" s="106">
        <f t="shared" si="5"/>
        <v>197200.53414957272</v>
      </c>
    </row>
    <row r="52" spans="2:11" ht="17.25" customHeight="1" x14ac:dyDescent="0.2">
      <c r="C52" s="62"/>
      <c r="D52" s="63"/>
      <c r="E52" s="63"/>
      <c r="F52" s="63"/>
      <c r="G52" s="63"/>
      <c r="H52" s="63"/>
      <c r="I52" s="63"/>
      <c r="J52" s="63"/>
      <c r="K52" s="63"/>
    </row>
    <row r="53" spans="2:11" ht="17.25" customHeight="1" x14ac:dyDescent="0.2">
      <c r="B53" s="89" t="s">
        <v>53</v>
      </c>
      <c r="C53" s="107" t="s">
        <v>51</v>
      </c>
      <c r="D53" s="108" t="s">
        <v>18</v>
      </c>
      <c r="E53" s="96">
        <v>2014</v>
      </c>
      <c r="F53" s="96">
        <v>2015</v>
      </c>
      <c r="G53" s="96">
        <v>2016</v>
      </c>
      <c r="H53" s="96">
        <v>2017</v>
      </c>
      <c r="I53" s="96">
        <v>2018</v>
      </c>
      <c r="J53" s="96">
        <v>2019</v>
      </c>
      <c r="K53" s="97">
        <v>2020</v>
      </c>
    </row>
    <row r="54" spans="2:11" ht="17.25" customHeight="1" x14ac:dyDescent="0.2">
      <c r="B54" s="90" t="s">
        <v>14</v>
      </c>
      <c r="C54" s="109">
        <v>617</v>
      </c>
      <c r="D54" s="110">
        <v>0</v>
      </c>
      <c r="E54" s="100"/>
      <c r="F54" s="100"/>
      <c r="G54" s="100">
        <f>$C54*'Unit volumes'!E$33*$D54</f>
        <v>0</v>
      </c>
      <c r="H54" s="100">
        <f>$C54*'Unit volumes'!F$33*$D54</f>
        <v>0</v>
      </c>
      <c r="I54" s="100">
        <f>$C54*'Unit volumes'!G$33*$D54</f>
        <v>0</v>
      </c>
      <c r="J54" s="100">
        <f>$C54*'Unit volumes'!H$33*$D54</f>
        <v>0</v>
      </c>
      <c r="K54" s="101">
        <f>$C54*'Unit volumes'!I$33*$D54</f>
        <v>0</v>
      </c>
    </row>
    <row r="55" spans="2:11" ht="17.25" customHeight="1" x14ac:dyDescent="0.2">
      <c r="B55" s="93" t="s">
        <v>4</v>
      </c>
      <c r="C55" s="111">
        <v>65</v>
      </c>
      <c r="D55" s="112">
        <v>1</v>
      </c>
      <c r="E55" s="94"/>
      <c r="F55" s="94"/>
      <c r="G55" s="94">
        <f>$C55*'Unit volumes'!E$33*$D55</f>
        <v>13923.580663912942</v>
      </c>
      <c r="H55" s="94">
        <f>$C55*'Unit volumes'!F$33*$D55</f>
        <v>226.73845859399037</v>
      </c>
      <c r="I55" s="94">
        <f>$C55*'Unit volumes'!G$33*$D55</f>
        <v>14213.701412703189</v>
      </c>
      <c r="J55" s="94">
        <f>$C55*'Unit volumes'!H$33*$D55</f>
        <v>437.50511500386199</v>
      </c>
      <c r="K55" s="102">
        <f>$C55*'Unit volumes'!I$33*$D55</f>
        <v>14422.226541113558</v>
      </c>
    </row>
    <row r="56" spans="2:11" ht="17.25" customHeight="1" x14ac:dyDescent="0.2">
      <c r="B56" s="93" t="s">
        <v>1</v>
      </c>
      <c r="C56" s="111">
        <v>188</v>
      </c>
      <c r="D56" s="112">
        <v>1</v>
      </c>
      <c r="E56" s="94"/>
      <c r="F56" s="94"/>
      <c r="G56" s="94">
        <f>$C56*'Unit volumes'!E$33*$D56</f>
        <v>40271.279458702047</v>
      </c>
      <c r="H56" s="94">
        <f>$C56*'Unit volumes'!F$33*$D56</f>
        <v>655.79738793338754</v>
      </c>
      <c r="I56" s="94">
        <f>$C56*'Unit volumes'!G$33*$D56</f>
        <v>41110.397932126143</v>
      </c>
      <c r="J56" s="94">
        <f>$C56*'Unit volumes'!H$33*$D56</f>
        <v>1265.3994095496314</v>
      </c>
      <c r="K56" s="102">
        <f>$C56*'Unit volumes'!I$33*$D56</f>
        <v>41713.51676506691</v>
      </c>
    </row>
    <row r="57" spans="2:11" ht="17.25" customHeight="1" x14ac:dyDescent="0.2">
      <c r="B57" s="93" t="s">
        <v>2</v>
      </c>
      <c r="C57" s="111">
        <v>57</v>
      </c>
      <c r="D57" s="112">
        <v>1</v>
      </c>
      <c r="E57" s="94"/>
      <c r="F57" s="94"/>
      <c r="G57" s="94">
        <f>$C57*'Unit volumes'!E$33*$D57</f>
        <v>12209.909197585195</v>
      </c>
      <c r="H57" s="94">
        <f>$C57*'Unit volumes'!F$33*$D57</f>
        <v>198.83218676703771</v>
      </c>
      <c r="I57" s="94">
        <f>$C57*'Unit volumes'!G$33*$D57</f>
        <v>12464.322777293566</v>
      </c>
      <c r="J57" s="94">
        <f>$C57*'Unit volumes'!H$33*$D57</f>
        <v>383.65833161877129</v>
      </c>
      <c r="K57" s="102">
        <f>$C57*'Unit volumes'!I$33*$D57</f>
        <v>12647.183274514966</v>
      </c>
    </row>
    <row r="58" spans="2:11" ht="17.25" customHeight="1" x14ac:dyDescent="0.2">
      <c r="B58" s="90" t="s">
        <v>31</v>
      </c>
      <c r="C58" s="109">
        <v>832</v>
      </c>
      <c r="D58" s="110">
        <v>1</v>
      </c>
      <c r="E58" s="100"/>
      <c r="F58" s="100"/>
      <c r="G58" s="100">
        <f>$C58*'Unit volumes'!E$23*$D58</f>
        <v>178221.83249808566</v>
      </c>
      <c r="H58" s="100">
        <f>$C58*'Unit volumes'!F$23*$D58</f>
        <v>181124.08476808874</v>
      </c>
      <c r="I58" s="100">
        <f>$C58*'Unit volumes'!G$23*$D58</f>
        <v>184837.63035260388</v>
      </c>
      <c r="J58" s="100">
        <f>$C58*'Unit volumes'!H$23*$D58</f>
        <v>187535.44355465026</v>
      </c>
      <c r="K58" s="101">
        <f>$C58*'Unit volumes'!I$23*$D58</f>
        <v>190204.56519830297</v>
      </c>
    </row>
    <row r="59" spans="2:11" ht="17.25" customHeight="1" x14ac:dyDescent="0.2">
      <c r="B59" s="93" t="s">
        <v>0</v>
      </c>
      <c r="C59" s="111">
        <v>60</v>
      </c>
      <c r="D59" s="112">
        <v>0.5</v>
      </c>
      <c r="E59" s="94"/>
      <c r="F59" s="94"/>
      <c r="G59" s="94">
        <f>$C59*'Unit volumes'!E$23*$D59</f>
        <v>6426.2679987290503</v>
      </c>
      <c r="H59" s="94">
        <f>$C59*'Unit volumes'!F$23*$D59</f>
        <v>6530.9165180801228</v>
      </c>
      <c r="I59" s="94">
        <f>$C59*'Unit volumes'!G$23*$D59</f>
        <v>6664.8184021371599</v>
      </c>
      <c r="J59" s="94">
        <f>$C59*'Unit volumes'!H$23*$D59</f>
        <v>6762.0953204801772</v>
      </c>
      <c r="K59" s="102">
        <f>$C59*'Unit volumes'!I$23*$D59</f>
        <v>6858.3376874388096</v>
      </c>
    </row>
    <row r="60" spans="2:11" ht="17.25" customHeight="1" x14ac:dyDescent="0.2">
      <c r="B60" s="93" t="s">
        <v>32</v>
      </c>
      <c r="C60" s="111">
        <v>39</v>
      </c>
      <c r="D60" s="112">
        <v>0</v>
      </c>
      <c r="E60" s="94"/>
      <c r="F60" s="94"/>
      <c r="G60" s="94">
        <f>$C60*'Unit volumes'!E$23*$D60</f>
        <v>0</v>
      </c>
      <c r="H60" s="94">
        <f>$C60*'Unit volumes'!F$23*$D60</f>
        <v>0</v>
      </c>
      <c r="I60" s="94">
        <f>$C60*'Unit volumes'!G$23*$D60</f>
        <v>0</v>
      </c>
      <c r="J60" s="94">
        <f>$C60*'Unit volumes'!H$23*$D60</f>
        <v>0</v>
      </c>
      <c r="K60" s="102">
        <f>$C60*'Unit volumes'!I$23*$D60</f>
        <v>0</v>
      </c>
    </row>
    <row r="61" spans="2:11" ht="17.25" customHeight="1" x14ac:dyDescent="0.2">
      <c r="B61" s="93" t="s">
        <v>5</v>
      </c>
      <c r="C61" s="111">
        <v>12</v>
      </c>
      <c r="D61" s="112">
        <v>0.15</v>
      </c>
      <c r="E61" s="94"/>
      <c r="F61" s="94"/>
      <c r="G61" s="94">
        <f>$C61*'Unit volumes'!E$23*$D61</f>
        <v>385.57607992374295</v>
      </c>
      <c r="H61" s="94">
        <f>$C61*'Unit volumes'!F$23*$D61</f>
        <v>391.8549910848073</v>
      </c>
      <c r="I61" s="94">
        <f>$C61*'Unit volumes'!G$23*$D61</f>
        <v>399.88910412822958</v>
      </c>
      <c r="J61" s="94">
        <f>$C61*'Unit volumes'!H$23*$D61</f>
        <v>405.72571922881065</v>
      </c>
      <c r="K61" s="102">
        <f>$C61*'Unit volumes'!I$23*$D61</f>
        <v>411.50026124632853</v>
      </c>
    </row>
    <row r="62" spans="2:11" ht="17.25" customHeight="1" x14ac:dyDescent="0.2">
      <c r="B62" s="93" t="s">
        <v>7</v>
      </c>
      <c r="C62" s="111">
        <v>120</v>
      </c>
      <c r="D62" s="112">
        <v>0</v>
      </c>
      <c r="E62" s="94"/>
      <c r="F62" s="94"/>
      <c r="G62" s="94">
        <f>$C62*'Unit volumes'!E$23*$D62</f>
        <v>0</v>
      </c>
      <c r="H62" s="94">
        <f>$C62*'Unit volumes'!F$23*$D62</f>
        <v>0</v>
      </c>
      <c r="I62" s="94">
        <f>$C62*'Unit volumes'!G$23*$D62</f>
        <v>0</v>
      </c>
      <c r="J62" s="94">
        <f>$C62*'Unit volumes'!H$23*$D62</f>
        <v>0</v>
      </c>
      <c r="K62" s="102">
        <f>$C62*'Unit volumes'!I$23*$D62</f>
        <v>0</v>
      </c>
    </row>
    <row r="63" spans="2:11" ht="17.25" customHeight="1" x14ac:dyDescent="0.2">
      <c r="B63" s="93" t="s">
        <v>9</v>
      </c>
      <c r="C63" s="111">
        <v>240</v>
      </c>
      <c r="D63" s="112">
        <v>1</v>
      </c>
      <c r="E63" s="94"/>
      <c r="F63" s="94"/>
      <c r="G63" s="94">
        <f>$C63*'Unit volumes'!E$24*$D63</f>
        <v>3649.3485645704613</v>
      </c>
      <c r="H63" s="94">
        <f>$C63*'Unit volumes'!F$24*$D63</f>
        <v>3708.7763574906739</v>
      </c>
      <c r="I63" s="94">
        <f>$C63*'Unit volumes'!G$24*$D63</f>
        <v>3784.8165488542268</v>
      </c>
      <c r="J63" s="94">
        <f>$C63*'Unit volumes'!H$24*$D63</f>
        <v>3840.0581575750484</v>
      </c>
      <c r="K63" s="102">
        <f>$C63*'Unit volumes'!I$24*$D63</f>
        <v>3894.7122653372535</v>
      </c>
    </row>
    <row r="64" spans="2:11" ht="17.25" customHeight="1" x14ac:dyDescent="0.2">
      <c r="B64" s="93" t="s">
        <v>8</v>
      </c>
      <c r="C64" s="111">
        <v>20</v>
      </c>
      <c r="D64" s="112">
        <v>1</v>
      </c>
      <c r="E64" s="94"/>
      <c r="F64" s="94"/>
      <c r="G64" s="94">
        <f>$C64*'Unit volumes'!E$23*$D64</f>
        <v>4284.1786658193669</v>
      </c>
      <c r="H64" s="94">
        <f>$C64*'Unit volumes'!F$23*$D64</f>
        <v>4353.944345386748</v>
      </c>
      <c r="I64" s="94">
        <f>$C64*'Unit volumes'!G$23*$D64</f>
        <v>4443.2122680914399</v>
      </c>
      <c r="J64" s="94">
        <f>$C64*'Unit volumes'!H$23*$D64</f>
        <v>4508.0635469867848</v>
      </c>
      <c r="K64" s="102">
        <f>$C64*'Unit volumes'!I$23*$D64</f>
        <v>4572.2251249592064</v>
      </c>
    </row>
    <row r="65" spans="2:12" ht="17.25" customHeight="1" x14ac:dyDescent="0.2">
      <c r="B65" s="91" t="s">
        <v>6</v>
      </c>
      <c r="C65" s="113">
        <v>350.00000000000006</v>
      </c>
      <c r="D65" s="114">
        <v>0.05</v>
      </c>
      <c r="E65" s="105"/>
      <c r="F65" s="105"/>
      <c r="G65" s="105">
        <f>$C65*'Unit volumes'!E$23*$D65</f>
        <v>3748.6563325919469</v>
      </c>
      <c r="H65" s="105">
        <f>$C65*'Unit volumes'!F$23*$D65</f>
        <v>3809.7013022134051</v>
      </c>
      <c r="I65" s="105">
        <f>$C65*'Unit volumes'!G$23*$D65</f>
        <v>3887.8107345800108</v>
      </c>
      <c r="J65" s="105">
        <f>$C65*'Unit volumes'!H$23*$D65</f>
        <v>3944.5556036134376</v>
      </c>
      <c r="K65" s="106">
        <f>$C65*'Unit volumes'!I$23*$D65</f>
        <v>4000.6969843393063</v>
      </c>
    </row>
    <row r="66" spans="2:12" ht="17.25" customHeight="1" x14ac:dyDescent="0.2">
      <c r="B66" s="92" t="s">
        <v>54</v>
      </c>
      <c r="C66" s="115"/>
      <c r="D66" s="116"/>
      <c r="E66" s="117"/>
      <c r="F66" s="117"/>
      <c r="G66" s="117">
        <f>SUM(G54:G65)</f>
        <v>263120.6294599204</v>
      </c>
      <c r="H66" s="117">
        <f>SUM(H54:H65)</f>
        <v>201000.64631563897</v>
      </c>
      <c r="I66" s="117">
        <f>SUM(I54:I65)</f>
        <v>271806.5995325179</v>
      </c>
      <c r="J66" s="117">
        <f>SUM(J54:J65)</f>
        <v>209082.50475870681</v>
      </c>
      <c r="K66" s="118">
        <f>SUM(K54:K65)</f>
        <v>278724.96410231933</v>
      </c>
    </row>
    <row r="67" spans="2:12" ht="17.25" customHeight="1" x14ac:dyDescent="0.2">
      <c r="G67" s="95"/>
      <c r="H67" s="95"/>
      <c r="I67" s="95"/>
      <c r="J67" s="95"/>
      <c r="K67" s="95"/>
    </row>
    <row r="69" spans="2:12" ht="17.25" customHeight="1" x14ac:dyDescent="0.2">
      <c r="L69" s="6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2:S80"/>
  <sheetViews>
    <sheetView showGridLines="0" zoomScale="85" zoomScaleNormal="85" workbookViewId="0">
      <selection activeCell="B2" sqref="B2"/>
    </sheetView>
  </sheetViews>
  <sheetFormatPr defaultRowHeight="17.25" customHeight="1" x14ac:dyDescent="0.2"/>
  <cols>
    <col min="1" max="1" width="4.25" style="1" customWidth="1"/>
    <col min="2" max="2" width="46.375" style="49" customWidth="1"/>
    <col min="3" max="3" width="12.25" style="64" customWidth="1"/>
    <col min="4" max="11" width="12.25" style="65" customWidth="1"/>
    <col min="12" max="12" width="4.25" style="1" customWidth="1"/>
    <col min="13" max="16384" width="9" style="1"/>
  </cols>
  <sheetData>
    <row r="2" spans="2:11" ht="17.25" customHeight="1" x14ac:dyDescent="0.2">
      <c r="B2" s="119" t="s">
        <v>66</v>
      </c>
      <c r="C2" s="120"/>
      <c r="D2" s="121"/>
      <c r="E2" s="121"/>
      <c r="F2" s="121"/>
      <c r="G2" s="121"/>
      <c r="H2" s="121"/>
      <c r="I2" s="121"/>
      <c r="J2" s="121"/>
      <c r="K2" s="121"/>
    </row>
    <row r="3" spans="2:11" ht="17.25" customHeight="1" x14ac:dyDescent="0.2">
      <c r="C3" s="62"/>
      <c r="D3" s="62"/>
      <c r="E3" s="62"/>
      <c r="F3" s="62"/>
      <c r="G3" s="62"/>
      <c r="H3" s="62"/>
      <c r="I3" s="62"/>
      <c r="J3" s="62"/>
      <c r="K3" s="62"/>
    </row>
    <row r="4" spans="2:11" ht="17.25" customHeight="1" x14ac:dyDescent="0.2">
      <c r="B4" s="89" t="s">
        <v>52</v>
      </c>
      <c r="C4" s="107" t="s">
        <v>51</v>
      </c>
      <c r="D4" s="108" t="s">
        <v>18</v>
      </c>
      <c r="E4" s="96">
        <v>2014</v>
      </c>
      <c r="F4" s="96">
        <v>2015</v>
      </c>
      <c r="G4" s="96">
        <v>2016</v>
      </c>
      <c r="H4" s="96">
        <v>2017</v>
      </c>
      <c r="I4" s="96">
        <v>2018</v>
      </c>
      <c r="J4" s="96">
        <v>2019</v>
      </c>
      <c r="K4" s="97">
        <v>2020</v>
      </c>
    </row>
    <row r="5" spans="2:11" ht="17.25" customHeight="1" x14ac:dyDescent="0.2">
      <c r="B5" s="90" t="s">
        <v>33</v>
      </c>
      <c r="C5" s="109">
        <v>817.27</v>
      </c>
      <c r="D5" s="110">
        <v>1</v>
      </c>
      <c r="E5" s="100">
        <f>$C5*'Unit volumes'!C$29*$D5</f>
        <v>174143.69350389318</v>
      </c>
      <c r="F5" s="100">
        <f>$C5*'Unit volumes'!D$29*$D5</f>
        <v>0</v>
      </c>
      <c r="G5" s="100">
        <f>$C5*'Unit volumes'!E$29*$D5</f>
        <v>176713.30875596518</v>
      </c>
      <c r="H5" s="100">
        <f>$C5*'Unit volumes'!F$29*$D5</f>
        <v>2877.6867249542056</v>
      </c>
      <c r="I5" s="100">
        <f>$C5*'Unit volumes'!G$29*$D5</f>
        <v>180395.42176230985</v>
      </c>
      <c r="J5" s="100">
        <f>$C5*'Unit volumes'!H$29*$D5</f>
        <v>5552.6648163407099</v>
      </c>
      <c r="K5" s="101">
        <f>$C5*'Unit volumes'!I$29*$D5</f>
        <v>183041.95114937075</v>
      </c>
    </row>
    <row r="6" spans="2:11" ht="17.25" customHeight="1" x14ac:dyDescent="0.2">
      <c r="B6" s="93" t="s">
        <v>4</v>
      </c>
      <c r="C6" s="111">
        <v>179</v>
      </c>
      <c r="D6" s="112">
        <v>1</v>
      </c>
      <c r="E6" s="94">
        <f>$C6*'Unit volumes'!C$29*$D6</f>
        <v>38141.276612621143</v>
      </c>
      <c r="F6" s="94">
        <f>$C6*'Unit volumes'!D$29*$D6</f>
        <v>0</v>
      </c>
      <c r="G6" s="94">
        <f>$C6*'Unit volumes'!E$29*$D6</f>
        <v>38704.078538693175</v>
      </c>
      <c r="H6" s="94">
        <f>$C6*'Unit volumes'!F$29*$D6</f>
        <v>630.27631476354554</v>
      </c>
      <c r="I6" s="94">
        <f>$C6*'Unit volumes'!G$29*$D6</f>
        <v>39510.54179824717</v>
      </c>
      <c r="J6" s="94">
        <f>$C6*'Unit volumes'!H$29*$D6</f>
        <v>1216.1550064543994</v>
      </c>
      <c r="K6" s="102">
        <f>$C6*'Unit volumes'!I$29*$D6</f>
        <v>40090.189601646169</v>
      </c>
    </row>
    <row r="7" spans="2:11" ht="17.25" customHeight="1" x14ac:dyDescent="0.2">
      <c r="B7" s="93" t="s">
        <v>1</v>
      </c>
      <c r="C7" s="111">
        <v>188</v>
      </c>
      <c r="D7" s="112">
        <v>1</v>
      </c>
      <c r="E7" s="94">
        <f>$C7*'Unit volumes'!C$29*$D7</f>
        <v>40058.994431132822</v>
      </c>
      <c r="F7" s="94">
        <f>$C7*'Unit volumes'!D$29*$D7</f>
        <v>0</v>
      </c>
      <c r="G7" s="94">
        <f>$C7*'Unit volumes'!E$29*$D7</f>
        <v>40650.093660750368</v>
      </c>
      <c r="H7" s="94">
        <f>$C7*'Unit volumes'!F$29*$D7</f>
        <v>661.96618533824892</v>
      </c>
      <c r="I7" s="94">
        <f>$C7*'Unit volumes'!G$29*$D7</f>
        <v>41497.105352348983</v>
      </c>
      <c r="J7" s="94">
        <f>$C7*'Unit volumes'!H$29*$D7</f>
        <v>1277.302464879481</v>
      </c>
      <c r="K7" s="102">
        <f>$C7*'Unit volumes'!I$29*$D7</f>
        <v>42105.897458712177</v>
      </c>
    </row>
    <row r="8" spans="2:11" ht="17.25" customHeight="1" x14ac:dyDescent="0.2">
      <c r="B8" s="91" t="s">
        <v>2</v>
      </c>
      <c r="C8" s="113">
        <v>57</v>
      </c>
      <c r="D8" s="114">
        <v>1</v>
      </c>
      <c r="E8" s="105">
        <f>$C8*'Unit volumes'!C$29*$D8</f>
        <v>12145.546183907292</v>
      </c>
      <c r="F8" s="105">
        <f>$C8*'Unit volumes'!D$29*$D8</f>
        <v>0</v>
      </c>
      <c r="G8" s="105">
        <f>$C8*'Unit volumes'!E$29*$D8</f>
        <v>12324.762439695591</v>
      </c>
      <c r="H8" s="105">
        <f>$C8*'Unit volumes'!F$29*$D8</f>
        <v>200.70251363978824</v>
      </c>
      <c r="I8" s="105">
        <f>$C8*'Unit volumes'!G$29*$D8</f>
        <v>12581.569175978148</v>
      </c>
      <c r="J8" s="105">
        <f>$C8*'Unit volumes'!H$29*$D8</f>
        <v>387.26723669218308</v>
      </c>
      <c r="K8" s="106">
        <f>$C8*'Unit volumes'!I$29*$D8</f>
        <v>12766.149761418055</v>
      </c>
    </row>
    <row r="9" spans="2:11" ht="17.25" customHeight="1" x14ac:dyDescent="0.2">
      <c r="B9" s="93" t="s">
        <v>27</v>
      </c>
      <c r="C9" s="111">
        <v>480</v>
      </c>
      <c r="D9" s="112">
        <v>1</v>
      </c>
      <c r="E9" s="94">
        <f>$C9*'Unit volumes'!C$20*$D9</f>
        <v>102278.28365395614</v>
      </c>
      <c r="F9" s="94">
        <f>$C9*'Unit volumes'!D$20*$D9</f>
        <v>102278.28365395614</v>
      </c>
      <c r="G9" s="94">
        <f>$C9*'Unit volumes'!E$20*$D9</f>
        <v>103787.47317638392</v>
      </c>
      <c r="H9" s="94">
        <f>$C9*'Unit volumes'!F$20*$D9</f>
        <v>105477.59960703478</v>
      </c>
      <c r="I9" s="94">
        <f>$C9*'Unit volumes'!G$20*$D9</f>
        <v>107640.1826494142</v>
      </c>
      <c r="J9" s="94">
        <f>$C9*'Unit volumes'!H$20*$D9</f>
        <v>109211.25400143437</v>
      </c>
      <c r="K9" s="102">
        <f>$C9*'Unit volumes'!I$20*$D9</f>
        <v>110765.61682619147</v>
      </c>
    </row>
    <row r="10" spans="2:11" ht="17.25" customHeight="1" x14ac:dyDescent="0.2">
      <c r="B10" s="93" t="s">
        <v>0</v>
      </c>
      <c r="C10" s="111">
        <v>60</v>
      </c>
      <c r="D10" s="112">
        <v>0.5</v>
      </c>
      <c r="E10" s="94">
        <f>$C10*'Unit volumes'!C$20*$D10</f>
        <v>6392.3927283722587</v>
      </c>
      <c r="F10" s="94">
        <f>$C10*'Unit volumes'!D$20*$D10</f>
        <v>6392.3927283722587</v>
      </c>
      <c r="G10" s="94">
        <f>$C10*'Unit volumes'!E$20*$D10</f>
        <v>6486.7170735239952</v>
      </c>
      <c r="H10" s="94">
        <f>$C10*'Unit volumes'!F$20*$D10</f>
        <v>6592.3499754396735</v>
      </c>
      <c r="I10" s="94">
        <f>$C10*'Unit volumes'!G$20*$D10</f>
        <v>6727.5114155883875</v>
      </c>
      <c r="J10" s="94">
        <f>$C10*'Unit volumes'!H$20*$D10</f>
        <v>6825.703375089648</v>
      </c>
      <c r="K10" s="102">
        <f>$C10*'Unit volumes'!I$20*$D10</f>
        <v>6922.851051636967</v>
      </c>
    </row>
    <row r="11" spans="2:11" ht="17.25" customHeight="1" x14ac:dyDescent="0.2">
      <c r="B11" s="93" t="s">
        <v>32</v>
      </c>
      <c r="C11" s="111">
        <v>39</v>
      </c>
      <c r="D11" s="112">
        <v>1</v>
      </c>
      <c r="E11" s="94">
        <f>$C11*'Unit volumes'!C$20*$D11</f>
        <v>8310.110546883936</v>
      </c>
      <c r="F11" s="94">
        <f>$C11*'Unit volumes'!D$20*$D11</f>
        <v>8310.110546883936</v>
      </c>
      <c r="G11" s="94">
        <f>$C11*'Unit volumes'!E$20*$D11</f>
        <v>8432.7321955811931</v>
      </c>
      <c r="H11" s="94">
        <f>$C11*'Unit volumes'!F$20*$D11</f>
        <v>8570.0549680715758</v>
      </c>
      <c r="I11" s="94">
        <f>$C11*'Unit volumes'!G$20*$D11</f>
        <v>8745.7648402649029</v>
      </c>
      <c r="J11" s="94">
        <f>$C11*'Unit volumes'!H$20*$D11</f>
        <v>8873.4143876165417</v>
      </c>
      <c r="K11" s="102">
        <f>$C11*'Unit volumes'!I$20*$D11</f>
        <v>8999.7063671280575</v>
      </c>
    </row>
    <row r="12" spans="2:11" ht="17.25" customHeight="1" x14ac:dyDescent="0.2">
      <c r="B12" s="93" t="s">
        <v>5</v>
      </c>
      <c r="C12" s="111">
        <v>12</v>
      </c>
      <c r="D12" s="112">
        <v>0.15</v>
      </c>
      <c r="E12" s="94">
        <f>$C12*'Unit volumes'!C$20*$D12</f>
        <v>383.54356370233546</v>
      </c>
      <c r="F12" s="94">
        <f>$C12*'Unit volumes'!D$20*$D12</f>
        <v>383.54356370233546</v>
      </c>
      <c r="G12" s="94">
        <f>$C12*'Unit volumes'!E$20*$D12</f>
        <v>389.20302441143969</v>
      </c>
      <c r="H12" s="94">
        <f>$C12*'Unit volumes'!F$20*$D12</f>
        <v>395.54099852638041</v>
      </c>
      <c r="I12" s="94">
        <f>$C12*'Unit volumes'!G$20*$D12</f>
        <v>403.65068493530322</v>
      </c>
      <c r="J12" s="94">
        <f>$C12*'Unit volumes'!H$20*$D12</f>
        <v>409.5422025053789</v>
      </c>
      <c r="K12" s="102">
        <f>$C12*'Unit volumes'!I$20*$D12</f>
        <v>415.37106309821803</v>
      </c>
    </row>
    <row r="13" spans="2:11" ht="17.25" customHeight="1" x14ac:dyDescent="0.2">
      <c r="B13" s="93" t="s">
        <v>7</v>
      </c>
      <c r="C13" s="111">
        <v>120</v>
      </c>
      <c r="D13" s="112">
        <v>0</v>
      </c>
      <c r="E13" s="94">
        <f>$C13*'Unit volumes'!C$20*$D13</f>
        <v>0</v>
      </c>
      <c r="F13" s="94">
        <f>$C13*'Unit volumes'!D$20*$D13</f>
        <v>0</v>
      </c>
      <c r="G13" s="94">
        <f>$C13*'Unit volumes'!E$20*$D13</f>
        <v>0</v>
      </c>
      <c r="H13" s="94">
        <f>$C13*'Unit volumes'!F$20*$D13</f>
        <v>0</v>
      </c>
      <c r="I13" s="94">
        <f>$C13*'Unit volumes'!G$20*$D13</f>
        <v>0</v>
      </c>
      <c r="J13" s="94">
        <f>$C13*'Unit volumes'!H$20*$D13</f>
        <v>0</v>
      </c>
      <c r="K13" s="102">
        <f>$C13*'Unit volumes'!I$20*$D13</f>
        <v>0</v>
      </c>
    </row>
    <row r="14" spans="2:11" ht="17.25" customHeight="1" x14ac:dyDescent="0.2">
      <c r="B14" s="93" t="s">
        <v>9</v>
      </c>
      <c r="C14" s="111">
        <v>240</v>
      </c>
      <c r="D14" s="112">
        <v>0</v>
      </c>
      <c r="E14" s="94">
        <f>$C14*'Unit volumes'!C$20*$D14</f>
        <v>0</v>
      </c>
      <c r="F14" s="94">
        <f>$C14*'Unit volumes'!D$20*$D14</f>
        <v>0</v>
      </c>
      <c r="G14" s="94">
        <f>$C14*'Unit volumes'!E$20*$D14</f>
        <v>0</v>
      </c>
      <c r="H14" s="94">
        <f>$C14*'Unit volumes'!F$20*$D14</f>
        <v>0</v>
      </c>
      <c r="I14" s="94">
        <f>$C14*'Unit volumes'!G$20*$D14</f>
        <v>0</v>
      </c>
      <c r="J14" s="94">
        <f>$C14*'Unit volumes'!H$20*$D14</f>
        <v>0</v>
      </c>
      <c r="K14" s="102">
        <f>$C14*'Unit volumes'!I$20*$D14</f>
        <v>0</v>
      </c>
    </row>
    <row r="15" spans="2:11" ht="17.25" customHeight="1" x14ac:dyDescent="0.2">
      <c r="B15" s="93" t="s">
        <v>8</v>
      </c>
      <c r="C15" s="111">
        <v>20</v>
      </c>
      <c r="D15" s="112">
        <v>0</v>
      </c>
      <c r="E15" s="94">
        <f>$C15*'Unit volumes'!C$20*$D15</f>
        <v>0</v>
      </c>
      <c r="F15" s="94">
        <f>$C15*'Unit volumes'!D$20*$D15</f>
        <v>0</v>
      </c>
      <c r="G15" s="94">
        <f>$C15*'Unit volumes'!E$20*$D15</f>
        <v>0</v>
      </c>
      <c r="H15" s="94">
        <f>$C15*'Unit volumes'!F$20*$D15</f>
        <v>0</v>
      </c>
      <c r="I15" s="94">
        <f>$C15*'Unit volumes'!G$20*$D15</f>
        <v>0</v>
      </c>
      <c r="J15" s="94">
        <f>$C15*'Unit volumes'!H$20*$D15</f>
        <v>0</v>
      </c>
      <c r="K15" s="102">
        <f>$C15*'Unit volumes'!I$20*$D15</f>
        <v>0</v>
      </c>
    </row>
    <row r="16" spans="2:11" ht="17.25" customHeight="1" x14ac:dyDescent="0.2">
      <c r="B16" s="91" t="s">
        <v>6</v>
      </c>
      <c r="C16" s="113">
        <v>350.00000000000006</v>
      </c>
      <c r="D16" s="114">
        <v>0.15</v>
      </c>
      <c r="E16" s="105">
        <f>$C16*'Unit volumes'!C$20*$D16</f>
        <v>11186.687274651455</v>
      </c>
      <c r="F16" s="105">
        <f>$C16*'Unit volumes'!D$20*$D16</f>
        <v>11186.687274651455</v>
      </c>
      <c r="G16" s="105">
        <f>$C16*'Unit volumes'!E$20*$D16</f>
        <v>11351.754878666992</v>
      </c>
      <c r="H16" s="105">
        <f>$C16*'Unit volumes'!F$20*$D16</f>
        <v>11536.61245701943</v>
      </c>
      <c r="I16" s="105">
        <f>$C16*'Unit volumes'!G$20*$D16</f>
        <v>11773.14497727968</v>
      </c>
      <c r="J16" s="105">
        <f>$C16*'Unit volumes'!H$20*$D16</f>
        <v>11944.980906406885</v>
      </c>
      <c r="K16" s="106">
        <f>$C16*'Unit volumes'!I$20*$D16</f>
        <v>12114.989340364693</v>
      </c>
    </row>
    <row r="17" spans="2:13" ht="17.25" customHeight="1" x14ac:dyDescent="0.2">
      <c r="B17" s="90" t="s">
        <v>16</v>
      </c>
      <c r="C17" s="98"/>
      <c r="D17" s="99"/>
      <c r="E17" s="100">
        <f>SUM(E5,E14,E15,E6,E7)</f>
        <v>252343.96454764716</v>
      </c>
      <c r="F17" s="100">
        <f t="shared" ref="F17" si="0">SUM(F5,F14,F15,F6,F7)</f>
        <v>0</v>
      </c>
      <c r="G17" s="100">
        <f>SUM(G5,G14,G15,G6,G7)</f>
        <v>256067.48095540871</v>
      </c>
      <c r="H17" s="100">
        <f t="shared" ref="H17:K17" si="1">SUM(H5,H14,H15,H6,H7)</f>
        <v>4169.9292250560002</v>
      </c>
      <c r="I17" s="100">
        <f t="shared" si="1"/>
        <v>261403.06891290599</v>
      </c>
      <c r="J17" s="100">
        <f t="shared" si="1"/>
        <v>8046.1222876745896</v>
      </c>
      <c r="K17" s="101">
        <f t="shared" si="1"/>
        <v>265238.03820972907</v>
      </c>
    </row>
    <row r="18" spans="2:13" ht="17.25" customHeight="1" x14ac:dyDescent="0.2">
      <c r="B18" s="91" t="s">
        <v>15</v>
      </c>
      <c r="C18" s="103"/>
      <c r="D18" s="104"/>
      <c r="E18" s="105">
        <f>SUM(E8:E13,E16)</f>
        <v>140696.56395147342</v>
      </c>
      <c r="F18" s="105">
        <f t="shared" ref="F18" si="2">SUM(F8:F13,F16)</f>
        <v>128551.01776756613</v>
      </c>
      <c r="G18" s="105">
        <f>SUM(G8:G13,G16)</f>
        <v>142772.64278826313</v>
      </c>
      <c r="H18" s="105">
        <f t="shared" ref="H18:K18" si="3">SUM(H8:H13,H16)</f>
        <v>132772.86051973162</v>
      </c>
      <c r="I18" s="105">
        <f t="shared" si="3"/>
        <v>147871.82374346061</v>
      </c>
      <c r="J18" s="105">
        <f t="shared" si="3"/>
        <v>137652.16210974503</v>
      </c>
      <c r="K18" s="106">
        <f t="shared" si="3"/>
        <v>151984.68440983747</v>
      </c>
    </row>
    <row r="19" spans="2:13" ht="17.25" customHeight="1" x14ac:dyDescent="0.2">
      <c r="C19" s="62"/>
      <c r="D19" s="63"/>
      <c r="E19" s="63"/>
      <c r="F19" s="63"/>
      <c r="G19" s="63"/>
      <c r="H19" s="63"/>
      <c r="I19" s="63"/>
      <c r="J19" s="63"/>
      <c r="K19" s="63"/>
      <c r="L19" s="61"/>
    </row>
    <row r="20" spans="2:13" ht="17.25" customHeight="1" x14ac:dyDescent="0.2">
      <c r="B20" s="89" t="s">
        <v>53</v>
      </c>
      <c r="C20" s="107" t="s">
        <v>51</v>
      </c>
      <c r="D20" s="108" t="s">
        <v>18</v>
      </c>
      <c r="E20" s="96">
        <v>2014</v>
      </c>
      <c r="F20" s="96">
        <v>2015</v>
      </c>
      <c r="G20" s="96">
        <v>2016</v>
      </c>
      <c r="H20" s="96">
        <v>2017</v>
      </c>
      <c r="I20" s="96">
        <v>2018</v>
      </c>
      <c r="J20" s="96">
        <v>2019</v>
      </c>
      <c r="K20" s="97">
        <v>2020</v>
      </c>
    </row>
    <row r="21" spans="2:13" ht="17.25" customHeight="1" x14ac:dyDescent="0.2">
      <c r="B21" s="90" t="s">
        <v>33</v>
      </c>
      <c r="C21" s="109">
        <v>817.27</v>
      </c>
      <c r="D21" s="110">
        <v>0</v>
      </c>
      <c r="E21" s="100"/>
      <c r="F21" s="100"/>
      <c r="G21" s="100">
        <f>$C21*'Unit volumes'!E$29*$D21</f>
        <v>0</v>
      </c>
      <c r="H21" s="100">
        <f>$C21*'Unit volumes'!F$29*$D21</f>
        <v>0</v>
      </c>
      <c r="I21" s="100">
        <f>$C21*'Unit volumes'!G$29*$D21</f>
        <v>0</v>
      </c>
      <c r="J21" s="100">
        <f>$C21*'Unit volumes'!H$29*$D21</f>
        <v>0</v>
      </c>
      <c r="K21" s="101">
        <f>$C21*'Unit volumes'!I$29*$D21</f>
        <v>0</v>
      </c>
    </row>
    <row r="22" spans="2:13" ht="17.25" customHeight="1" x14ac:dyDescent="0.2">
      <c r="B22" s="93" t="s">
        <v>4</v>
      </c>
      <c r="C22" s="111">
        <v>179</v>
      </c>
      <c r="D22" s="112">
        <v>1</v>
      </c>
      <c r="E22" s="94"/>
      <c r="F22" s="94"/>
      <c r="G22" s="94">
        <f>$C22*'Unit volumes'!E$29*$D22</f>
        <v>38704.078538693175</v>
      </c>
      <c r="H22" s="94">
        <f>$C22*'Unit volumes'!F$29*$D22</f>
        <v>630.27631476354554</v>
      </c>
      <c r="I22" s="94">
        <f>$C22*'Unit volumes'!G$29*$D22</f>
        <v>39510.54179824717</v>
      </c>
      <c r="J22" s="94">
        <f>$C22*'Unit volumes'!H$29*$D22</f>
        <v>1216.1550064543994</v>
      </c>
      <c r="K22" s="102">
        <f>$C22*'Unit volumes'!I$29*$D22</f>
        <v>40090.189601646169</v>
      </c>
    </row>
    <row r="23" spans="2:13" ht="17.25" customHeight="1" x14ac:dyDescent="0.2">
      <c r="B23" s="93" t="s">
        <v>1</v>
      </c>
      <c r="C23" s="111">
        <v>188</v>
      </c>
      <c r="D23" s="112">
        <v>1</v>
      </c>
      <c r="E23" s="94"/>
      <c r="F23" s="94"/>
      <c r="G23" s="94">
        <f>$C23*'Unit volumes'!E$29*$D23</f>
        <v>40650.093660750368</v>
      </c>
      <c r="H23" s="94">
        <f>$C23*'Unit volumes'!F$29*$D23</f>
        <v>661.96618533824892</v>
      </c>
      <c r="I23" s="94">
        <f>$C23*'Unit volumes'!G$29*$D23</f>
        <v>41497.105352348983</v>
      </c>
      <c r="J23" s="94">
        <f>$C23*'Unit volumes'!H$29*$D23</f>
        <v>1277.302464879481</v>
      </c>
      <c r="K23" s="102">
        <f>$C23*'Unit volumes'!I$29*$D23</f>
        <v>42105.897458712177</v>
      </c>
    </row>
    <row r="24" spans="2:13" ht="17.25" customHeight="1" x14ac:dyDescent="0.2">
      <c r="B24" s="93" t="s">
        <v>2</v>
      </c>
      <c r="C24" s="111">
        <v>57</v>
      </c>
      <c r="D24" s="112">
        <v>1</v>
      </c>
      <c r="E24" s="94"/>
      <c r="F24" s="94"/>
      <c r="G24" s="94">
        <f>$C24*'Unit volumes'!E$29*$D24</f>
        <v>12324.762439695591</v>
      </c>
      <c r="H24" s="94">
        <f>$C24*'Unit volumes'!F$29*$D24</f>
        <v>200.70251363978824</v>
      </c>
      <c r="I24" s="94">
        <f>$C24*'Unit volumes'!G$29*$D24</f>
        <v>12581.569175978148</v>
      </c>
      <c r="J24" s="94">
        <f>$C24*'Unit volumes'!H$29*$D24</f>
        <v>387.26723669218308</v>
      </c>
      <c r="K24" s="102">
        <f>$C24*'Unit volumes'!I$29*$D24</f>
        <v>12766.149761418055</v>
      </c>
    </row>
    <row r="25" spans="2:13" ht="17.25" customHeight="1" x14ac:dyDescent="0.2">
      <c r="B25" s="90" t="s">
        <v>31</v>
      </c>
      <c r="C25" s="109">
        <v>912</v>
      </c>
      <c r="D25" s="110">
        <v>1</v>
      </c>
      <c r="E25" s="100"/>
      <c r="F25" s="100"/>
      <c r="G25" s="100">
        <f>$C25*'Unit volumes'!E$20*$D25</f>
        <v>197196.19903512945</v>
      </c>
      <c r="H25" s="100">
        <f>$C25*'Unit volumes'!F$20*$D25</f>
        <v>200407.43925336606</v>
      </c>
      <c r="I25" s="100">
        <f>$C25*'Unit volumes'!G$20*$D25</f>
        <v>204516.347033887</v>
      </c>
      <c r="J25" s="100">
        <f>$C25*'Unit volumes'!H$20*$D25</f>
        <v>207501.38260272529</v>
      </c>
      <c r="K25" s="101">
        <f>$C25*'Unit volumes'!I$20*$D25</f>
        <v>210454.67196976382</v>
      </c>
      <c r="M25" s="61"/>
    </row>
    <row r="26" spans="2:13" ht="17.25" customHeight="1" x14ac:dyDescent="0.2">
      <c r="B26" s="93" t="s">
        <v>0</v>
      </c>
      <c r="C26" s="111">
        <v>60</v>
      </c>
      <c r="D26" s="112">
        <v>0.5</v>
      </c>
      <c r="E26" s="94"/>
      <c r="F26" s="94"/>
      <c r="G26" s="94">
        <f>$C26*'Unit volumes'!E$20*$D26</f>
        <v>6486.7170735239952</v>
      </c>
      <c r="H26" s="94">
        <f>$C26*'Unit volumes'!F$20*$D26</f>
        <v>6592.3499754396735</v>
      </c>
      <c r="I26" s="94">
        <f>$C26*'Unit volumes'!G$20*$D26</f>
        <v>6727.5114155883875</v>
      </c>
      <c r="J26" s="94">
        <f>$C26*'Unit volumes'!H$20*$D26</f>
        <v>6825.703375089648</v>
      </c>
      <c r="K26" s="102">
        <f>$C26*'Unit volumes'!I$20*$D26</f>
        <v>6922.851051636967</v>
      </c>
    </row>
    <row r="27" spans="2:13" ht="17.25" customHeight="1" x14ac:dyDescent="0.2">
      <c r="B27" s="93" t="s">
        <v>32</v>
      </c>
      <c r="C27" s="111">
        <v>39</v>
      </c>
      <c r="D27" s="112">
        <v>0</v>
      </c>
      <c r="E27" s="94"/>
      <c r="F27" s="94"/>
      <c r="G27" s="94">
        <f>$C27*'Unit volumes'!E$20*$D27</f>
        <v>0</v>
      </c>
      <c r="H27" s="94">
        <f>$C27*'Unit volumes'!F$20*$D27</f>
        <v>0</v>
      </c>
      <c r="I27" s="94">
        <f>$C27*'Unit volumes'!G$20*$D27</f>
        <v>0</v>
      </c>
      <c r="J27" s="94">
        <f>$C27*'Unit volumes'!H$20*$D27</f>
        <v>0</v>
      </c>
      <c r="K27" s="102">
        <f>$C27*'Unit volumes'!I$20*$D27</f>
        <v>0</v>
      </c>
    </row>
    <row r="28" spans="2:13" ht="17.25" customHeight="1" x14ac:dyDescent="0.2">
      <c r="B28" s="93" t="s">
        <v>5</v>
      </c>
      <c r="C28" s="111">
        <v>12</v>
      </c>
      <c r="D28" s="112">
        <v>0.15</v>
      </c>
      <c r="E28" s="94"/>
      <c r="F28" s="94"/>
      <c r="G28" s="94">
        <f>$C28*'Unit volumes'!E$20*$D28</f>
        <v>389.20302441143969</v>
      </c>
      <c r="H28" s="94">
        <f>$C28*'Unit volumes'!F$20*$D28</f>
        <v>395.54099852638041</v>
      </c>
      <c r="I28" s="94">
        <f>$C28*'Unit volumes'!G$20*$D28</f>
        <v>403.65068493530322</v>
      </c>
      <c r="J28" s="94">
        <f>$C28*'Unit volumes'!H$20*$D28</f>
        <v>409.5422025053789</v>
      </c>
      <c r="K28" s="102">
        <f>$C28*'Unit volumes'!I$20*$D28</f>
        <v>415.37106309821803</v>
      </c>
    </row>
    <row r="29" spans="2:13" ht="17.25" customHeight="1" x14ac:dyDescent="0.2">
      <c r="B29" s="93" t="s">
        <v>7</v>
      </c>
      <c r="C29" s="111">
        <v>120</v>
      </c>
      <c r="D29" s="112">
        <v>0</v>
      </c>
      <c r="E29" s="94"/>
      <c r="F29" s="94"/>
      <c r="G29" s="94">
        <f>$C29*'Unit volumes'!E$20*$D29</f>
        <v>0</v>
      </c>
      <c r="H29" s="94">
        <f>$C29*'Unit volumes'!F$20*$D29</f>
        <v>0</v>
      </c>
      <c r="I29" s="94">
        <f>$C29*'Unit volumes'!G$20*$D29</f>
        <v>0</v>
      </c>
      <c r="J29" s="94">
        <f>$C29*'Unit volumes'!H$20*$D29</f>
        <v>0</v>
      </c>
      <c r="K29" s="102">
        <f>$C29*'Unit volumes'!I$20*$D29</f>
        <v>0</v>
      </c>
    </row>
    <row r="30" spans="2:13" ht="17.25" customHeight="1" x14ac:dyDescent="0.2">
      <c r="B30" s="93" t="s">
        <v>9</v>
      </c>
      <c r="C30" s="111">
        <v>240</v>
      </c>
      <c r="D30" s="112">
        <v>0</v>
      </c>
      <c r="E30" s="94"/>
      <c r="F30" s="94"/>
      <c r="G30" s="94">
        <f>$C30*'Unit volumes'!E$25*$D30</f>
        <v>0</v>
      </c>
      <c r="H30" s="94">
        <f>$C30*'Unit volumes'!F$25*$D30</f>
        <v>0</v>
      </c>
      <c r="I30" s="94">
        <f>$C30*'Unit volumes'!G$25*$D30</f>
        <v>0</v>
      </c>
      <c r="J30" s="94">
        <f>$C30*'Unit volumes'!H$25*$D30</f>
        <v>0</v>
      </c>
      <c r="K30" s="102">
        <f>$C30*'Unit volumes'!I$25*$D30</f>
        <v>0</v>
      </c>
    </row>
    <row r="31" spans="2:13" ht="17.25" customHeight="1" x14ac:dyDescent="0.2">
      <c r="B31" s="93" t="s">
        <v>8</v>
      </c>
      <c r="C31" s="111">
        <v>20</v>
      </c>
      <c r="D31" s="112">
        <v>0</v>
      </c>
      <c r="E31" s="94"/>
      <c r="F31" s="94"/>
      <c r="G31" s="94">
        <f>$C31*'Unit volumes'!E$20*$D31</f>
        <v>0</v>
      </c>
      <c r="H31" s="94">
        <f>$C31*'Unit volumes'!F$20*$D31</f>
        <v>0</v>
      </c>
      <c r="I31" s="94">
        <f>$C31*'Unit volumes'!G$20*$D31</f>
        <v>0</v>
      </c>
      <c r="J31" s="94">
        <f>$C31*'Unit volumes'!H$20*$D31</f>
        <v>0</v>
      </c>
      <c r="K31" s="102">
        <f>$C31*'Unit volumes'!I$20*$D31</f>
        <v>0</v>
      </c>
    </row>
    <row r="32" spans="2:13" ht="17.25" customHeight="1" x14ac:dyDescent="0.2">
      <c r="B32" s="91" t="s">
        <v>6</v>
      </c>
      <c r="C32" s="113">
        <v>350.00000000000006</v>
      </c>
      <c r="D32" s="114">
        <v>0.15</v>
      </c>
      <c r="E32" s="105"/>
      <c r="F32" s="105"/>
      <c r="G32" s="105">
        <f>$C32*'Unit volumes'!E$20*$D32</f>
        <v>11351.754878666992</v>
      </c>
      <c r="H32" s="105">
        <f>$C32*'Unit volumes'!F$20*$D32</f>
        <v>11536.61245701943</v>
      </c>
      <c r="I32" s="105">
        <f>$C32*'Unit volumes'!G$20*$D32</f>
        <v>11773.14497727968</v>
      </c>
      <c r="J32" s="105">
        <f>$C32*'Unit volumes'!H$20*$D32</f>
        <v>11944.980906406885</v>
      </c>
      <c r="K32" s="106">
        <f>$C32*'Unit volumes'!I$20*$D32</f>
        <v>12114.989340364693</v>
      </c>
    </row>
    <row r="33" spans="2:19" ht="17.25" customHeight="1" x14ac:dyDescent="0.2">
      <c r="B33" s="92" t="s">
        <v>54</v>
      </c>
      <c r="C33" s="115"/>
      <c r="D33" s="116"/>
      <c r="E33" s="117"/>
      <c r="F33" s="117"/>
      <c r="G33" s="117">
        <f>SUM(G21:G32)</f>
        <v>307102.8086508711</v>
      </c>
      <c r="H33" s="117">
        <f>SUM(H21:H32)</f>
        <v>220424.88769809311</v>
      </c>
      <c r="I33" s="117">
        <f>SUM(I21:I32)</f>
        <v>317009.87043826468</v>
      </c>
      <c r="J33" s="117">
        <f>SUM(J21:J32)</f>
        <v>229562.33379475327</v>
      </c>
      <c r="K33" s="118">
        <f>SUM(K21:K32)</f>
        <v>324870.12024664006</v>
      </c>
    </row>
    <row r="34" spans="2:19" ht="17.25" customHeight="1" x14ac:dyDescent="0.2">
      <c r="C34" s="62"/>
      <c r="D34" s="62"/>
      <c r="E34" s="62"/>
      <c r="F34" s="62"/>
      <c r="G34" s="62"/>
      <c r="H34" s="62"/>
      <c r="I34" s="62"/>
      <c r="J34" s="62"/>
      <c r="K34" s="62"/>
    </row>
    <row r="35" spans="2:19" ht="17.25" customHeight="1" x14ac:dyDescent="0.2">
      <c r="B35" s="119" t="s">
        <v>67</v>
      </c>
      <c r="C35" s="120"/>
      <c r="D35" s="121"/>
      <c r="E35" s="121"/>
      <c r="F35" s="121"/>
      <c r="G35" s="121"/>
      <c r="H35" s="121"/>
      <c r="I35" s="121"/>
      <c r="J35" s="121"/>
      <c r="K35" s="121"/>
    </row>
    <row r="36" spans="2:19" ht="17.25" customHeight="1" x14ac:dyDescent="0.2">
      <c r="C36" s="62"/>
      <c r="D36" s="62"/>
      <c r="E36" s="62"/>
      <c r="F36" s="62"/>
      <c r="G36" s="62"/>
      <c r="H36" s="62"/>
      <c r="I36" s="62"/>
      <c r="J36" s="62"/>
      <c r="K36" s="62"/>
    </row>
    <row r="37" spans="2:19" ht="17.25" customHeight="1" x14ac:dyDescent="0.2">
      <c r="B37" s="89" t="s">
        <v>52</v>
      </c>
      <c r="C37" s="107" t="s">
        <v>51</v>
      </c>
      <c r="D37" s="108" t="s">
        <v>18</v>
      </c>
      <c r="E37" s="96">
        <v>2014</v>
      </c>
      <c r="F37" s="96">
        <v>2015</v>
      </c>
      <c r="G37" s="96">
        <v>2016</v>
      </c>
      <c r="H37" s="96">
        <v>2017</v>
      </c>
      <c r="I37" s="96">
        <v>2018</v>
      </c>
      <c r="J37" s="96">
        <v>2019</v>
      </c>
      <c r="K37" s="97">
        <v>2020</v>
      </c>
    </row>
    <row r="38" spans="2:19" ht="17.25" customHeight="1" x14ac:dyDescent="0.2">
      <c r="B38" s="90" t="s">
        <v>33</v>
      </c>
      <c r="C38" s="109">
        <v>817.27</v>
      </c>
      <c r="D38" s="110">
        <v>1</v>
      </c>
      <c r="E38" s="100">
        <f>$C38*'Unit volumes'!C$31*$D38</f>
        <v>29391.340675762563</v>
      </c>
      <c r="F38" s="100">
        <f>$C38*'Unit volumes'!D$31*$D38</f>
        <v>0</v>
      </c>
      <c r="G38" s="100">
        <f>$C38*'Unit volumes'!E$31*$D38</f>
        <v>433.6903379024485</v>
      </c>
      <c r="H38" s="100">
        <f>$C38*'Unit volumes'!F$31*$D38</f>
        <v>29877.026198961586</v>
      </c>
      <c r="I38" s="100">
        <f>$C38*'Unit volumes'!G$31*$D38</f>
        <v>621.45367195690653</v>
      </c>
      <c r="J38" s="100">
        <f>$C38*'Unit volumes'!H$31*$D38</f>
        <v>885.16343349510635</v>
      </c>
      <c r="K38" s="101">
        <f>$C38*'Unit volumes'!I$31*$D38</f>
        <v>30323.697825469761</v>
      </c>
      <c r="S38" s="128"/>
    </row>
    <row r="39" spans="2:19" ht="17.25" customHeight="1" x14ac:dyDescent="0.2">
      <c r="B39" s="93" t="s">
        <v>4</v>
      </c>
      <c r="C39" s="111">
        <v>119</v>
      </c>
      <c r="D39" s="112">
        <v>1</v>
      </c>
      <c r="E39" s="94">
        <f>$C39*'Unit volumes'!C$31*$D39</f>
        <v>4279.5765663926795</v>
      </c>
      <c r="F39" s="94">
        <f>$C39*'Unit volumes'!D$31*$D39</f>
        <v>0</v>
      </c>
      <c r="G39" s="94">
        <f>$C39*'Unit volumes'!E$31*$D39</f>
        <v>63.148225446170024</v>
      </c>
      <c r="H39" s="94">
        <f>$C39*'Unit volumes'!F$31*$D39</f>
        <v>4350.2956399677323</v>
      </c>
      <c r="I39" s="94">
        <f>$C39*'Unit volumes'!G$31*$D39</f>
        <v>90.487827722627628</v>
      </c>
      <c r="J39" s="94">
        <f>$C39*'Unit volumes'!H$31*$D39</f>
        <v>128.8857398239476</v>
      </c>
      <c r="K39" s="102">
        <f>$C39*'Unit volumes'!I$31*$D39</f>
        <v>4415.3340282047566</v>
      </c>
    </row>
    <row r="40" spans="2:19" ht="17.25" customHeight="1" x14ac:dyDescent="0.2">
      <c r="B40" s="93" t="s">
        <v>1</v>
      </c>
      <c r="C40" s="111">
        <v>188</v>
      </c>
      <c r="D40" s="112">
        <v>1</v>
      </c>
      <c r="E40" s="94">
        <f>$C40*'Unit volumes'!C$31*$D40</f>
        <v>6761.0117183346529</v>
      </c>
      <c r="F40" s="94">
        <f>$C40*'Unit volumes'!D$31*$D40</f>
        <v>0</v>
      </c>
      <c r="G40" s="94">
        <f>$C40*'Unit volumes'!E$31*$D40</f>
        <v>99.763583057814827</v>
      </c>
      <c r="H40" s="94">
        <f>$C40*'Unit volumes'!F$31*$D40</f>
        <v>6872.7359690246531</v>
      </c>
      <c r="I40" s="94">
        <f>$C40*'Unit volumes'!G$31*$D40</f>
        <v>142.95555976347893</v>
      </c>
      <c r="J40" s="94">
        <f>$C40*'Unit volumes'!H$31*$D40</f>
        <v>203.61780745295923</v>
      </c>
      <c r="K40" s="102">
        <f>$C40*'Unit volumes'!I$31*$D40</f>
        <v>6975.4856916175995</v>
      </c>
    </row>
    <row r="41" spans="2:19" ht="17.25" customHeight="1" x14ac:dyDescent="0.2">
      <c r="B41" s="91" t="s">
        <v>2</v>
      </c>
      <c r="C41" s="113">
        <v>57</v>
      </c>
      <c r="D41" s="114">
        <v>1</v>
      </c>
      <c r="E41" s="105">
        <f>$C41*'Unit volumes'!C$31*$D41</f>
        <v>2049.8812124738042</v>
      </c>
      <c r="F41" s="105">
        <f>$C41*'Unit volumes'!D$31*$D41</f>
        <v>0</v>
      </c>
      <c r="G41" s="105">
        <f>$C41*'Unit volumes'!E$31*$D41</f>
        <v>30.247469331358751</v>
      </c>
      <c r="H41" s="105">
        <f>$C41*'Unit volumes'!F$31*$D41</f>
        <v>2083.7550544383257</v>
      </c>
      <c r="I41" s="105">
        <f>$C41*'Unit volumes'!G$31*$D41</f>
        <v>43.342909077224995</v>
      </c>
      <c r="J41" s="105">
        <f>$C41*'Unit volumes'!H$31*$D41</f>
        <v>61.735186302227</v>
      </c>
      <c r="K41" s="106">
        <f>$C41*'Unit volumes'!I$31*$D41</f>
        <v>2114.9078958627829</v>
      </c>
    </row>
    <row r="42" spans="2:19" ht="17.25" customHeight="1" x14ac:dyDescent="0.2">
      <c r="B42" s="93" t="s">
        <v>31</v>
      </c>
      <c r="C42" s="111">
        <v>480</v>
      </c>
      <c r="D42" s="112">
        <v>1</v>
      </c>
      <c r="E42" s="94">
        <f>$C42*'Unit volumes'!C$21*$D42</f>
        <v>17262.157578726772</v>
      </c>
      <c r="F42" s="94">
        <f>$C42*'Unit volumes'!D$21*$D42</f>
        <v>17262.157578726772</v>
      </c>
      <c r="G42" s="94">
        <f>$C42*'Unit volumes'!E$21*$D42</f>
        <v>17516.873109938217</v>
      </c>
      <c r="H42" s="94">
        <f>$C42*'Unit volumes'!F$21*$D42</f>
        <v>17802.126515955239</v>
      </c>
      <c r="I42" s="94">
        <f>$C42*'Unit volumes'!G$21*$D42</f>
        <v>18167.119434500291</v>
      </c>
      <c r="J42" s="94">
        <f>$C42*'Unit volumes'!H$21*$D42</f>
        <v>18432.279156360233</v>
      </c>
      <c r="K42" s="102">
        <f>$C42*'Unit volumes'!I$21*$D42</f>
        <v>18694.61887361882</v>
      </c>
    </row>
    <row r="43" spans="2:19" ht="17.25" customHeight="1" x14ac:dyDescent="0.2">
      <c r="B43" s="93" t="s">
        <v>0</v>
      </c>
      <c r="C43" s="111">
        <v>60</v>
      </c>
      <c r="D43" s="112">
        <v>0.5</v>
      </c>
      <c r="E43" s="94">
        <f>$C43*'Unit volumes'!C$21*$D43</f>
        <v>1078.8848486704233</v>
      </c>
      <c r="F43" s="94">
        <f>$C43*'Unit volumes'!D$21*$D43</f>
        <v>1078.8848486704233</v>
      </c>
      <c r="G43" s="94">
        <f>$C43*'Unit volumes'!E$21*$D43</f>
        <v>1094.8045693711385</v>
      </c>
      <c r="H43" s="94">
        <f>$C43*'Unit volumes'!F$21*$D43</f>
        <v>1112.6329072472024</v>
      </c>
      <c r="I43" s="94">
        <f>$C43*'Unit volumes'!G$21*$D43</f>
        <v>1135.4449646562682</v>
      </c>
      <c r="J43" s="94">
        <f>$C43*'Unit volumes'!H$21*$D43</f>
        <v>1152.0174472725146</v>
      </c>
      <c r="K43" s="102">
        <f>$C43*'Unit volumes'!I$21*$D43</f>
        <v>1168.4136796011762</v>
      </c>
    </row>
    <row r="44" spans="2:19" ht="17.25" customHeight="1" x14ac:dyDescent="0.2">
      <c r="B44" s="93" t="s">
        <v>32</v>
      </c>
      <c r="C44" s="111">
        <v>39</v>
      </c>
      <c r="D44" s="112">
        <v>1</v>
      </c>
      <c r="E44" s="94">
        <f>$C44*'Unit volumes'!C$21*$D44</f>
        <v>1402.5503032715503</v>
      </c>
      <c r="F44" s="94">
        <f>$C44*'Unit volumes'!D$21*$D44</f>
        <v>1402.5503032715503</v>
      </c>
      <c r="G44" s="94">
        <f>$C44*'Unit volumes'!E$21*$D44</f>
        <v>1423.2459401824801</v>
      </c>
      <c r="H44" s="94">
        <f>$C44*'Unit volumes'!F$21*$D44</f>
        <v>1446.422779421363</v>
      </c>
      <c r="I44" s="94">
        <f>$C44*'Unit volumes'!G$21*$D44</f>
        <v>1476.0784540531486</v>
      </c>
      <c r="J44" s="94">
        <f>$C44*'Unit volumes'!H$21*$D44</f>
        <v>1497.622681454269</v>
      </c>
      <c r="K44" s="102">
        <f>$C44*'Unit volumes'!I$21*$D44</f>
        <v>1518.9377834815291</v>
      </c>
    </row>
    <row r="45" spans="2:19" ht="17.25" customHeight="1" x14ac:dyDescent="0.2">
      <c r="B45" s="93" t="s">
        <v>5</v>
      </c>
      <c r="C45" s="111">
        <v>12</v>
      </c>
      <c r="D45" s="112">
        <v>0.15</v>
      </c>
      <c r="E45" s="94">
        <f>$C45*'Unit volumes'!C$21*$D45</f>
        <v>64.733090920225393</v>
      </c>
      <c r="F45" s="94">
        <f>$C45*'Unit volumes'!D$21*$D45</f>
        <v>64.733090920225393</v>
      </c>
      <c r="G45" s="94">
        <f>$C45*'Unit volumes'!E$21*$D45</f>
        <v>65.6882741622683</v>
      </c>
      <c r="H45" s="94">
        <f>$C45*'Unit volumes'!F$21*$D45</f>
        <v>66.757974434832136</v>
      </c>
      <c r="I45" s="94">
        <f>$C45*'Unit volumes'!G$21*$D45</f>
        <v>68.126697879376096</v>
      </c>
      <c r="J45" s="94">
        <f>$C45*'Unit volumes'!H$21*$D45</f>
        <v>69.121046836350871</v>
      </c>
      <c r="K45" s="102">
        <f>$C45*'Unit volumes'!I$21*$D45</f>
        <v>70.104820776070568</v>
      </c>
    </row>
    <row r="46" spans="2:19" ht="17.25" customHeight="1" x14ac:dyDescent="0.2">
      <c r="B46" s="93" t="s">
        <v>7</v>
      </c>
      <c r="C46" s="111">
        <v>120</v>
      </c>
      <c r="D46" s="112">
        <v>0</v>
      </c>
      <c r="E46" s="94">
        <f>$C46*'Unit volumes'!C$21*$D46</f>
        <v>0</v>
      </c>
      <c r="F46" s="94">
        <f>$C46*'Unit volumes'!D$21*$D46</f>
        <v>0</v>
      </c>
      <c r="G46" s="94">
        <f>$C46*'Unit volumes'!E$21*$D46</f>
        <v>0</v>
      </c>
      <c r="H46" s="94">
        <f>$C46*'Unit volumes'!F$21*$D46</f>
        <v>0</v>
      </c>
      <c r="I46" s="94">
        <f>$C46*'Unit volumes'!G$21*$D46</f>
        <v>0</v>
      </c>
      <c r="J46" s="94">
        <f>$C46*'Unit volumes'!H$21*$D46</f>
        <v>0</v>
      </c>
      <c r="K46" s="102">
        <f>$C46*'Unit volumes'!I$21*$D46</f>
        <v>0</v>
      </c>
    </row>
    <row r="47" spans="2:19" ht="17.25" customHeight="1" x14ac:dyDescent="0.2">
      <c r="B47" s="93" t="s">
        <v>9</v>
      </c>
      <c r="C47" s="111">
        <v>240</v>
      </c>
      <c r="D47" s="112">
        <v>0</v>
      </c>
      <c r="E47" s="94">
        <f>$C47*'Unit volumes'!C$25*$D47</f>
        <v>0</v>
      </c>
      <c r="F47" s="94">
        <f>$C47*'Unit volumes'!D$25*$D47</f>
        <v>0</v>
      </c>
      <c r="G47" s="94">
        <f>$C47*'Unit volumes'!E$25*$D47</f>
        <v>0</v>
      </c>
      <c r="H47" s="94">
        <f>$C47*'Unit volumes'!F$25*$D47</f>
        <v>0</v>
      </c>
      <c r="I47" s="94">
        <f>$C47*'Unit volumes'!G$25*$D47</f>
        <v>0</v>
      </c>
      <c r="J47" s="94">
        <f>$C47*'Unit volumes'!H$25*$D47</f>
        <v>0</v>
      </c>
      <c r="K47" s="102">
        <f>$C47*'Unit volumes'!I$25*$D47</f>
        <v>0</v>
      </c>
    </row>
    <row r="48" spans="2:19" ht="17.25" customHeight="1" x14ac:dyDescent="0.2">
      <c r="B48" s="93" t="s">
        <v>8</v>
      </c>
      <c r="C48" s="111">
        <v>20</v>
      </c>
      <c r="D48" s="112">
        <v>0</v>
      </c>
      <c r="E48" s="94">
        <f>$C48*'Unit volumes'!C$21*$D48</f>
        <v>0</v>
      </c>
      <c r="F48" s="94">
        <f>$C48*'Unit volumes'!D$21*$D48</f>
        <v>0</v>
      </c>
      <c r="G48" s="94">
        <f>$C48*'Unit volumes'!E$21*$D48</f>
        <v>0</v>
      </c>
      <c r="H48" s="94">
        <f>$C48*'Unit volumes'!F$21*$D48</f>
        <v>0</v>
      </c>
      <c r="I48" s="94">
        <f>$C48*'Unit volumes'!G$21*$D48</f>
        <v>0</v>
      </c>
      <c r="J48" s="94">
        <f>$C48*'Unit volumes'!H$21*$D48</f>
        <v>0</v>
      </c>
      <c r="K48" s="102">
        <f>$C48*'Unit volumes'!I$21*$D48</f>
        <v>0</v>
      </c>
    </row>
    <row r="49" spans="2:11" ht="17.25" customHeight="1" x14ac:dyDescent="0.2">
      <c r="B49" s="91" t="s">
        <v>6</v>
      </c>
      <c r="C49" s="113">
        <v>350.00000000000006</v>
      </c>
      <c r="D49" s="114">
        <v>0.15</v>
      </c>
      <c r="E49" s="105">
        <f>$C49*'Unit volumes'!C$21*$D49</f>
        <v>1888.048485173241</v>
      </c>
      <c r="F49" s="105">
        <f>$C49*'Unit volumes'!D$21*$D49</f>
        <v>1888.048485173241</v>
      </c>
      <c r="G49" s="105">
        <f>$C49*'Unit volumes'!E$21*$D49</f>
        <v>1915.9079963994925</v>
      </c>
      <c r="H49" s="105">
        <f>$C49*'Unit volumes'!F$21*$D49</f>
        <v>1947.1075876826044</v>
      </c>
      <c r="I49" s="105">
        <f>$C49*'Unit volumes'!G$21*$D49</f>
        <v>1987.0286881484697</v>
      </c>
      <c r="J49" s="105">
        <f>$C49*'Unit volumes'!H$21*$D49</f>
        <v>2016.0305327269007</v>
      </c>
      <c r="K49" s="106">
        <f>$C49*'Unit volumes'!I$21*$D49</f>
        <v>2044.7239393020586</v>
      </c>
    </row>
    <row r="50" spans="2:11" ht="17.25" customHeight="1" x14ac:dyDescent="0.2">
      <c r="B50" s="90" t="s">
        <v>16</v>
      </c>
      <c r="C50" s="98"/>
      <c r="D50" s="99"/>
      <c r="E50" s="100">
        <f>SUM(E38,E47,E48,E39,E40)</f>
        <v>40431.928960489895</v>
      </c>
      <c r="F50" s="100">
        <f t="shared" ref="F50" si="4">SUM(F38,F47,F48,F39,F40)</f>
        <v>0</v>
      </c>
      <c r="G50" s="100">
        <f>SUM(G38,G47,G48,G39,G40)</f>
        <v>596.60214640643335</v>
      </c>
      <c r="H50" s="100">
        <f t="shared" ref="H50:K50" si="5">SUM(H38,H47,H48,H39,H40)</f>
        <v>41100.05780795397</v>
      </c>
      <c r="I50" s="100">
        <f t="shared" si="5"/>
        <v>854.89705944301318</v>
      </c>
      <c r="J50" s="100">
        <f t="shared" si="5"/>
        <v>1217.6669807720132</v>
      </c>
      <c r="K50" s="101">
        <f t="shared" si="5"/>
        <v>41714.517545292118</v>
      </c>
    </row>
    <row r="51" spans="2:11" ht="17.25" customHeight="1" x14ac:dyDescent="0.2">
      <c r="B51" s="91" t="s">
        <v>15</v>
      </c>
      <c r="C51" s="103"/>
      <c r="D51" s="104"/>
      <c r="E51" s="105">
        <f>SUM(E41:E46,E49)</f>
        <v>23746.255519236012</v>
      </c>
      <c r="F51" s="105">
        <f t="shared" ref="F51" si="6">SUM(F41:F46,F49)</f>
        <v>21696.374306762209</v>
      </c>
      <c r="G51" s="105">
        <f>SUM(G41:G46,G49)</f>
        <v>22046.767359384958</v>
      </c>
      <c r="H51" s="105">
        <f t="shared" ref="H51:K51" si="7">SUM(H41:H46,H49)</f>
        <v>24458.802819179567</v>
      </c>
      <c r="I51" s="105">
        <f t="shared" si="7"/>
        <v>22877.141148314779</v>
      </c>
      <c r="J51" s="105">
        <f t="shared" si="7"/>
        <v>23228.806050952495</v>
      </c>
      <c r="K51" s="106">
        <f t="shared" si="7"/>
        <v>25611.706992642437</v>
      </c>
    </row>
    <row r="52" spans="2:11" ht="17.25" customHeight="1" x14ac:dyDescent="0.2">
      <c r="C52" s="62"/>
      <c r="D52" s="63"/>
      <c r="E52" s="63"/>
      <c r="F52" s="63"/>
      <c r="G52" s="63"/>
      <c r="H52" s="63"/>
      <c r="I52" s="63"/>
      <c r="J52" s="63"/>
      <c r="K52" s="63"/>
    </row>
    <row r="53" spans="2:11" ht="17.25" customHeight="1" x14ac:dyDescent="0.2">
      <c r="B53" s="89" t="s">
        <v>53</v>
      </c>
      <c r="C53" s="107" t="s">
        <v>51</v>
      </c>
      <c r="D53" s="108" t="s">
        <v>18</v>
      </c>
      <c r="E53" s="96">
        <v>2014</v>
      </c>
      <c r="F53" s="96">
        <v>2015</v>
      </c>
      <c r="G53" s="96">
        <v>2016</v>
      </c>
      <c r="H53" s="96">
        <v>2017</v>
      </c>
      <c r="I53" s="96">
        <v>2018</v>
      </c>
      <c r="J53" s="96">
        <v>2019</v>
      </c>
      <c r="K53" s="97">
        <v>2020</v>
      </c>
    </row>
    <row r="54" spans="2:11" ht="17.25" customHeight="1" x14ac:dyDescent="0.2">
      <c r="B54" s="90" t="s">
        <v>33</v>
      </c>
      <c r="C54" s="109">
        <v>817.27</v>
      </c>
      <c r="D54" s="110">
        <v>0</v>
      </c>
      <c r="E54" s="100"/>
      <c r="F54" s="100"/>
      <c r="G54" s="100">
        <f>$C54*'Unit volumes'!E$30*$D54</f>
        <v>0</v>
      </c>
      <c r="H54" s="100">
        <f>$C54*'Unit volumes'!F$30*$D54</f>
        <v>0</v>
      </c>
      <c r="I54" s="100">
        <f>$C54*'Unit volumes'!G$30*$D54</f>
        <v>0</v>
      </c>
      <c r="J54" s="100">
        <f>$C54*'Unit volumes'!H$30*$D54</f>
        <v>0</v>
      </c>
      <c r="K54" s="101">
        <f>$C54*'Unit volumes'!I$30*$D54</f>
        <v>0</v>
      </c>
    </row>
    <row r="55" spans="2:11" ht="17.25" customHeight="1" x14ac:dyDescent="0.2">
      <c r="B55" s="93" t="s">
        <v>4</v>
      </c>
      <c r="C55" s="111">
        <v>119</v>
      </c>
      <c r="D55" s="112">
        <v>1</v>
      </c>
      <c r="E55" s="94"/>
      <c r="F55" s="94"/>
      <c r="G55" s="94">
        <f>$C55*'Unit volumes'!E$30*$D55</f>
        <v>4342.7247918388493</v>
      </c>
      <c r="H55" s="94">
        <f>$C55*'Unit volumes'!F$30*$D55</f>
        <v>70.719073575053301</v>
      </c>
      <c r="I55" s="94">
        <f>$C55*'Unit volumes'!G$30*$D55</f>
        <v>4433.2126195614774</v>
      </c>
      <c r="J55" s="94">
        <f>$C55*'Unit volumes'!H$30*$D55</f>
        <v>136.45658795283086</v>
      </c>
      <c r="K55" s="102">
        <f>$C55*'Unit volumes'!I$30*$D55</f>
        <v>4498.2510077985016</v>
      </c>
    </row>
    <row r="56" spans="2:11" ht="17.25" customHeight="1" x14ac:dyDescent="0.2">
      <c r="B56" s="93" t="s">
        <v>1</v>
      </c>
      <c r="C56" s="111">
        <v>188</v>
      </c>
      <c r="D56" s="112">
        <v>1</v>
      </c>
      <c r="E56" s="94"/>
      <c r="F56" s="94"/>
      <c r="G56" s="94">
        <f>$C56*'Unit volumes'!E$30*$D56</f>
        <v>6860.7753013924676</v>
      </c>
      <c r="H56" s="94">
        <f>$C56*'Unit volumes'!F$30*$D56</f>
        <v>111.72425069000016</v>
      </c>
      <c r="I56" s="94">
        <f>$C56*'Unit volumes'!G$30*$D56</f>
        <v>7003.7308611559465</v>
      </c>
      <c r="J56" s="94">
        <f>$C56*'Unit volumes'!H$30*$D56</f>
        <v>215.57847508514456</v>
      </c>
      <c r="K56" s="102">
        <f>$C56*'Unit volumes'!I$30*$D56</f>
        <v>7106.480583748893</v>
      </c>
    </row>
    <row r="57" spans="2:11" ht="17.25" customHeight="1" x14ac:dyDescent="0.2">
      <c r="B57" s="93" t="s">
        <v>2</v>
      </c>
      <c r="C57" s="111">
        <v>57</v>
      </c>
      <c r="D57" s="112">
        <v>1</v>
      </c>
      <c r="E57" s="94"/>
      <c r="F57" s="94"/>
      <c r="G57" s="94">
        <f>$C57*'Unit volumes'!E$30*$D57</f>
        <v>2080.1286818051631</v>
      </c>
      <c r="H57" s="94">
        <f>$C57*'Unit volumes'!F$30*$D57</f>
        <v>33.873841964521326</v>
      </c>
      <c r="I57" s="94">
        <f>$C57*'Unit volumes'!G$30*$D57</f>
        <v>2123.4715908823882</v>
      </c>
      <c r="J57" s="94">
        <f>$C57*'Unit volumes'!H$30*$D57</f>
        <v>65.361558935389581</v>
      </c>
      <c r="K57" s="102">
        <f>$C57*'Unit volumes'!I$30*$D57</f>
        <v>2154.6244323068449</v>
      </c>
    </row>
    <row r="58" spans="2:11" ht="17.25" customHeight="1" x14ac:dyDescent="0.2">
      <c r="B58" s="90" t="s">
        <v>31</v>
      </c>
      <c r="C58" s="109">
        <v>912</v>
      </c>
      <c r="D58" s="110">
        <v>1</v>
      </c>
      <c r="E58" s="100"/>
      <c r="F58" s="100"/>
      <c r="G58" s="100">
        <f>$C58*'Unit volumes'!E$21*$D58</f>
        <v>33282.058908882609</v>
      </c>
      <c r="H58" s="100">
        <f>$C58*'Unit volumes'!F$21*$D58</f>
        <v>33824.040380314953</v>
      </c>
      <c r="I58" s="100">
        <f>$C58*'Unit volumes'!G$21*$D58</f>
        <v>34517.526925550548</v>
      </c>
      <c r="J58" s="100">
        <f>$C58*'Unit volumes'!H$21*$D58</f>
        <v>35021.330397084443</v>
      </c>
      <c r="K58" s="101">
        <f>$C58*'Unit volumes'!I$21*$D58</f>
        <v>35519.775859875757</v>
      </c>
    </row>
    <row r="59" spans="2:11" ht="17.25" customHeight="1" x14ac:dyDescent="0.2">
      <c r="B59" s="93" t="s">
        <v>0</v>
      </c>
      <c r="C59" s="111">
        <v>60</v>
      </c>
      <c r="D59" s="112">
        <v>0.5</v>
      </c>
      <c r="E59" s="94"/>
      <c r="F59" s="94"/>
      <c r="G59" s="94">
        <f>$C59*'Unit volumes'!E$21*$D59</f>
        <v>1094.8045693711385</v>
      </c>
      <c r="H59" s="94">
        <f>$C59*'Unit volumes'!F$21*$D59</f>
        <v>1112.6329072472024</v>
      </c>
      <c r="I59" s="94">
        <f>$C59*'Unit volumes'!G$21*$D59</f>
        <v>1135.4449646562682</v>
      </c>
      <c r="J59" s="94">
        <f>$C59*'Unit volumes'!H$21*$D59</f>
        <v>1152.0174472725146</v>
      </c>
      <c r="K59" s="102">
        <f>$C59*'Unit volumes'!I$21*$D59</f>
        <v>1168.4136796011762</v>
      </c>
    </row>
    <row r="60" spans="2:11" ht="17.25" customHeight="1" x14ac:dyDescent="0.2">
      <c r="B60" s="93" t="s">
        <v>32</v>
      </c>
      <c r="C60" s="111">
        <v>39</v>
      </c>
      <c r="D60" s="112">
        <v>0</v>
      </c>
      <c r="E60" s="94"/>
      <c r="F60" s="94"/>
      <c r="G60" s="94">
        <f>$C60*'Unit volumes'!E$21*$D60</f>
        <v>0</v>
      </c>
      <c r="H60" s="94">
        <f>$C60*'Unit volumes'!F$21*$D60</f>
        <v>0</v>
      </c>
      <c r="I60" s="94">
        <f>$C60*'Unit volumes'!G$21*$D60</f>
        <v>0</v>
      </c>
      <c r="J60" s="94">
        <f>$C60*'Unit volumes'!H$21*$D60</f>
        <v>0</v>
      </c>
      <c r="K60" s="102">
        <f>$C60*'Unit volumes'!I$21*$D60</f>
        <v>0</v>
      </c>
    </row>
    <row r="61" spans="2:11" ht="17.25" customHeight="1" x14ac:dyDescent="0.2">
      <c r="B61" s="93" t="s">
        <v>5</v>
      </c>
      <c r="C61" s="111">
        <v>12</v>
      </c>
      <c r="D61" s="112">
        <v>0.15</v>
      </c>
      <c r="E61" s="94"/>
      <c r="F61" s="94"/>
      <c r="G61" s="94">
        <f>$C61*'Unit volumes'!E$21*$D61</f>
        <v>65.6882741622683</v>
      </c>
      <c r="H61" s="94">
        <f>$C61*'Unit volumes'!F$21*$D61</f>
        <v>66.757974434832136</v>
      </c>
      <c r="I61" s="94">
        <f>$C61*'Unit volumes'!G$21*$D61</f>
        <v>68.126697879376096</v>
      </c>
      <c r="J61" s="94">
        <f>$C61*'Unit volumes'!H$21*$D61</f>
        <v>69.121046836350871</v>
      </c>
      <c r="K61" s="102">
        <f>$C61*'Unit volumes'!I$21*$D61</f>
        <v>70.104820776070568</v>
      </c>
    </row>
    <row r="62" spans="2:11" ht="17.25" customHeight="1" x14ac:dyDescent="0.2">
      <c r="B62" s="93" t="s">
        <v>7</v>
      </c>
      <c r="C62" s="111">
        <v>120</v>
      </c>
      <c r="D62" s="112">
        <v>0</v>
      </c>
      <c r="E62" s="94"/>
      <c r="F62" s="94"/>
      <c r="G62" s="94">
        <f>$C62*'Unit volumes'!E$21*$D62</f>
        <v>0</v>
      </c>
      <c r="H62" s="94">
        <f>$C62*'Unit volumes'!F$21*$D62</f>
        <v>0</v>
      </c>
      <c r="I62" s="94">
        <f>$C62*'Unit volumes'!G$21*$D62</f>
        <v>0</v>
      </c>
      <c r="J62" s="94">
        <f>$C62*'Unit volumes'!H$21*$D62</f>
        <v>0</v>
      </c>
      <c r="K62" s="102">
        <f>$C62*'Unit volumes'!I$21*$D62</f>
        <v>0</v>
      </c>
    </row>
    <row r="63" spans="2:11" ht="17.25" customHeight="1" x14ac:dyDescent="0.2">
      <c r="B63" s="93" t="s">
        <v>9</v>
      </c>
      <c r="C63" s="111">
        <v>240</v>
      </c>
      <c r="D63" s="112">
        <v>0</v>
      </c>
      <c r="E63" s="94"/>
      <c r="F63" s="94"/>
      <c r="G63" s="94">
        <f>$C63*'Unit volumes'!E$25*$D63</f>
        <v>0</v>
      </c>
      <c r="H63" s="94">
        <f>$C63*'Unit volumes'!F$25*$D63</f>
        <v>0</v>
      </c>
      <c r="I63" s="94">
        <f>$C63*'Unit volumes'!G$25*$D63</f>
        <v>0</v>
      </c>
      <c r="J63" s="94">
        <f>$C63*'Unit volumes'!H$25*$D63</f>
        <v>0</v>
      </c>
      <c r="K63" s="102">
        <f>$C63*'Unit volumes'!I$25*$D63</f>
        <v>0</v>
      </c>
    </row>
    <row r="64" spans="2:11" ht="17.25" customHeight="1" x14ac:dyDescent="0.2">
      <c r="B64" s="93" t="s">
        <v>8</v>
      </c>
      <c r="C64" s="111">
        <v>20</v>
      </c>
      <c r="D64" s="112">
        <v>0</v>
      </c>
      <c r="E64" s="94"/>
      <c r="F64" s="94"/>
      <c r="G64" s="94">
        <f>$C64*'Unit volumes'!E$21*$D64</f>
        <v>0</v>
      </c>
      <c r="H64" s="94">
        <f>$C64*'Unit volumes'!F$21*$D64</f>
        <v>0</v>
      </c>
      <c r="I64" s="94">
        <f>$C64*'Unit volumes'!G$21*$D64</f>
        <v>0</v>
      </c>
      <c r="J64" s="94">
        <f>$C64*'Unit volumes'!H$21*$D64</f>
        <v>0</v>
      </c>
      <c r="K64" s="102">
        <f>$C64*'Unit volumes'!I$21*$D64</f>
        <v>0</v>
      </c>
    </row>
    <row r="65" spans="2:12" ht="17.25" customHeight="1" x14ac:dyDescent="0.2">
      <c r="B65" s="91" t="s">
        <v>6</v>
      </c>
      <c r="C65" s="113">
        <v>350.00000000000006</v>
      </c>
      <c r="D65" s="114">
        <v>0.15</v>
      </c>
      <c r="E65" s="105"/>
      <c r="F65" s="105"/>
      <c r="G65" s="105">
        <f>$C65*'Unit volumes'!E$21*$D65</f>
        <v>1915.9079963994925</v>
      </c>
      <c r="H65" s="105">
        <f>$C65*'Unit volumes'!F$21*$D65</f>
        <v>1947.1075876826044</v>
      </c>
      <c r="I65" s="105">
        <f>$C65*'Unit volumes'!G$21*$D65</f>
        <v>1987.0286881484697</v>
      </c>
      <c r="J65" s="105">
        <f>$C65*'Unit volumes'!H$21*$D65</f>
        <v>2016.0305327269007</v>
      </c>
      <c r="K65" s="106">
        <f>$C65*'Unit volumes'!I$21*$D65</f>
        <v>2044.7239393020586</v>
      </c>
    </row>
    <row r="66" spans="2:12" ht="17.25" customHeight="1" x14ac:dyDescent="0.2">
      <c r="B66" s="92" t="s">
        <v>54</v>
      </c>
      <c r="C66" s="115"/>
      <c r="D66" s="116"/>
      <c r="E66" s="117"/>
      <c r="F66" s="117"/>
      <c r="G66" s="117">
        <f>SUM(G54:G65)</f>
        <v>49642.088523851991</v>
      </c>
      <c r="H66" s="117">
        <f>SUM(H54:H65)</f>
        <v>37166.856015909165</v>
      </c>
      <c r="I66" s="117">
        <f>SUM(I54:I65)</f>
        <v>51268.542347834482</v>
      </c>
      <c r="J66" s="117">
        <f>SUM(J54:J65)</f>
        <v>38675.896045893569</v>
      </c>
      <c r="K66" s="118">
        <f>SUM(K54:K65)</f>
        <v>52562.374323409298</v>
      </c>
    </row>
    <row r="67" spans="2:12" ht="17.25" customHeight="1" x14ac:dyDescent="0.2">
      <c r="G67" s="95"/>
      <c r="H67" s="95"/>
      <c r="I67" s="95"/>
      <c r="J67" s="95"/>
      <c r="K67" s="95"/>
    </row>
    <row r="69" spans="2:12" ht="17.25" customHeight="1" x14ac:dyDescent="0.2">
      <c r="J69" s="95"/>
      <c r="K69" s="95"/>
      <c r="L69" s="65"/>
    </row>
    <row r="70" spans="2:12" ht="17.25" customHeight="1" x14ac:dyDescent="0.2">
      <c r="J70" s="95"/>
      <c r="K70" s="95"/>
    </row>
    <row r="71" spans="2:12" ht="17.25" customHeight="1" x14ac:dyDescent="0.2">
      <c r="J71" s="95"/>
      <c r="K71" s="95"/>
    </row>
    <row r="72" spans="2:12" ht="17.25" customHeight="1" x14ac:dyDescent="0.2">
      <c r="J72" s="95"/>
      <c r="K72" s="95"/>
    </row>
    <row r="73" spans="2:12" ht="17.25" customHeight="1" x14ac:dyDescent="0.2">
      <c r="J73" s="95"/>
      <c r="K73" s="95"/>
    </row>
    <row r="74" spans="2:12" ht="17.25" customHeight="1" x14ac:dyDescent="0.2">
      <c r="J74" s="95"/>
      <c r="K74" s="95"/>
    </row>
    <row r="75" spans="2:12" ht="17.25" customHeight="1" x14ac:dyDescent="0.2">
      <c r="J75" s="95"/>
      <c r="K75" s="95"/>
    </row>
    <row r="76" spans="2:12" ht="17.25" customHeight="1" x14ac:dyDescent="0.2">
      <c r="J76" s="95"/>
      <c r="K76" s="95"/>
    </row>
    <row r="77" spans="2:12" ht="17.25" customHeight="1" x14ac:dyDescent="0.2">
      <c r="J77" s="95"/>
      <c r="K77" s="95"/>
    </row>
    <row r="78" spans="2:12" ht="17.25" customHeight="1" x14ac:dyDescent="0.2">
      <c r="J78" s="95"/>
      <c r="K78" s="95"/>
    </row>
    <row r="79" spans="2:12" ht="17.25" customHeight="1" x14ac:dyDescent="0.2">
      <c r="J79" s="95"/>
      <c r="K79" s="95"/>
    </row>
    <row r="80" spans="2:12" ht="17.25" customHeight="1" x14ac:dyDescent="0.2">
      <c r="J80" s="95"/>
      <c r="K80" s="9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_x0020_Owner_x0020_-_x0020_Company xmlns="452e29db-1283-48fb-b5d4-5ceeee35c20a">All</Doc_x0020_Owner_x0020_-_x0020_Company>
    <SelectedContentType xmlns="452e29db-1283-48fb-b5d4-5ceeee35c20a">Management Doc</SelectedContentType>
    <Notes1 xmlns="452e29db-1283-48fb-b5d4-5ceeee35c20a">&lt;div&gt;&lt;/div&gt;</Notes1>
    <DocumentTypeManagementDocument xmlns="452e29db-1283-48fb-b5d4-5ceeee35c20a">Financial</DocumentTypeManagementDocument>
  </documentManagement>
</p:properties>
</file>

<file path=customXml/item2.xml><?xml version="1.0" encoding="utf-8"?>
<ct:contentTypeSchema xmlns:ct="http://schemas.microsoft.com/office/2006/metadata/contentType" xmlns:ma="http://schemas.microsoft.com/office/2006/metadata/properties/metaAttributes" ct:_="" ma:_="" ma:contentTypeName="Management Doc" ma:contentTypeID="0x010100D0028BF0C5DFD24FAF083FF18D968BC40300C6A4FEDDEA8CE241AA8052696D6E51EE" ma:contentTypeVersion="47" ma:contentTypeDescription="Documents that facilitate management of teams or contracts" ma:contentTypeScope="" ma:versionID="059a4f02f62259631133325d26b7ea7f">
  <xsd:schema xmlns:xsd="http://www.w3.org/2001/XMLSchema" xmlns:xs="http://www.w3.org/2001/XMLSchema" xmlns:p="http://schemas.microsoft.com/office/2006/metadata/properties" xmlns:ns1="452e29db-1283-48fb-b5d4-5ceeee35c20a" targetNamespace="http://schemas.microsoft.com/office/2006/metadata/properties" ma:root="true" ma:fieldsID="4579fb02c562a0fa740ccd3910559da2" ns1:_="">
    <xsd:import namespace="452e29db-1283-48fb-b5d4-5ceeee35c20a"/>
    <xsd:element name="properties">
      <xsd:complexType>
        <xsd:sequence>
          <xsd:element name="documentManagement">
            <xsd:complexType>
              <xsd:all>
                <xsd:element ref="ns1:DocumentTypeManagementDocument"/>
                <xsd:element ref="ns1:Notes1" minOccurs="0"/>
                <xsd:element ref="ns1:Doc_x0020_Owner_x0020_-_x0020_Company" minOccurs="0"/>
                <xsd:element ref="ns1:Selected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e29db-1283-48fb-b5d4-5ceeee35c20a" elementFormDefault="qualified">
    <xsd:import namespace="http://schemas.microsoft.com/office/2006/documentManagement/types"/>
    <xsd:import namespace="http://schemas.microsoft.com/office/infopath/2007/PartnerControls"/>
    <xsd:element name="DocumentTypeManagementDocument" ma:index="0" ma:displayName="Document Type - Management Document" ma:description="Documents that facilitate the management of teams or contracts" ma:format="Dropdown" ma:internalName="DocumentTypeManagementDocument" ma:readOnly="false">
      <xsd:simpleType>
        <xsd:restriction base="dms:Choice">
          <xsd:enumeration value="Agreement"/>
          <xsd:enumeration value="Analysis"/>
          <xsd:enumeration value="Contract"/>
          <xsd:enumeration value="Financial"/>
          <xsd:enumeration value="Plan and Approvals"/>
          <xsd:enumeration value="Role"/>
          <xsd:enumeration value="Standard or Specification"/>
          <xsd:enumeration value="Team Register"/>
        </xsd:restriction>
      </xsd:simpleType>
    </xsd:element>
    <xsd:element name="Notes1" ma:index="3" nillable="true" ma:displayName="Notes" ma:internalName="Notes1">
      <xsd:simpleType>
        <xsd:restriction base="dms:Note">
          <xsd:maxLength value="255"/>
        </xsd:restriction>
      </xsd:simpleType>
    </xsd:element>
    <xsd:element name="Doc_x0020_Owner_x0020_-_x0020_Company" ma:index="8" nillable="true" ma:displayName="Doc Owner - Company" ma:default="All" ma:format="Dropdown" ma:hidden="true" ma:internalName="Doc_x0020_Owner_x0020__x002d__x0020_Company" ma:readOnly="false">
      <xsd:simpleType>
        <xsd:restriction base="dms:Choice">
          <xsd:enumeration value="All"/>
          <xsd:enumeration value="CitiPower only"/>
          <xsd:enumeration value="Powercor only"/>
          <xsd:enumeration value="CitiPower &amp; Powercor"/>
          <xsd:enumeration value="ETSA Utilities"/>
          <xsd:enumeration value="Wellington Electricity Lines"/>
          <xsd:enumeration value="Third Party"/>
        </xsd:restriction>
      </xsd:simpleType>
    </xsd:element>
    <xsd:element name="SelectedContentType" ma:index="12" nillable="true" ma:displayName="SelectedContentType" ma:hidden="true" ma:internalName="SelectedContentTyp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axOccurs="1" ma:index="2"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Synchronous</Synchronization>
    <Type>10002</Type>
    <SequenceNumber>10000</SequenceNumber>
    <Assembly>ContentTypeEventHandler, Version=1.0.0.0, Culture=neutral, PublicKeyToken=7306187a9f99cb99</Assembly>
    <Class>ContentTypeEventHandler.AutoSetContentTypeItemEventHandler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44607B-027C-4430-AC5B-77AC913D5A09}">
  <ds:schemaRefs>
    <ds:schemaRef ds:uri="http://purl.org/dc/dcmitype/"/>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452e29db-1283-48fb-b5d4-5ceeee35c20a"/>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B51D9FB9-5BB4-4DCA-AF7B-B377B025A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e29db-1283-48fb-b5d4-5ceeee35c2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2BA622-E616-47F9-AADE-3E341FBF3B13}">
  <ds:schemaRefs>
    <ds:schemaRef ds:uri="http://schemas.microsoft.com/sharepoint/events"/>
  </ds:schemaRefs>
</ds:datastoreItem>
</file>

<file path=customXml/itemProps4.xml><?xml version="1.0" encoding="utf-8"?>
<ds:datastoreItem xmlns:ds="http://schemas.openxmlformats.org/officeDocument/2006/customXml" ds:itemID="{453513A3-AF39-4CFF-B26B-B07FD0BF3C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Unit volumes</vt:lpstr>
      <vt:lpstr>Unit rate summary - phones</vt:lpstr>
      <vt:lpstr>Unit rate summary - tablets</vt:lpstr>
    </vt:vector>
  </TitlesOfParts>
  <Company>CHED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Mobile OPEX Step Change updated_v0.3c</dc:title>
  <dc:creator>Amber Edwards</dc:creator>
  <cp:lastModifiedBy>Fenella Douglas</cp:lastModifiedBy>
  <cp:lastPrinted>2014-09-29T05:17:50Z</cp:lastPrinted>
  <dcterms:created xsi:type="dcterms:W3CDTF">2014-08-04T04:26:06Z</dcterms:created>
  <dcterms:modified xsi:type="dcterms:W3CDTF">2016-01-05T03:01:52Z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0x010100D0028BF0C5DFD24FAF083FF18D968BC40300C6A4FEDDEA8CE241AA8052696D6E51EE</vt:lpwstr>
  </property>
</Properties>
</file>