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22 Final Regulatory Proposal\1 CitiPower\4 RIN documents\1 Final documents - public\"/>
    </mc:Choice>
  </mc:AlternateContent>
  <xr:revisionPtr revIDLastSave="0" documentId="13_ncr:1_{A3213140-B124-40F7-8569-9DAF6679A5B3}" xr6:coauthVersionLast="41" xr6:coauthVersionMax="41" xr10:uidLastSave="{00000000-0000-0000-0000-000000000000}"/>
  <bookViews>
    <workbookView xWindow="15855" yWindow="225" windowWidth="12165" windowHeight="16230" tabRatio="691" firstSheet="3" activeTab="3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definedNames>
    <definedName name="dollars">#REF!</definedName>
    <definedName name="factor">#REF!</definedName>
    <definedName name="millions">#REF!</definedName>
    <definedName name="number">#REF!</definedName>
    <definedName name="percent">#REF!</definedName>
    <definedName name="thousands">#REF!</definedName>
    <definedName name="unit">#REF!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3" l="1"/>
  <c r="N14" i="13"/>
  <c r="O14" i="13"/>
  <c r="P14" i="13"/>
  <c r="Q14" i="13"/>
  <c r="M22" i="13"/>
  <c r="D25" i="4"/>
  <c r="N22" i="13"/>
  <c r="E25" i="4"/>
  <c r="O22" i="13"/>
  <c r="F25" i="4"/>
  <c r="P22" i="13"/>
  <c r="G25" i="4"/>
  <c r="Q22" i="13"/>
  <c r="H25" i="4"/>
  <c r="H31" i="3"/>
  <c r="D26" i="4"/>
  <c r="M15" i="13"/>
  <c r="I31" i="3"/>
  <c r="E26" i="4"/>
  <c r="N15" i="13"/>
  <c r="J31" i="3"/>
  <c r="F26" i="4"/>
  <c r="O15" i="13"/>
  <c r="K31" i="3"/>
  <c r="G26" i="4"/>
  <c r="P15" i="13"/>
  <c r="L31" i="3"/>
  <c r="H26" i="4"/>
  <c r="D27" i="4"/>
  <c r="E27" i="4"/>
  <c r="F27" i="4"/>
  <c r="G27" i="4"/>
  <c r="H27" i="4"/>
  <c r="D28" i="4"/>
  <c r="E28" i="4"/>
  <c r="F28" i="4"/>
  <c r="G28" i="4"/>
  <c r="H28" i="4"/>
  <c r="D31" i="4"/>
  <c r="D33" i="4"/>
  <c r="D34" i="4"/>
  <c r="D36" i="4"/>
  <c r="D37" i="4"/>
  <c r="D43" i="4"/>
  <c r="E43" i="4"/>
  <c r="F43" i="4"/>
  <c r="G43" i="4"/>
  <c r="H43" i="4"/>
  <c r="H8" i="4"/>
  <c r="G8" i="4"/>
  <c r="F8" i="4"/>
  <c r="E8" i="4"/>
  <c r="D8" i="4"/>
  <c r="D10" i="4"/>
  <c r="E10" i="4"/>
  <c r="F10" i="4"/>
  <c r="G10" i="4"/>
  <c r="H10" i="4"/>
  <c r="G22" i="13"/>
  <c r="D9" i="4"/>
  <c r="D11" i="4"/>
  <c r="H22" i="13"/>
  <c r="E9" i="4"/>
  <c r="E11" i="4"/>
  <c r="I22" i="13"/>
  <c r="F9" i="4"/>
  <c r="F11" i="4"/>
  <c r="J22" i="13"/>
  <c r="G9" i="4"/>
  <c r="G11" i="4"/>
  <c r="K22" i="13"/>
  <c r="H9" i="4"/>
  <c r="H11" i="4"/>
  <c r="D12" i="4"/>
  <c r="E12" i="4"/>
  <c r="F12" i="4"/>
  <c r="G12" i="4"/>
  <c r="H12" i="4"/>
  <c r="E13" i="4"/>
  <c r="F13" i="4"/>
  <c r="G13" i="4"/>
  <c r="H13" i="4"/>
  <c r="F14" i="4"/>
  <c r="G14" i="4"/>
  <c r="H14" i="4"/>
  <c r="G15" i="4"/>
  <c r="H15" i="4"/>
  <c r="H16" i="4"/>
  <c r="E18" i="4"/>
  <c r="F18" i="4"/>
  <c r="G18" i="4"/>
  <c r="H18" i="4"/>
  <c r="G19" i="4"/>
  <c r="F19" i="4"/>
  <c r="E19" i="4"/>
  <c r="D19" i="4"/>
  <c r="D20" i="4"/>
  <c r="E20" i="4"/>
  <c r="F20" i="4"/>
  <c r="G20" i="4"/>
  <c r="H20" i="4"/>
  <c r="D21" i="4"/>
  <c r="E21" i="4"/>
  <c r="F21" i="4"/>
  <c r="G21" i="4"/>
  <c r="H21" i="4"/>
  <c r="L13" i="13"/>
  <c r="L8" i="13"/>
  <c r="A5" i="14"/>
  <c r="A6" i="14"/>
  <c r="A7" i="14"/>
  <c r="A8" i="14"/>
  <c r="A9" i="14"/>
  <c r="A10" i="14"/>
  <c r="D18" i="2"/>
  <c r="E18" i="2"/>
  <c r="F18" i="2"/>
  <c r="G18" i="2"/>
  <c r="H18" i="2"/>
  <c r="G7" i="13"/>
  <c r="F7" i="13"/>
  <c r="F30" i="3"/>
  <c r="F10" i="3"/>
  <c r="F9" i="3"/>
  <c r="F12" i="3"/>
  <c r="F8" i="3"/>
  <c r="N7" i="13"/>
  <c r="O7" i="13"/>
  <c r="P7" i="13"/>
  <c r="Q7" i="13"/>
  <c r="M7" i="13"/>
  <c r="H7" i="13"/>
  <c r="I7" i="13"/>
  <c r="J7" i="13"/>
  <c r="K7" i="13"/>
  <c r="D1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/>
  <c r="I16" i="3"/>
  <c r="L16" i="3"/>
  <c r="K16" i="3"/>
  <c r="J16" i="3"/>
  <c r="N9" i="13"/>
  <c r="O9" i="13"/>
  <c r="P9" i="13"/>
  <c r="Q9" i="13"/>
  <c r="C15" i="13"/>
  <c r="G15" i="13"/>
  <c r="H15" i="13"/>
  <c r="I15" i="13"/>
  <c r="J15" i="13"/>
  <c r="K15" i="13"/>
  <c r="L15" i="13"/>
  <c r="C10" i="13"/>
  <c r="B1" i="2"/>
  <c r="B1" i="10"/>
  <c r="D41" i="4"/>
  <c r="J6" i="10"/>
  <c r="F8" i="10"/>
  <c r="E41" i="4"/>
  <c r="K6" i="10"/>
  <c r="F41" i="4"/>
  <c r="L6" i="10"/>
  <c r="G41" i="4"/>
  <c r="M6" i="10"/>
  <c r="H41" i="4"/>
  <c r="N6" i="10"/>
  <c r="H24" i="4"/>
  <c r="G24" i="4"/>
  <c r="F24" i="4"/>
  <c r="E24" i="4"/>
  <c r="D24" i="4"/>
  <c r="H27" i="3"/>
  <c r="I27" i="3"/>
  <c r="J27" i="3"/>
  <c r="K27" i="3"/>
  <c r="L27" i="3"/>
  <c r="C43" i="4"/>
  <c r="C45" i="4"/>
  <c r="G10" i="13"/>
  <c r="H10" i="13"/>
  <c r="I10" i="13"/>
  <c r="J10" i="13"/>
  <c r="K10" i="13"/>
  <c r="L10" i="13"/>
  <c r="B1" i="5"/>
  <c r="B1" i="3"/>
  <c r="B1" i="13"/>
  <c r="B1" i="4"/>
  <c r="M10" i="13"/>
  <c r="I30" i="3"/>
  <c r="H30" i="3"/>
  <c r="N10" i="13"/>
  <c r="O10" i="13"/>
  <c r="K30" i="3"/>
  <c r="J30" i="3"/>
  <c r="P10" i="13"/>
  <c r="Q10" i="13"/>
  <c r="L30" i="3"/>
  <c r="Q15" i="13"/>
  <c r="L12" i="3"/>
  <c r="H12" i="3"/>
  <c r="K12" i="3"/>
  <c r="I12" i="3"/>
  <c r="J12" i="3"/>
  <c r="D42" i="4"/>
  <c r="E42" i="4"/>
  <c r="F42" i="4"/>
  <c r="G42" i="4"/>
  <c r="H42" i="4"/>
  <c r="L22" i="13"/>
  <c r="J23" i="3"/>
  <c r="H23" i="3"/>
  <c r="I23" i="3"/>
  <c r="K23" i="3"/>
  <c r="D35" i="4"/>
  <c r="L23" i="3"/>
  <c r="J8" i="10"/>
  <c r="K8" i="10"/>
  <c r="L8" i="10"/>
  <c r="M8" i="10"/>
  <c r="N8" i="10"/>
  <c r="O8" i="10"/>
  <c r="D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D4EB3227-41F3-496C-B7A8-65543B5A863C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<sst xmlns="http://schemas.openxmlformats.org/spreadsheetml/2006/main" count="233" uniqueCount="127">
  <si>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</si>
  <si>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</si>
  <si>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</si>
  <si>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</si>
  <si>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</si>
  <si>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</si>
  <si>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</si>
  <si>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</si>
  <si>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</si>
  <si>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</si>
  <si>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</si>
  <si>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</si>
  <si>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</si>
  <si>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</si>
  <si>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</si>
  <si>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</si>
  <si>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</si>
  <si>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</si>
  <si>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</si>
  <si>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</si>
  <si>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</si>
  <si>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</si>
  <si>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</si>
  <si>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</si>
  <si>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</si>
  <si>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</si>
  <si>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</si>
  <si>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</si>
  <si>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</si>
  <si>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</si>
  <si>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</si>
  <si>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</si>
  <si>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</si>
  <si>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</si>
  <si>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</si>
  <si>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</si>
  <si>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</si>
  <si>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</si>
  <si>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</si>
  <si>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</si>
  <si>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</si>
  <si>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</si>
  <si>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</si>
  <si>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</si>
  <si>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</si>
  <si>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</si>
  <si>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</si>
  <si>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</si>
  <si>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</si>
  <si>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</si>
  <si>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</si>
  <si>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</si>
  <si>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</si>
  <si>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</si>
  <si>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</si>
  <si>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</si>
  <si>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</si>
  <si>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</si>
  <si>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</si>
  <si>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</si>
  <si>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</si>
  <si>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</si>
  <si>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</si>
  <si>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</si>
  <si>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</si>
  <si>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</si>
  <si>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</si>
  <si>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</si>
  <si>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</si>
  <si>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</si>
  <si>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</si>
  <si>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</si>
  <si>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</si>
  <si>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</si>
  <si>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</si>
  <si>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</si>
  <si>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</si>
  <si>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</si>
  <si>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</si>
  <si>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</si>
  <si>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</si>
  <si>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</si>
  <si>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</si>
  <si>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</si>
  <si>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</si>
  <si>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</si>
  <si>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</si>
  <si>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</si>
  <si>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</si>
  <si>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</si>
  <si>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</si>
  <si>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</si>
  <si>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</si>
  <si>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</si>
  <si>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</si>
  <si>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</si>
  <si>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</si>
  <si>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</si>
  <si>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</si>
  <si>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</si>
  <si>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</si>
  <si>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</si>
  <si>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</si>
  <si>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</si>
  <si>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</si>
  <si>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</si>
  <si>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</si>
  <si>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</si>
  <si>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</si>
  <si>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</si>
  <si>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</si>
  <si>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</si>
  <si>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</si>
  <si>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</si>
  <si>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</si>
  <si>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</si>
  <si>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</si>
  <si>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</si>
  <si>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</si>
  <si>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</si>
  <si>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</si>
  <si>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</si>
  <si>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</si>
  <si>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</si>
  <si>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</si>
  <si>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Proposal</t>
  </si>
  <si>
    <t>CitiPower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</si>
</sst>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5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164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6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CitiPower 2021-26 Proposal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5"/>
  <cols>
    <col min="2" max="2" width="37.85546875" customWidth="1"/>
    <col min="3" max="3" width="23.5703125" customWidth="1"/>
    <col min="4" max="4" width="70.5703125" bestFit="1" customWidth="1"/>
    <col min="5" max="5" width="75.42578125" customWidth="1"/>
  </cols>
  <sheetData>
    <row r="1" spans="1:5" ht="18">
      <c r="A1" s="220" t="s">
        <v>109</v>
      </c>
      <c r="B1" s="211"/>
      <c r="C1" s="211"/>
      <c r="D1" s="211"/>
      <c r="E1" s="211"/>
    </row>
    <row r="2" spans="1:5" ht="15.75" thickBot="1">
      <c r="A2" s="211"/>
      <c r="B2" s="211"/>
      <c r="C2" s="211"/>
      <c r="D2" s="211"/>
      <c r="E2" s="211"/>
    </row>
    <row r="3" spans="1:5">
      <c r="A3" s="212" t="s">
        <v>105</v>
      </c>
      <c r="B3" s="213" t="s">
        <v>106</v>
      </c>
      <c r="C3" s="213" t="s">
        <v>107</v>
      </c>
      <c r="D3" s="214" t="s">
        <v>108</v>
      </c>
      <c r="E3" s="221"/>
    </row>
    <row r="4" spans="1:5" ht="41.1" customHeight="1">
      <c r="A4" s="210">
        <v>1</v>
      </c>
      <c r="B4" s="211" t="s">
        <v>31</v>
      </c>
      <c r="C4" s="211" t="s">
        <v>110</v>
      </c>
      <c r="D4" s="216" t="s">
        <v>111</v>
      </c>
      <c r="E4" s="221"/>
    </row>
    <row r="5" spans="1:5" ht="41.1" customHeight="1">
      <c r="A5" s="210">
        <f>A4+1</f>
        <v>2</v>
      </c>
      <c r="B5" s="211" t="s">
        <v>75</v>
      </c>
      <c r="C5" s="211" t="s">
        <v>112</v>
      </c>
      <c r="D5" s="216" t="s">
        <v>113</v>
      </c>
      <c r="E5" s="221"/>
    </row>
    <row r="6" spans="1:5" ht="41.1" customHeight="1">
      <c r="A6" s="210">
        <f>A5+1</f>
        <v>3</v>
      </c>
      <c r="B6" s="211" t="s">
        <v>51</v>
      </c>
      <c r="C6" s="215" t="s">
        <v>114</v>
      </c>
      <c r="D6" s="216" t="s">
        <v>118</v>
      </c>
      <c r="E6" s="221"/>
    </row>
    <row r="7" spans="1:5" ht="41.1" customHeight="1">
      <c r="A7" s="210">
        <f t="shared" ref="A7:A9" si="0">A6+1</f>
        <v>4</v>
      </c>
      <c r="B7" s="211" t="s">
        <v>54</v>
      </c>
      <c r="C7" s="211" t="s">
        <v>115</v>
      </c>
      <c r="D7" s="216" t="s">
        <v>116</v>
      </c>
      <c r="E7" s="221"/>
    </row>
    <row r="8" spans="1:5" ht="41.1" customHeight="1">
      <c r="A8" s="210">
        <f t="shared" si="0"/>
        <v>5</v>
      </c>
      <c r="B8" s="211" t="s">
        <v>54</v>
      </c>
      <c r="C8" s="211" t="s">
        <v>117</v>
      </c>
      <c r="D8" s="216" t="s">
        <v>118</v>
      </c>
      <c r="E8" s="221"/>
    </row>
    <row r="9" spans="1:5" ht="41.1" customHeight="1">
      <c r="A9" s="210">
        <f t="shared" si="0"/>
        <v>6</v>
      </c>
      <c r="B9" s="211" t="s">
        <v>54</v>
      </c>
      <c r="C9" s="211" t="s">
        <v>119</v>
      </c>
      <c r="D9" s="216" t="s">
        <v>124</v>
      </c>
      <c r="E9" s="221"/>
    </row>
    <row r="10" spans="1:5" ht="41.45" customHeight="1" thickBot="1">
      <c r="A10" s="217">
        <f t="shared" ref="A10" si="1">A9+1</f>
        <v>7</v>
      </c>
      <c r="B10" s="218" t="s">
        <v>54</v>
      </c>
      <c r="C10" s="218" t="s">
        <v>122</v>
      </c>
      <c r="D10" s="223" t="s">
        <v>123</v>
      </c>
      <c r="E10" s="211"/>
    </row>
    <row r="11" spans="1:5" ht="20.100000000000001" customHeight="1">
      <c r="A11" s="211"/>
      <c r="B11" s="211"/>
      <c r="C11" s="211"/>
      <c r="D11" s="211"/>
      <c r="E11" s="211"/>
    </row>
    <row r="12" spans="1:5" ht="20.100000000000001" customHeight="1">
      <c r="A12" s="211"/>
      <c r="B12" s="211"/>
      <c r="C12" s="211"/>
      <c r="D12" s="211"/>
      <c r="E12" s="211"/>
    </row>
    <row r="13" spans="1:5" ht="20.100000000000001" customHeight="1">
      <c r="A13" s="221"/>
      <c r="B13" s="221"/>
      <c r="C13" s="221"/>
      <c r="D13" s="221"/>
      <c r="E13" s="221"/>
    </row>
    <row r="14" spans="1:5" ht="20.100000000000001" customHeight="1">
      <c r="A14" s="221"/>
      <c r="B14" s="221"/>
      <c r="C14" s="221"/>
      <c r="D14" s="221"/>
      <c r="E14" s="221"/>
    </row>
    <row r="15" spans="1:5" ht="20.100000000000001" customHeight="1">
      <c r="A15" s="221"/>
      <c r="B15" s="221"/>
      <c r="C15" s="221"/>
      <c r="D15" s="221"/>
      <c r="E15" s="221"/>
    </row>
    <row r="16" spans="1:5" ht="20.100000000000001" customHeight="1">
      <c r="A16" s="221"/>
      <c r="B16" s="221"/>
      <c r="C16" s="221"/>
      <c r="D16" s="221"/>
      <c r="E16" s="221"/>
    </row>
    <row r="17" ht="20.100000000000001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90" zoomScaleNormal="90" workbookViewId="0">
      <selection activeCell="F14" sqref="F14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11.425781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CitiPower 2021-26 Proposal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9" t="s">
        <v>104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126</v>
      </c>
      <c r="J6" s="79"/>
      <c r="K6" s="79"/>
      <c r="L6" s="79"/>
      <c r="M6" s="79"/>
    </row>
    <row r="7" spans="1:13" s="70" customFormat="1" ht="11.25" customHeight="1">
      <c r="C7" s="69" t="s">
        <v>85</v>
      </c>
      <c r="D7" s="155" t="s">
        <v>125</v>
      </c>
      <c r="I7" s="79"/>
      <c r="J7" s="79"/>
      <c r="K7" s="79"/>
      <c r="L7" s="79"/>
    </row>
    <row r="8" spans="1:13" s="70" customFormat="1" ht="11.25" customHeight="1">
      <c r="C8" s="69" t="s">
        <v>86</v>
      </c>
      <c r="D8" s="155" t="s">
        <v>98</v>
      </c>
      <c r="J8" s="79"/>
      <c r="K8" s="79"/>
      <c r="L8" s="79"/>
      <c r="M8" s="79"/>
    </row>
    <row r="9" spans="1:13" s="70" customFormat="1" ht="11.25" customHeight="1">
      <c r="C9" s="186" t="s">
        <v>96</v>
      </c>
      <c r="D9" s="155" t="s">
        <v>97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84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5">
        <v>2016</v>
      </c>
      <c r="E13" s="195">
        <v>2017</v>
      </c>
      <c r="F13" s="195">
        <v>2018</v>
      </c>
      <c r="G13" s="195">
        <v>2019</v>
      </c>
      <c r="H13" s="195">
        <v>2020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155" t="s">
        <v>25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2021-22</v>
      </c>
      <c r="E18" s="185" t="str">
        <f>IF(LEN(D18)&gt;4,CONCATENATE(LEFT(D18,4)+1&amp;"–"&amp;IF(RIGHT(D18,2)+1&gt;9,"","0")&amp;RIGHT(D18,2)+1),D18+1)</f>
        <v>2022–23</v>
      </c>
      <c r="F18" s="185" t="str">
        <f t="shared" ref="F18:H18" si="0">IF(LEN(E18)&gt;4,CONCATENATE(LEFT(E18,4)+1&amp;"–"&amp;IF(RIGHT(E18,2)+1&gt;9,"","0")&amp;RIGHT(E18,2)+1),E18+1)</f>
        <v>2023–24</v>
      </c>
      <c r="G18" s="185" t="str">
        <f t="shared" si="0"/>
        <v>2024–25</v>
      </c>
      <c r="H18" s="185" t="str">
        <f t="shared" si="0"/>
        <v>2025–26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tabSelected="1" topLeftCell="G1" zoomScale="90" zoomScaleNormal="90" workbookViewId="0">
      <selection activeCell="M14" sqref="M14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3" width="12.7109375" style="11" customWidth="1"/>
    <col min="14" max="14" width="12.5703125" style="22" customWidth="1"/>
    <col min="15" max="17" width="12.7109375" style="24" customWidth="1"/>
    <col min="18" max="19" width="2.85546875" style="24" customWidth="1"/>
    <col min="20" max="33" width="12.7109375" style="24" hidden="1" customWidth="1"/>
    <col min="34" max="16384" width="9.140625" style="24" hidden="1"/>
  </cols>
  <sheetData>
    <row r="1" spans="1:21" s="11" customFormat="1" ht="18" customHeight="1">
      <c r="B1" s="3" t="str">
        <f>'Input | General'!$B$1</f>
        <v>CitiPower 2021-26 Proposal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9" t="s">
        <v>104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2015</v>
      </c>
      <c r="G7" s="171">
        <f>'Input | General'!D13</f>
        <v>2016</v>
      </c>
      <c r="H7" s="171">
        <f>'Input | General'!E13</f>
        <v>2017</v>
      </c>
      <c r="I7" s="171">
        <f>'Input | General'!F13</f>
        <v>2018</v>
      </c>
      <c r="J7" s="171">
        <f>'Input | General'!G13</f>
        <v>2019</v>
      </c>
      <c r="K7" s="171">
        <f>'Input | General'!H13</f>
        <v>2020</v>
      </c>
      <c r="L7" s="193" t="s">
        <v>99</v>
      </c>
      <c r="M7" s="171" t="str">
        <f>'Input | General'!D18</f>
        <v>2021-22</v>
      </c>
      <c r="N7" s="171" t="str">
        <f>'Input | General'!E18</f>
        <v>2022–23</v>
      </c>
      <c r="O7" s="171" t="str">
        <f>'Input | General'!F18</f>
        <v>2023–24</v>
      </c>
      <c r="P7" s="171" t="str">
        <f>'Input | General'!G18</f>
        <v>2024–25</v>
      </c>
      <c r="Q7" s="171" t="str">
        <f>'Input | General'!H18</f>
        <v>2025–26</v>
      </c>
    </row>
    <row r="8" spans="1:21" ht="11.25" customHeight="1">
      <c r="A8" s="11"/>
      <c r="B8" s="11"/>
      <c r="C8" s="80" t="s">
        <v>77</v>
      </c>
      <c r="D8" s="78" t="s">
        <v>82</v>
      </c>
      <c r="E8" s="78" t="s">
        <v>47</v>
      </c>
      <c r="F8" s="78"/>
      <c r="G8" s="156">
        <v>1.0232558139534831E-2</v>
      </c>
      <c r="H8" s="156">
        <v>1.9337016574585641E-2</v>
      </c>
      <c r="I8" s="156">
        <v>2.0776874435411097E-2</v>
      </c>
      <c r="J8" s="156">
        <v>1.5929203539823078E-2</v>
      </c>
      <c r="K8" s="156">
        <v>2.000000000000024E-2</v>
      </c>
      <c r="L8" s="194">
        <f>(1.022)^0.5-1</f>
        <v>1.0940156488008945E-2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82</v>
      </c>
      <c r="E9" s="78" t="s">
        <v>47</v>
      </c>
      <c r="F9" s="78"/>
      <c r="G9" s="126"/>
      <c r="H9" s="126"/>
      <c r="I9" s="126"/>
      <c r="J9" s="126"/>
      <c r="K9" s="126"/>
      <c r="L9" s="126"/>
      <c r="M9" s="156">
        <v>2.3998043050028173E-2</v>
      </c>
      <c r="N9" s="139">
        <f t="shared" ref="N9:Q9" si="0">M9</f>
        <v>2.3998043050028173E-2</v>
      </c>
      <c r="O9" s="139">
        <f t="shared" si="0"/>
        <v>2.3998043050028173E-2</v>
      </c>
      <c r="P9" s="139">
        <f t="shared" si="0"/>
        <v>2.3998043050028173E-2</v>
      </c>
      <c r="Q9" s="139">
        <f t="shared" si="0"/>
        <v>2.3998043050028173E-2</v>
      </c>
    </row>
    <row r="10" spans="1:21" ht="11.25" customHeight="1">
      <c r="A10" s="11"/>
      <c r="B10" s="11"/>
      <c r="C10" s="136" t="str">
        <f>"CPI Index (base year "&amp;F7&amp;")"</f>
        <v>CPI Index (base year 2015)</v>
      </c>
      <c r="D10" s="78" t="s">
        <v>82</v>
      </c>
      <c r="E10" s="78" t="s">
        <v>26</v>
      </c>
      <c r="F10" s="134">
        <v>1</v>
      </c>
      <c r="G10" s="121">
        <f t="shared" ref="G10:L10" si="1">IF(G7&lt;&gt;"",(F10*(1+G8)),"")</f>
        <v>1.0102325581395348</v>
      </c>
      <c r="H10" s="121">
        <f t="shared" si="1"/>
        <v>1.029767441860465</v>
      </c>
      <c r="I10" s="121">
        <f t="shared" si="1"/>
        <v>1.0511627906976744</v>
      </c>
      <c r="J10" s="121">
        <f t="shared" si="1"/>
        <v>1.067906976744186</v>
      </c>
      <c r="K10" s="121">
        <f t="shared" si="1"/>
        <v>1.0892651162790701</v>
      </c>
      <c r="L10" s="121">
        <f t="shared" si="1"/>
        <v>1.1011818471080923</v>
      </c>
      <c r="M10" s="87">
        <f>IF(M7&lt;&gt;"",(L10*(1+M9)),"")</f>
        <v>1.1276080564809019</v>
      </c>
      <c r="N10" s="87">
        <f t="shared" ref="N10:Q10" si="2">IF(N7&lt;&gt;"",(M10*(1+N9)),"")</f>
        <v>1.1546684431638892</v>
      </c>
      <c r="O10" s="87">
        <f t="shared" si="2"/>
        <v>1.1823782261714453</v>
      </c>
      <c r="P10" s="87">
        <f t="shared" si="2"/>
        <v>1.2107529897445235</v>
      </c>
      <c r="Q10" s="87">
        <f t="shared" si="2"/>
        <v>1.2398086921153628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v>1.0232558139534831E-2</v>
      </c>
      <c r="H13" s="156">
        <v>1.9337016574585641E-2</v>
      </c>
      <c r="I13" s="156">
        <v>2.0776874435411097E-2</v>
      </c>
      <c r="J13" s="156">
        <v>1.5929203539823078E-2</v>
      </c>
      <c r="K13" s="156">
        <v>2.000000000000024E-2</v>
      </c>
      <c r="L13" s="194">
        <f>(1.022)^0.5-1</f>
        <v>1.0940156488008945E-2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156">
        <f>M9</f>
        <v>2.3998043050028173E-2</v>
      </c>
      <c r="N14" s="139">
        <f t="shared" ref="N14:Q14" si="3">M14</f>
        <v>2.3998043050028173E-2</v>
      </c>
      <c r="O14" s="139">
        <f t="shared" si="3"/>
        <v>2.3998043050028173E-2</v>
      </c>
      <c r="P14" s="139">
        <f t="shared" si="3"/>
        <v>2.3998043050028173E-2</v>
      </c>
      <c r="Q14" s="139">
        <f t="shared" si="3"/>
        <v>2.3998043050028173E-2</v>
      </c>
    </row>
    <row r="15" spans="1:21" ht="11.25" customHeight="1">
      <c r="A15" s="11"/>
      <c r="B15" s="11"/>
      <c r="C15" s="136" t="str">
        <f>"CPI Index (base year "&amp;F7&amp;")"</f>
        <v>CPI Index (base year 2015)</v>
      </c>
      <c r="D15" s="78" t="s">
        <v>45</v>
      </c>
      <c r="E15" s="78" t="s">
        <v>26</v>
      </c>
      <c r="F15" s="134">
        <v>1</v>
      </c>
      <c r="G15" s="121">
        <f t="shared" ref="G15:L15" si="4">IF(G7&lt;&gt;"",(F15*(1+G13)),"")</f>
        <v>1.0102325581395348</v>
      </c>
      <c r="H15" s="121">
        <f t="shared" si="4"/>
        <v>1.029767441860465</v>
      </c>
      <c r="I15" s="121">
        <f t="shared" si="4"/>
        <v>1.0511627906976744</v>
      </c>
      <c r="J15" s="190">
        <f t="shared" si="4"/>
        <v>1.067906976744186</v>
      </c>
      <c r="K15" s="191">
        <f t="shared" si="4"/>
        <v>1.0892651162790701</v>
      </c>
      <c r="L15" s="190">
        <f t="shared" si="4"/>
        <v>1.1011818471080923</v>
      </c>
      <c r="M15" s="191">
        <f>IF(M7&lt;&gt;"",(L15*(1+M14)),"")</f>
        <v>1.1276080564809019</v>
      </c>
      <c r="N15" s="87">
        <f t="shared" ref="N15:Q15" si="5">IF(N7&lt;&gt;"",(M15*(1+N14)),"")</f>
        <v>1.1546684431638892</v>
      </c>
      <c r="O15" s="87">
        <f t="shared" si="5"/>
        <v>1.1823782261714453</v>
      </c>
      <c r="P15" s="87">
        <f t="shared" si="5"/>
        <v>1.2107529897445235</v>
      </c>
      <c r="Q15" s="87">
        <f t="shared" si="5"/>
        <v>1.2398086921153628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2016</v>
      </c>
      <c r="H19" s="171">
        <f t="shared" ref="H19:Q19" si="6">H7</f>
        <v>2017</v>
      </c>
      <c r="I19" s="171">
        <f t="shared" si="6"/>
        <v>2018</v>
      </c>
      <c r="J19" s="171">
        <f t="shared" si="6"/>
        <v>2019</v>
      </c>
      <c r="K19" s="171">
        <f t="shared" si="6"/>
        <v>2020</v>
      </c>
      <c r="L19" s="193" t="s">
        <v>99</v>
      </c>
      <c r="M19" s="171" t="str">
        <f t="shared" si="6"/>
        <v>2021-22</v>
      </c>
      <c r="N19" s="171" t="str">
        <f t="shared" si="6"/>
        <v>2022–23</v>
      </c>
      <c r="O19" s="171" t="str">
        <f t="shared" si="6"/>
        <v>2023–24</v>
      </c>
      <c r="P19" s="171" t="str">
        <f t="shared" si="6"/>
        <v>2024–25</v>
      </c>
      <c r="Q19" s="171" t="str">
        <f t="shared" si="6"/>
        <v>2025–26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>
        <v>3.6700024103140591E-2</v>
      </c>
      <c r="H20" s="156">
        <v>3.6127568814887212E-2</v>
      </c>
      <c r="I20" s="156">
        <v>3.5630478851561828E-2</v>
      </c>
      <c r="J20" s="156">
        <v>3.5080474747029383E-2</v>
      </c>
      <c r="K20" s="156">
        <v>3.3621044143256104E-2</v>
      </c>
      <c r="L20" s="194">
        <v>1.2052226498834306E-2</v>
      </c>
      <c r="M20" s="127"/>
      <c r="N20" s="127"/>
      <c r="O20" s="127"/>
      <c r="P20" s="127"/>
      <c r="Q20" s="127"/>
    </row>
    <row r="21" spans="1:17" ht="11.25" customHeight="1">
      <c r="C21" s="149" t="s">
        <v>92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156">
        <v>2.3296580637369103E-2</v>
      </c>
      <c r="N21" s="156">
        <v>2.2001923605414309E-2</v>
      </c>
      <c r="O21" s="156">
        <v>2.0707266573459782E-2</v>
      </c>
      <c r="P21" s="156">
        <v>1.9412609541505123E-2</v>
      </c>
      <c r="Q21" s="156">
        <v>1.8117952509550329E-2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7">IF(AND(G13&lt;&gt;"",G20&lt;&gt;""),((1+G20)*(1+G13)-1),"")</f>
        <v>4.7308117373033198E-2</v>
      </c>
      <c r="H22" s="140">
        <f t="shared" si="7"/>
        <v>5.6163184786445886E-2</v>
      </c>
      <c r="I22" s="140">
        <f t="shared" si="7"/>
        <v>5.7147643272145388E-2</v>
      </c>
      <c r="J22" s="140">
        <f t="shared" si="7"/>
        <v>5.156848230937161E-2</v>
      </c>
      <c r="K22" s="140">
        <f t="shared" si="7"/>
        <v>5.4293465026121535E-2</v>
      </c>
      <c r="L22" s="196">
        <f t="shared" si="7"/>
        <v>2.3124236230769535E-2</v>
      </c>
      <c r="M22" s="140">
        <f>IF(AND(M14&lt;&gt;"",M21&lt;&gt;""),((1+M21)*(1+M14)-1),"")</f>
        <v>4.7853696032451376E-2</v>
      </c>
      <c r="N22" s="140">
        <f t="shared" ref="N22:Q22" si="8">IF(AND(N14&lt;&gt;"",N21&lt;&gt;""),((1+N21)*(1+N14)-1),"")</f>
        <v>4.6527969765308708E-2</v>
      </c>
      <c r="O22" s="140">
        <f t="shared" si="8"/>
        <v>4.5202243498166261E-2</v>
      </c>
      <c r="P22" s="140">
        <f t="shared" si="8"/>
        <v>4.3876517231023593E-2</v>
      </c>
      <c r="Q22" s="140">
        <f t="shared" si="8"/>
        <v>4.2550790963880925E-2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109"/>
  <sheetViews>
    <sheetView topLeftCell="D1" zoomScale="90" zoomScaleNormal="90" workbookViewId="0">
      <selection activeCell="L30" sqref="L30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CitiPower 2021-26 Proposal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9" t="s">
        <v>104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2016</v>
      </c>
      <c r="I6" s="173">
        <f>IF('Input | General'!E14="Yes",'Input | General'!E13,"n/a")</f>
        <v>2017</v>
      </c>
      <c r="J6" s="173">
        <f>IF('Input | General'!F14="Yes",'Input | General'!F13,"n/a")</f>
        <v>2018</v>
      </c>
      <c r="K6" s="173">
        <f>IF('Input | General'!G14="Yes",'Input | General'!G13,"n/a")</f>
        <v>2019</v>
      </c>
      <c r="L6" s="173">
        <f>IF('Input | General'!H14="Yes",'Input | General'!H13,"n/a")</f>
        <v>2020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2015</v>
      </c>
      <c r="G8" s="68"/>
      <c r="H8" s="157">
        <v>192.88143162320191</v>
      </c>
      <c r="I8" s="157">
        <v>230.57043700416415</v>
      </c>
      <c r="J8" s="157">
        <v>203.65040153058968</v>
      </c>
      <c r="K8" s="157">
        <v>174.76121120619683</v>
      </c>
      <c r="L8" s="157">
        <v>143.3639384866068</v>
      </c>
      <c r="M8" s="2"/>
      <c r="N8" s="2"/>
    </row>
    <row r="9" spans="2:14" ht="10.5" customHeight="1">
      <c r="C9" s="80" t="s">
        <v>94</v>
      </c>
      <c r="D9" s="78" t="s">
        <v>45</v>
      </c>
      <c r="E9" s="78" t="s">
        <v>46</v>
      </c>
      <c r="F9" s="176">
        <f>'Input | Inflation and Disc Rate'!$F$7</f>
        <v>2015</v>
      </c>
      <c r="G9" s="68"/>
      <c r="H9" s="157">
        <v>32.600867101726827</v>
      </c>
      <c r="I9" s="157">
        <v>39.9194009971119</v>
      </c>
      <c r="J9" s="157">
        <v>34.639428756196509</v>
      </c>
      <c r="K9" s="157">
        <v>31.850217255829492</v>
      </c>
      <c r="L9" s="157">
        <v>31.42049722942641</v>
      </c>
      <c r="M9" s="2"/>
      <c r="N9" s="2"/>
    </row>
    <row r="10" spans="2:14" ht="10.5" customHeight="1">
      <c r="C10" s="80" t="s">
        <v>88</v>
      </c>
      <c r="D10" s="78" t="s">
        <v>45</v>
      </c>
      <c r="E10" s="78" t="s">
        <v>46</v>
      </c>
      <c r="F10" s="176">
        <f>'Input | Inflation and Disc Rate'!$F$7</f>
        <v>2015</v>
      </c>
      <c r="G10" s="68"/>
      <c r="H10" s="157">
        <v>0.25836500000000001</v>
      </c>
      <c r="I10" s="157">
        <v>0.25836500000000001</v>
      </c>
      <c r="J10" s="157">
        <v>0.25836500000000001</v>
      </c>
      <c r="K10" s="157">
        <v>0.25836500000000001</v>
      </c>
      <c r="L10" s="157">
        <v>0.25836500000000001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2015</v>
      </c>
      <c r="G12" s="68"/>
      <c r="H12" s="66">
        <f>IF(H6="", "", H8-H9-H10)</f>
        <v>160.02219952147507</v>
      </c>
      <c r="I12" s="66">
        <f t="shared" ref="I12:L12" si="0">IF(I6="", "", I8-I9-I10)</f>
        <v>190.39267100705226</v>
      </c>
      <c r="J12" s="66">
        <f t="shared" si="0"/>
        <v>168.75260777439317</v>
      </c>
      <c r="K12" s="66">
        <f t="shared" si="0"/>
        <v>142.65262895036736</v>
      </c>
      <c r="L12" s="66">
        <f t="shared" si="0"/>
        <v>111.68507625718038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2016</v>
      </c>
      <c r="I16" s="173">
        <f t="shared" ref="I16:L16" si="1">I6</f>
        <v>2017</v>
      </c>
      <c r="J16" s="173">
        <f t="shared" si="1"/>
        <v>2018</v>
      </c>
      <c r="K16" s="173">
        <f t="shared" si="1"/>
        <v>2019</v>
      </c>
      <c r="L16" s="173">
        <f t="shared" si="1"/>
        <v>2020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8">
        <v>162.33166188015332</v>
      </c>
      <c r="I18" s="158">
        <v>134.93800658334476</v>
      </c>
      <c r="J18" s="158">
        <v>153.77657243020221</v>
      </c>
      <c r="K18" s="158">
        <v>173.761827162624</v>
      </c>
      <c r="L18" s="158">
        <v>210.05080378274866</v>
      </c>
    </row>
    <row r="19" spans="2:14" s="2" customFormat="1" ht="10.5" customHeight="1">
      <c r="B19" s="73"/>
      <c r="C19" s="80" t="s">
        <v>94</v>
      </c>
      <c r="D19" s="78" t="s">
        <v>45</v>
      </c>
      <c r="E19" s="78" t="s">
        <v>46</v>
      </c>
      <c r="F19" s="78" t="s">
        <v>49</v>
      </c>
      <c r="G19" s="138"/>
      <c r="H19" s="158">
        <v>44.29357579496687</v>
      </c>
      <c r="I19" s="158">
        <v>46.075735999999999</v>
      </c>
      <c r="J19" s="158">
        <v>51.709904070000007</v>
      </c>
      <c r="K19" s="158">
        <v>51.778844434500627</v>
      </c>
      <c r="L19" s="158">
        <v>59.177351955161186</v>
      </c>
    </row>
    <row r="20" spans="2:14" s="2" customFormat="1" ht="10.5" customHeight="1">
      <c r="B20" s="73"/>
      <c r="C20" s="137" t="s">
        <v>88</v>
      </c>
      <c r="D20" s="78" t="s">
        <v>45</v>
      </c>
      <c r="E20" s="78" t="s">
        <v>46</v>
      </c>
      <c r="F20" s="78" t="s">
        <v>49</v>
      </c>
      <c r="G20" s="138"/>
      <c r="H20" s="158">
        <v>6.4660350000000005E-2</v>
      </c>
      <c r="I20" s="158">
        <v>0.41702899999999998</v>
      </c>
      <c r="J20" s="158">
        <v>0.75274277000000001</v>
      </c>
      <c r="K20" s="158">
        <v>0.41803188016519183</v>
      </c>
      <c r="L20" s="158">
        <v>0.42639251776849574</v>
      </c>
    </row>
    <row r="21" spans="2:14" s="2" customFormat="1" ht="10.5" customHeight="1">
      <c r="B21" s="73"/>
      <c r="C21" s="151" t="s">
        <v>93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117.97342573518645</v>
      </c>
      <c r="I23" s="66">
        <f t="shared" ref="I23:L23" si="2">IF(I16="", "", I18-I19-I20-I21)</f>
        <v>88.445241583344753</v>
      </c>
      <c r="J23" s="66">
        <f t="shared" si="2"/>
        <v>101.3139255902022</v>
      </c>
      <c r="K23" s="66">
        <f t="shared" si="2"/>
        <v>121.56495084795819</v>
      </c>
      <c r="L23" s="66">
        <f t="shared" si="2"/>
        <v>150.44705930981897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2021-22</v>
      </c>
      <c r="I27" s="173" t="str">
        <f>'Input | General'!E18</f>
        <v>2022–23</v>
      </c>
      <c r="J27" s="173" t="str">
        <f>'Input | General'!F18</f>
        <v>2023–24</v>
      </c>
      <c r="K27" s="173" t="str">
        <f>'Input | General'!G18</f>
        <v>2024–25</v>
      </c>
      <c r="L27" s="173" t="str">
        <f>'Input | General'!H18</f>
        <v>2025–26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81</v>
      </c>
      <c r="D29" s="65" t="s">
        <v>82</v>
      </c>
      <c r="E29" s="78" t="s">
        <v>46</v>
      </c>
      <c r="F29" s="78" t="s">
        <v>49</v>
      </c>
      <c r="G29" s="68"/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2"/>
      <c r="N29" s="2"/>
    </row>
    <row r="30" spans="2:14" ht="11.25" customHeight="1">
      <c r="C30" s="84" t="s">
        <v>81</v>
      </c>
      <c r="D30" s="65" t="s">
        <v>56</v>
      </c>
      <c r="E30" s="78" t="s">
        <v>46</v>
      </c>
      <c r="F30" s="78">
        <f>'Input | Inflation and Disc Rate'!$F$7</f>
        <v>2015</v>
      </c>
      <c r="G30" s="68"/>
      <c r="H30" s="197">
        <f>IF(H29&lt;&gt;"",H29/('Input | Inflation and Disc Rate'!L10*(1+'Input | Inflation and Disc Rate'!M9)^0.5),"")</f>
        <v>0</v>
      </c>
      <c r="I30" s="197">
        <f>IF(I29&lt;&gt;"",I29/('Input | Inflation and Disc Rate'!M10*(1+'Input | Inflation and Disc Rate'!N9)^0.5),"")</f>
        <v>0</v>
      </c>
      <c r="J30" s="197">
        <f>IF(J29&lt;&gt;"",J29/('Input | Inflation and Disc Rate'!N10*(1+'Input | Inflation and Disc Rate'!O9)^0.5),"")</f>
        <v>0</v>
      </c>
      <c r="K30" s="197">
        <f>IF(K29&lt;&gt;"",K29/('Input | Inflation and Disc Rate'!O10*(1+'Input | Inflation and Disc Rate'!P9)^0.5),"")</f>
        <v>0</v>
      </c>
      <c r="L30" s="197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81</v>
      </c>
      <c r="D31" s="65" t="s">
        <v>45</v>
      </c>
      <c r="E31" s="78" t="s">
        <v>46</v>
      </c>
      <c r="F31" s="78" t="s">
        <v>49</v>
      </c>
      <c r="G31" s="68"/>
      <c r="H31" s="197">
        <f>IF(H29&lt;&gt;"",H30*'Input | Inflation and Disc Rate'!L15*(1+'Input | Inflation and Disc Rate'!M14)^0.5,"")</f>
        <v>0</v>
      </c>
      <c r="I31" s="197">
        <f>IF(I29&lt;&gt;"",I30*'Input | Inflation and Disc Rate'!M15*(1+'Input | Inflation and Disc Rate'!N14)^0.5,"")</f>
        <v>0</v>
      </c>
      <c r="J31" s="197">
        <f>IF(J29&lt;&gt;"",J30*'Input | Inflation and Disc Rate'!N15*(1+'Input | Inflation and Disc Rate'!O14)^0.5,"")</f>
        <v>0</v>
      </c>
      <c r="K31" s="197">
        <f>IF(K29&lt;&gt;"",K30*'Input | Inflation and Disc Rate'!O15*(1+'Input | Inflation and Disc Rate'!P14)^0.5,"")</f>
        <v>0</v>
      </c>
      <c r="L31" s="197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10">
    <cfRule type="expression" dxfId="5" priority="20">
      <formula>IF($H$6&lt;&gt;"","FALSE","TRUE")</formula>
    </cfRule>
  </conditionalFormatting>
  <conditionalFormatting sqref="H19:L20">
    <cfRule type="expression" dxfId="4" priority="10">
      <formula>IF($H$6&lt;&gt;"","FALSE","TRUE")</formula>
    </cfRule>
  </conditionalFormatting>
  <conditionalFormatting sqref="H29:L29">
    <cfRule type="expression" dxfId="3" priority="4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18:L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4"/>
  <sheetViews>
    <sheetView topLeftCell="B1" zoomScale="80" zoomScaleNormal="80" workbookViewId="0">
      <selection activeCell="D43" sqref="D43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CitiPower 2021-26 Proposal - Capital expenditure sharing scheme model</v>
      </c>
      <c r="D1" s="106" t="s">
        <v>43</v>
      </c>
      <c r="E1" s="154" t="s">
        <v>44</v>
      </c>
      <c r="F1" s="159" t="s">
        <v>32</v>
      </c>
      <c r="G1" s="219" t="s">
        <v>104</v>
      </c>
      <c r="H1" s="222" t="s">
        <v>103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2016</v>
      </c>
      <c r="E7" s="173">
        <f>IF('Input | General'!E14="Yes",'Input | General'!E13,"n/a")</f>
        <v>2017</v>
      </c>
      <c r="F7" s="173">
        <f>IF('Input | General'!F14="Yes",'Input | General'!F13,"n/a")</f>
        <v>2018</v>
      </c>
      <c r="G7" s="173">
        <f>IF('Input | General'!G14="Yes",'Input | General'!G13,"n/a")</f>
        <v>2019</v>
      </c>
      <c r="H7" s="178">
        <f>IF('Input | General'!H14="Yes",'Input | General'!H13,"n/a")</f>
        <v>2020</v>
      </c>
      <c r="I7" s="97"/>
    </row>
    <row r="8" spans="2:23" ht="11.25" customHeight="1">
      <c r="C8" s="141" t="s">
        <v>90</v>
      </c>
      <c r="D8" s="160">
        <f>'Input | Inflation and Disc Rate'!G20</f>
        <v>3.6700024103140591E-2</v>
      </c>
      <c r="E8" s="161">
        <f>'Input | Inflation and Disc Rate'!H20</f>
        <v>3.6127568814887212E-2</v>
      </c>
      <c r="F8" s="161">
        <f>'Input | Inflation and Disc Rate'!I20</f>
        <v>3.5630478851561828E-2</v>
      </c>
      <c r="G8" s="161">
        <f>'Input | Inflation and Disc Rate'!J20</f>
        <v>3.5080474747029383E-2</v>
      </c>
      <c r="H8" s="162">
        <f>'Input | Inflation and Disc Rate'!K20</f>
        <v>3.3621044143256104E-2</v>
      </c>
      <c r="I8" s="97"/>
      <c r="J8" s="79"/>
      <c r="K8" s="79"/>
    </row>
    <row r="9" spans="2:23" ht="11.25" customHeight="1">
      <c r="C9" s="144" t="s">
        <v>91</v>
      </c>
      <c r="D9" s="161">
        <f>'Input | Inflation and Disc Rate'!G22</f>
        <v>4.7308117373033198E-2</v>
      </c>
      <c r="E9" s="161">
        <f>'Input | Inflation and Disc Rate'!H22</f>
        <v>5.6163184786445886E-2</v>
      </c>
      <c r="F9" s="161">
        <f>'Input | Inflation and Disc Rate'!I22</f>
        <v>5.7147643272145388E-2</v>
      </c>
      <c r="G9" s="161">
        <f>'Input | Inflation and Disc Rate'!J22</f>
        <v>5.156848230937161E-2</v>
      </c>
      <c r="H9" s="162">
        <f>'Input | Inflation and Disc Rate'!K22</f>
        <v>5.4293465026121535E-2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164.59936326359855</v>
      </c>
      <c r="E10" s="164">
        <f>'Input | Reported Capex'!I$12*'Input | Inflation and Disc Rate'!H$15*(1+'Input | Inflation and Disc Rate'!H$20)^0.5</f>
        <v>199.5703403195395</v>
      </c>
      <c r="F10" s="164">
        <f>'Input | Reported Capex'!J$12*'Input | Inflation and Disc Rate'!I$15*(1+'Input | Inflation and Disc Rate'!I$20)^0.5</f>
        <v>180.51898531440008</v>
      </c>
      <c r="G10" s="164">
        <f>'Input | Reported Capex'!K$12*'Input | Inflation and Disc Rate'!J$15*(1+'Input | Inflation and Disc Rate'!J$20)^0.5</f>
        <v>154.98878070007467</v>
      </c>
      <c r="H10" s="165">
        <f>'Input | Reported Capex'!L$12*'Input | Inflation and Disc Rate'!K$15*(1+'Input | Inflation and Disc Rate'!K$20)^0.5</f>
        <v>123.68282949564905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120.73173048248201</v>
      </c>
      <c r="E11" s="164">
        <f>'Input | Reported Capex'!I23*(1+E$9)^0.5</f>
        <v>90.894998124937089</v>
      </c>
      <c r="F11" s="164">
        <f>'Input | Reported Capex'!J23*(1+F$9)^0.5</f>
        <v>104.16863328813969</v>
      </c>
      <c r="G11" s="164">
        <f>'Input | Reported Capex'!K23*(1+G$9)^0.5</f>
        <v>124.66001054240434</v>
      </c>
      <c r="H11" s="165">
        <f>'Input | Reported Capex'!L23*(1+H$9)^0.5</f>
        <v>154.47722547017258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43.867632781116541</v>
      </c>
      <c r="E12" s="142">
        <f>(E10-E11)</f>
        <v>108.67534219460241</v>
      </c>
      <c r="F12" s="142">
        <f t="shared" ref="F12:H12" si="0">(F10-F11)</f>
        <v>76.350352026260396</v>
      </c>
      <c r="G12" s="142">
        <f t="shared" si="0"/>
        <v>30.328770157670334</v>
      </c>
      <c r="H12" s="145">
        <f t="shared" si="0"/>
        <v>-30.794395974523539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1.58483092204599</v>
      </c>
      <c r="F13" s="142">
        <f>$D$12*$F$8*(1+'Input | Inflation and Disc Rate'!H13)</f>
        <v>1.5932489978063979</v>
      </c>
      <c r="G13" s="142">
        <f>$D$12*$G$8*(1+'Input | Inflation and Disc Rate'!H13)*(1+'Input | Inflation and Disc Rate'!I13)</f>
        <v>1.601246817595402</v>
      </c>
      <c r="H13" s="145">
        <f>$D$12*$H$8*(1+'Input | Inflation and Disc Rate'!H13)*(1+'Input | Inflation and Disc Rate'!I13)*(1+'Input | Inflation and Disc Rate'!J13)</f>
        <v>1.559076620337744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3.8721544817510258</v>
      </c>
      <c r="G14" s="142">
        <f>$E$12*G$8*(1+'Input | Inflation and Disc Rate'!I13)</f>
        <v>3.8915919920101674</v>
      </c>
      <c r="H14" s="145">
        <f>$E$12*H$8*(1+'Input | Inflation and Disc Rate'!I13)*(1+'Input | Inflation and Disc Rate'!J13)</f>
        <v>3.7891036059936791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2.6784065961840313</v>
      </c>
      <c r="H15" s="145">
        <f>$F$12*$H$8*(1+'Input | Inflation and Disc Rate'!J13)</f>
        <v>2.6078684797261897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1.0196849202817027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1.58483092204599</v>
      </c>
      <c r="F18" s="146">
        <f t="shared" ref="F18:H18" si="1">SUM(F13:F17)</f>
        <v>5.4654034795574233</v>
      </c>
      <c r="G18" s="146">
        <f t="shared" si="1"/>
        <v>8.1712454057896</v>
      </c>
      <c r="H18" s="147">
        <f t="shared" si="1"/>
        <v>8.9757336263393164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89</v>
      </c>
      <c r="D19" s="122">
        <f>E19*(1+E$9)</f>
        <v>1.2378435169380029</v>
      </c>
      <c r="E19" s="146">
        <f>F19*(1+F$9)</f>
        <v>1.1720191867777443</v>
      </c>
      <c r="F19" s="146">
        <f>G19*(1+G$9)</f>
        <v>1.1086617789262072</v>
      </c>
      <c r="G19" s="146">
        <f>H19*(1+H$9)</f>
        <v>1.0542934650261215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6" t="s">
        <v>101</v>
      </c>
      <c r="D20" s="89">
        <f>D12*D19</f>
        <v>54.301264841522126</v>
      </c>
      <c r="E20" s="142">
        <f>E12*E19</f>
        <v>127.369586181711</v>
      </c>
      <c r="F20" s="142">
        <f t="shared" ref="F20:H20" si="2">F12*F19</f>
        <v>84.646717099076</v>
      </c>
      <c r="G20" s="142">
        <f t="shared" si="2"/>
        <v>31.975424179511087</v>
      </c>
      <c r="H20" s="145">
        <f t="shared" si="2"/>
        <v>-30.794395974523539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7" t="s">
        <v>102</v>
      </c>
      <c r="D21" s="90">
        <f>D18*D19</f>
        <v>0</v>
      </c>
      <c r="E21" s="146">
        <f>E18*E19</f>
        <v>1.8574522484365639</v>
      </c>
      <c r="F21" s="146">
        <f t="shared" ref="F21:H21" si="3">F18*F19</f>
        <v>6.0592839441956157</v>
      </c>
      <c r="G21" s="146">
        <f t="shared" si="3"/>
        <v>8.6148906324486934</v>
      </c>
      <c r="H21" s="147">
        <f t="shared" si="3"/>
        <v>8.9757336263393164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2021-22</v>
      </c>
      <c r="E24" s="179" t="str">
        <f>'Input | General'!$E$18</f>
        <v>2022–23</v>
      </c>
      <c r="F24" s="179" t="str">
        <f>'Input | General'!$F$18</f>
        <v>2023–24</v>
      </c>
      <c r="G24" s="179" t="str">
        <f>'Input | General'!$G$18</f>
        <v>2024–25</v>
      </c>
      <c r="H24" s="180" t="str">
        <f>'Input | General'!$H$18</f>
        <v>2025–26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4.7853696032451376E-2</v>
      </c>
      <c r="E25" s="167">
        <f>'Input | Inflation and Disc Rate'!N$22</f>
        <v>4.6527969765308708E-2</v>
      </c>
      <c r="F25" s="167">
        <f>'Input | Inflation and Disc Rate'!O$22</f>
        <v>4.5202243498166261E-2</v>
      </c>
      <c r="G25" s="167">
        <f>'Input | Inflation and Disc Rate'!P$22</f>
        <v>4.3876517231023593E-2</v>
      </c>
      <c r="H25" s="168">
        <f>'Input | Inflation and Disc Rate'!Q$22</f>
        <v>4.2550790963880925E-2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0</v>
      </c>
      <c r="E26" s="164">
        <f>'Input | Reported Capex'!I31</f>
        <v>0</v>
      </c>
      <c r="F26" s="164">
        <f>'Input | Reported Capex'!J31</f>
        <v>0</v>
      </c>
      <c r="G26" s="164">
        <f>'Input | Reported Capex'!K31</f>
        <v>0</v>
      </c>
      <c r="H26" s="165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1">
        <f>1/((1+D25)^(0.5)*(1+'Input | Inflation and Disc Rate'!$L$22))</f>
        <v>0.95481955003116148</v>
      </c>
      <c r="E27" s="199">
        <f>1/((1+E25)^(0.5)*(1+D25)*(1+'Input | Inflation and Disc Rate'!$L$22))</f>
        <v>0.91179153915613398</v>
      </c>
      <c r="F27" s="199">
        <f>1/((1+F25)^(0.5)*(1+E25)*(1+D25)*(1+'Input | Inflation and Disc Rate'!$L$22))</f>
        <v>0.87180623629723597</v>
      </c>
      <c r="G27" s="199">
        <f>1/((1+G25)^(0.5)*(1+F25)*(1+E25)*(1+D25)*(1+'Input | Inflation and Disc Rate'!$L$22))</f>
        <v>0.83463240183230558</v>
      </c>
      <c r="H27" s="200">
        <f>1/((1+H25)^(0.5)*(1+G25)*(1+F25)*(1+E25)*(1+D25)*(1+'Input | Inflation and Disc Rate'!$L$22))</f>
        <v>0.80005909339968218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8" t="s">
        <v>100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267.4985963272967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2" t="s">
        <v>22</v>
      </c>
      <c r="D33" s="102">
        <f>(1-D32)*D31</f>
        <v>187.24901742910768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2" t="s">
        <v>23</v>
      </c>
      <c r="D34" s="102">
        <f>D32*D31</f>
        <v>80.249578898189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2" t="s">
        <v>24</v>
      </c>
      <c r="D35" s="102">
        <f>SUM(D21:H21)</f>
        <v>25.50736045142019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207" t="s">
        <v>121</v>
      </c>
      <c r="D36" s="103">
        <f>D34-D35</f>
        <v>54.74221844676881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C37" s="198" t="s">
        <v>120</v>
      </c>
      <c r="D37" s="202">
        <f>D36*(1+'Input | Inflation and Disc Rate'!L22)</f>
        <v>56.008090437928281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3"/>
      <c r="D41" s="181" t="str">
        <f>'Input | General'!D18</f>
        <v>2021-22</v>
      </c>
      <c r="E41" s="181" t="str">
        <f>'Input | General'!E18</f>
        <v>2022–23</v>
      </c>
      <c r="F41" s="181" t="str">
        <f>'Input | General'!F18</f>
        <v>2023–24</v>
      </c>
      <c r="G41" s="181" t="str">
        <f>'Input | General'!G18</f>
        <v>2024–25</v>
      </c>
      <c r="H41" s="181" t="str">
        <f>'Input | General'!H18</f>
        <v>2025–26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00" t="s">
        <v>95</v>
      </c>
      <c r="D42" s="169">
        <f>1/(1+'Input | Inflation and Disc Rate'!M21)</f>
        <v>0.97723379411386424</v>
      </c>
      <c r="E42" s="169">
        <f>D42/(1+'Input | Inflation and Disc Rate'!N21)</f>
        <v>0.95619565046060062</v>
      </c>
      <c r="F42" s="169">
        <f>E42/(1+'Input | Inflation and Disc Rate'!O21)</f>
        <v>0.93679714230954159</v>
      </c>
      <c r="G42" s="169">
        <f>F42/(1+'Input | Inflation and Disc Rate'!P21)</f>
        <v>0.91895777386045785</v>
      </c>
      <c r="H42" s="170">
        <f>G42/(1+'Input | Inflation and Disc Rate'!Q21)</f>
        <v>0.90260442966880861</v>
      </c>
      <c r="I42" s="94"/>
      <c r="J42" s="94"/>
      <c r="K42" s="94"/>
      <c r="L42" s="94"/>
      <c r="M42" s="94"/>
      <c r="N42" s="94"/>
      <c r="O42" s="94"/>
    </row>
    <row r="43" spans="1:16382" s="30" customFormat="1" ht="11.25" customHeight="1">
      <c r="C43" s="187" t="str">
        <f>CONCATENATE("CESS Payment Per Year ($", 'Output | Models'!$F$8," million)")</f>
        <v>CESS Payment Per Year ($2020–21 million)</v>
      </c>
      <c r="D43" s="203">
        <f>D37/(SUM(D42:H42))</f>
        <v>11.937470534131792</v>
      </c>
      <c r="E43" s="204">
        <f>D43</f>
        <v>11.937470534131792</v>
      </c>
      <c r="F43" s="204">
        <f t="shared" ref="F43:H43" si="5">E43</f>
        <v>11.937470534131792</v>
      </c>
      <c r="G43" s="204">
        <f t="shared" si="5"/>
        <v>11.937470534131792</v>
      </c>
      <c r="H43" s="205">
        <f t="shared" si="5"/>
        <v>11.937470534131792</v>
      </c>
      <c r="I43" s="94"/>
      <c r="J43" s="94"/>
      <c r="K43" s="94"/>
      <c r="L43" s="94"/>
      <c r="M43" s="94"/>
      <c r="N43" s="94"/>
      <c r="O43" s="94"/>
    </row>
    <row r="44" spans="1:16382" s="79" customFormat="1" ht="11.25" customHeight="1"/>
    <row r="45" spans="1:16382" s="30" customFormat="1" ht="11.25" customHeight="1">
      <c r="C45" s="187" t="str">
        <f>CONCATENATE("Total CESS Payment ($", 'Output | Models'!$F$8," million)")</f>
        <v>Total CESS Payment ($2020–21 million)</v>
      </c>
      <c r="D45" s="152">
        <f>SUM(D43:H43)</f>
        <v>59.68735267065896</v>
      </c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69"/>
      <c r="D46" s="99"/>
      <c r="E46" s="70"/>
      <c r="F46" s="70"/>
      <c r="G46" s="70"/>
      <c r="H46" s="70"/>
      <c r="I46" s="94"/>
      <c r="J46" s="94"/>
      <c r="K46" s="94"/>
      <c r="L46" s="94"/>
      <c r="M46" s="94"/>
      <c r="N46" s="94"/>
      <c r="O46" s="94"/>
    </row>
    <row r="47" spans="1:16382" s="30" customFormat="1" ht="11.25" customHeight="1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1:16382" ht="12" customHeight="1">
      <c r="A48" s="29"/>
      <c r="B48" s="29" t="s">
        <v>30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33"/>
  <sheetViews>
    <sheetView topLeftCell="E1" workbookViewId="0">
      <selection activeCell="J8" sqref="J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CitiPower 2021-26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24"/>
      <c r="K3" s="224"/>
      <c r="L3" s="224"/>
      <c r="M3" s="42"/>
      <c r="N3" s="224"/>
      <c r="O3" s="224"/>
      <c r="P3" s="224"/>
      <c r="Q3" s="224"/>
      <c r="R3" s="224"/>
      <c r="S3" s="224"/>
      <c r="T3" s="224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2021-22</v>
      </c>
      <c r="K6" s="182" t="str">
        <f>'Calc | CESS Revenue Increments'!E41</f>
        <v>2022–23</v>
      </c>
      <c r="L6" s="182" t="str">
        <f>'Calc | CESS Revenue Increments'!F41</f>
        <v>2023–24</v>
      </c>
      <c r="M6" s="182" t="str">
        <f>'Calc | CESS Revenue Increments'!G41</f>
        <v>2024–25</v>
      </c>
      <c r="N6" s="182" t="str">
        <f>'Calc | CESS Revenue Increments'!H41</f>
        <v>2025–26</v>
      </c>
      <c r="O6" s="56" t="s">
        <v>83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79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2020–21</v>
      </c>
      <c r="H8" s="55"/>
      <c r="I8" s="55"/>
      <c r="J8" s="129">
        <f>'Calc | CESS Revenue Increments'!D43</f>
        <v>11.937470534131792</v>
      </c>
      <c r="K8" s="129">
        <f>'Calc | CESS Revenue Increments'!E43</f>
        <v>11.937470534131792</v>
      </c>
      <c r="L8" s="129">
        <f>'Calc | CESS Revenue Increments'!F43</f>
        <v>11.937470534131792</v>
      </c>
      <c r="M8" s="129">
        <f>'Calc | CESS Revenue Increments'!G43</f>
        <v>11.937470534131792</v>
      </c>
      <c r="N8" s="129">
        <f>'Calc | CESS Revenue Increments'!H43</f>
        <v>11.937470534131792</v>
      </c>
      <c r="O8" s="60">
        <f>SUM(J8:N8)</f>
        <v>59.68735267065896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Fenella Douglas</cp:lastModifiedBy>
  <dcterms:created xsi:type="dcterms:W3CDTF">2017-09-22T02:00:05Z</dcterms:created>
  <dcterms:modified xsi:type="dcterms:W3CDTF">2020-01-03T00:37:55Z</dcterms:modified>
  <cp:category>DNSP; Reset; CESS; 2022-26; FY; 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