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CF91F04B-9390-4C04-AD3D-A717BA6E38AE}" xr6:coauthVersionLast="45" xr6:coauthVersionMax="45" xr10:uidLastSave="{00000000-0000-0000-0000-000000000000}"/>
  <bookViews>
    <workbookView xWindow="810" yWindow="-120" windowWidth="28110" windowHeight="16440" tabRatio="807" activeTab="6" xr2:uid="{00000000-000D-0000-FFFF-FFFF00000000}"/>
  </bookViews>
  <sheets>
    <sheet name="Index" sheetId="1" r:id="rId1"/>
    <sheet name="Amendments" sheetId="59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A10offset">10</definedName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offset">11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offset">12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offset">13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offset">14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offset">15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offset">16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offset">17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offset">18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offset">19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offset">1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offset">20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offset">21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offset">22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offset">23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offset">24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offset">25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offset">26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offset">27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offset">28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offset">29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offset">2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offset">30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1offset">31</definedName>
    <definedName name="A31remlife">'[1]PTRM input'!$L$37</definedName>
    <definedName name="A31stdlife">'[1]PTRM input'!$M$37</definedName>
    <definedName name="A31taxremlife">'[1]PTRM input'!$O$37</definedName>
    <definedName name="A31taxstdlife">'[1]PTRM input'!$P$37</definedName>
    <definedName name="A31taxvalue">'[1]PTRM input'!$N$37</definedName>
    <definedName name="A31value">'[1]PTRM input'!$J$37</definedName>
    <definedName name="A32offset">32</definedName>
    <definedName name="A32remlife">'[1]PTRM input'!$L$38</definedName>
    <definedName name="A32stdlife">'[1]PTRM input'!$M$38</definedName>
    <definedName name="A32taxremlife">'[1]PTRM input'!$O$38</definedName>
    <definedName name="A32taxstdlife">'[1]PTRM input'!$P$38</definedName>
    <definedName name="A32taxvalue">'[1]PTRM input'!$N$38</definedName>
    <definedName name="A32value">'[1]PTRM input'!$J$38</definedName>
    <definedName name="A33offset">33</definedName>
    <definedName name="A33remlife">'[1]PTRM input'!$L$39</definedName>
    <definedName name="A33stdlife">'[1]PTRM input'!$M$39</definedName>
    <definedName name="A33taxremlife">'[1]PTRM input'!$O$39</definedName>
    <definedName name="A33taxstdlife">'[1]PTRM input'!$P$39</definedName>
    <definedName name="A33taxvalue">'[1]PTRM input'!$N$39</definedName>
    <definedName name="A33value">'[1]PTRM input'!$J$39</definedName>
    <definedName name="A34offset">34</definedName>
    <definedName name="A34remlife">'[1]PTRM input'!$L$40</definedName>
    <definedName name="A34stdlife">'[1]PTRM input'!$M$40</definedName>
    <definedName name="A34taxremlife">'[1]PTRM input'!$O$40</definedName>
    <definedName name="A34taxstdlife">'[1]PTRM input'!$P$40</definedName>
    <definedName name="A34taxvalue">'[1]PTRM input'!$N$40</definedName>
    <definedName name="A34value">'[1]PTRM input'!$J$40</definedName>
    <definedName name="A35offset">35</definedName>
    <definedName name="A35remlife">'[1]PTRM input'!$L$41</definedName>
    <definedName name="A35stdlife">'[1]PTRM input'!$M$41</definedName>
    <definedName name="A35taxremlife">'[1]PTRM input'!$O$41</definedName>
    <definedName name="A35taxstdlife">'[1]PTRM input'!$P$41</definedName>
    <definedName name="A35taxvalue">'[1]PTRM input'!$N$41</definedName>
    <definedName name="A35value">'[1]PTRM input'!$J$41</definedName>
    <definedName name="A36offset">36</definedName>
    <definedName name="A36remlife">'[1]PTRM input'!$L$42</definedName>
    <definedName name="A36stdlife">'[1]PTRM input'!$M$42</definedName>
    <definedName name="A36taxremlife">'[1]PTRM input'!$O$42</definedName>
    <definedName name="A36taxstdlife">'[1]PTRM input'!$P$42</definedName>
    <definedName name="A36taxvalue">'[1]PTRM input'!$N$42</definedName>
    <definedName name="A36value">'[1]PTRM input'!$J$42</definedName>
    <definedName name="A37offset">37</definedName>
    <definedName name="A37remlife">'[1]PTRM input'!$L$43</definedName>
    <definedName name="A37stdlife">'[1]PTRM input'!$M$43</definedName>
    <definedName name="A37taxremlife">'[1]PTRM input'!$O$43</definedName>
    <definedName name="A37taxstdlife">'[1]PTRM input'!$P$43</definedName>
    <definedName name="A37taxvalue">'[1]PTRM input'!$N$43</definedName>
    <definedName name="A37value">'[1]PTRM input'!$J$43</definedName>
    <definedName name="A38offset">38</definedName>
    <definedName name="A38remlife">'[1]PTRM input'!$L$44</definedName>
    <definedName name="A38stdlife">'[1]PTRM input'!$M$44</definedName>
    <definedName name="A38taxremlife">'[1]PTRM input'!$O$44</definedName>
    <definedName name="A38taxstdlife">'[1]PTRM input'!$P$44</definedName>
    <definedName name="A38taxvalue">'[1]PTRM input'!$N$44</definedName>
    <definedName name="A38value">'[1]PTRM input'!$J$44</definedName>
    <definedName name="A39offset">39</definedName>
    <definedName name="A39remlife">'[1]PTRM input'!$L$45</definedName>
    <definedName name="A39stdlife">'[1]PTRM input'!$M$45</definedName>
    <definedName name="A39taxremlife">'[1]PTRM input'!$O$45</definedName>
    <definedName name="A39taxstdlife">'[1]PTRM input'!$P$45</definedName>
    <definedName name="A39taxvalue">'[1]PTRM input'!$N$45</definedName>
    <definedName name="A39value">'[1]PTRM input'!$J$45</definedName>
    <definedName name="A3offset">3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0offset">40</definedName>
    <definedName name="A40remlife">'[1]PTRM input'!$L$46</definedName>
    <definedName name="A40stdlife">'[1]PTRM input'!$M$46</definedName>
    <definedName name="A40taxremlife">'[1]PTRM input'!$O$46</definedName>
    <definedName name="A40taxstdlife">'[1]PTRM input'!$P$46</definedName>
    <definedName name="A40taxvalue">'[1]PTRM input'!$N$46</definedName>
    <definedName name="A40value">'[1]PTRM input'!$J$46</definedName>
    <definedName name="A41offset">41</definedName>
    <definedName name="A41remlife">'[1]PTRM input'!$L$47</definedName>
    <definedName name="A41stdlife">'[1]PTRM input'!$M$47</definedName>
    <definedName name="A41taxremlife">'[1]PTRM input'!$O$47</definedName>
    <definedName name="A41taxstdlife">'[1]PTRM input'!$P$47</definedName>
    <definedName name="A41taxvalue">'[1]PTRM input'!$N$47</definedName>
    <definedName name="A41value">'[1]PTRM input'!$J$47</definedName>
    <definedName name="A42offset">42</definedName>
    <definedName name="A42remlife">'[1]PTRM input'!$L$48</definedName>
    <definedName name="A42stdlife">'[1]PTRM input'!$M$48</definedName>
    <definedName name="A42taxremlife">'[1]PTRM input'!$O$48</definedName>
    <definedName name="A42taxstdlife">'[1]PTRM input'!$P$48</definedName>
    <definedName name="A42taxvalue">'[1]PTRM input'!$N$48</definedName>
    <definedName name="A42value">'[1]PTRM input'!$J$48</definedName>
    <definedName name="A43offset">43</definedName>
    <definedName name="A43remlife">'[1]PTRM input'!$L$49</definedName>
    <definedName name="A43stdlife">'[1]PTRM input'!$M$49</definedName>
    <definedName name="A43taxremlife">'[1]PTRM input'!$O$49</definedName>
    <definedName name="A43taxstdlife">'[1]PTRM input'!$P$49</definedName>
    <definedName name="A43taxvalue">'[1]PTRM input'!$N$49</definedName>
    <definedName name="A43value">'[1]PTRM input'!$J$49</definedName>
    <definedName name="A44offset">44</definedName>
    <definedName name="A44remlife">'[1]PTRM input'!$L$50</definedName>
    <definedName name="A44stdlife">'[1]PTRM input'!$M$50</definedName>
    <definedName name="A44taxremlife">'[1]PTRM input'!$O$50</definedName>
    <definedName name="A44taxstdlife">'[1]PTRM input'!$P$50</definedName>
    <definedName name="A44taxvalue">'[1]PTRM input'!$N$50</definedName>
    <definedName name="A44value">'[1]PTRM input'!$J$50</definedName>
    <definedName name="A45offset">45</definedName>
    <definedName name="A45remlife">'[1]PTRM input'!$L$51</definedName>
    <definedName name="A45stdlife">'[1]PTRM input'!$M$51</definedName>
    <definedName name="A45taxremlife">'[1]PTRM input'!$O$51</definedName>
    <definedName name="A45taxstdlife">'[1]PTRM input'!$P$51</definedName>
    <definedName name="A45taxvalue">'[1]PTRM input'!$N$51</definedName>
    <definedName name="A45value">'[1]PTRM input'!$J$51</definedName>
    <definedName name="A46offset">46</definedName>
    <definedName name="A46remlife">'[1]PTRM input'!$L$52</definedName>
    <definedName name="A46stdlife">'[1]PTRM input'!$M$52</definedName>
    <definedName name="A46taxremlife">'[1]PTRM input'!$O$52</definedName>
    <definedName name="A46taxstdlife">'[1]PTRM input'!$P$52</definedName>
    <definedName name="A46taxvalue">'[1]PTRM input'!$N$52</definedName>
    <definedName name="A46value">'[1]PTRM input'!$J$52</definedName>
    <definedName name="A47offset">47</definedName>
    <definedName name="A47remlife">'[1]PTRM input'!$L$53</definedName>
    <definedName name="A47stdlife">'[1]PTRM input'!$M$53</definedName>
    <definedName name="A47taxremlife">'[1]PTRM input'!$O$53</definedName>
    <definedName name="A47taxstdlife">'[1]PTRM input'!$P$53</definedName>
    <definedName name="A47taxvalue">'[1]PTRM input'!$N$53</definedName>
    <definedName name="A47value">'[1]PTRM input'!$J$53</definedName>
    <definedName name="A48offset">48</definedName>
    <definedName name="A48remlife">'[1]PTRM input'!$L$54</definedName>
    <definedName name="A48stdlife">'[1]PTRM input'!$M$54</definedName>
    <definedName name="A48taxremlife">'[1]PTRM input'!$O$54</definedName>
    <definedName name="A48taxstdlife">'[1]PTRM input'!$P$54</definedName>
    <definedName name="A48taxvalue">'[1]PTRM input'!$N$54</definedName>
    <definedName name="A48value">'[1]PTRM input'!$J$54</definedName>
    <definedName name="A49offset">49</definedName>
    <definedName name="A49remlife">'[1]PTRM input'!$L$55</definedName>
    <definedName name="A49stdlife">'[1]PTRM input'!$M$55</definedName>
    <definedName name="A49taxremlife">'[1]PTRM input'!$O$55</definedName>
    <definedName name="A49taxstdlife">'[1]PTRM input'!$P$55</definedName>
    <definedName name="A49taxvalue">'[1]PTRM input'!$N$55</definedName>
    <definedName name="A49value">'[1]PTRM input'!$J$55</definedName>
    <definedName name="A4offset">4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0offset">50</definedName>
    <definedName name="A50remlife">'[1]PTRM input'!$L$56</definedName>
    <definedName name="A50stdlife">'[1]PTRM input'!$M$56</definedName>
    <definedName name="A50taxremlife">'[1]PTRM input'!$O$56</definedName>
    <definedName name="A50taxstdlife">'[1]PTRM input'!$P$56</definedName>
    <definedName name="A50taxvalue">'[1]PTRM input'!$N$56</definedName>
    <definedName name="A50value">'[1]PTRM input'!$J$56</definedName>
    <definedName name="A5offset">5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offset">6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offset">7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offset">8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offset">9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bba" localSheetId="1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31">'[1]PTRM input'!$G$37</definedName>
    <definedName name="Asset32">'[1]PTRM input'!$G$38</definedName>
    <definedName name="Asset33">'[1]PTRM input'!$G$39</definedName>
    <definedName name="Asset34">'[1]PTRM input'!$G$40</definedName>
    <definedName name="Asset35">'[1]PTRM input'!$G$41</definedName>
    <definedName name="Asset36">'[1]PTRM input'!$G$42</definedName>
    <definedName name="Asset37">'[1]PTRM input'!$G$43</definedName>
    <definedName name="Asset38">'[1]PTRM input'!$G$44</definedName>
    <definedName name="Asset39">'[1]PTRM input'!$G$45</definedName>
    <definedName name="Asset4">'[1]PTRM input'!$G$10</definedName>
    <definedName name="Asset40">'[1]PTRM input'!$G$46</definedName>
    <definedName name="Asset41">'[1]PTRM input'!$G$47</definedName>
    <definedName name="Asset42">'[1]PTRM input'!$G$48</definedName>
    <definedName name="Asset43">'[1]PTRM input'!$G$49</definedName>
    <definedName name="Asset44">'[1]PTRM input'!$G$50</definedName>
    <definedName name="Asset45">'[1]PTRM input'!$G$51</definedName>
    <definedName name="Asset46">'[1]PTRM input'!$G$52</definedName>
    <definedName name="Asset47">'[1]PTRM input'!$G$53</definedName>
    <definedName name="Asset48">'[1]PTRM input'!$G$54</definedName>
    <definedName name="Asset49">'[1]PTRM input'!$G$55</definedName>
    <definedName name="Asset5">'[1]PTRM input'!$G$11</definedName>
    <definedName name="Asset50">'[1]PTRM input'!$G$56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BaseYear" localSheetId="1">'Input|General'!$G$12</definedName>
    <definedName name="BaseYear">'Input|General'!$G$12</definedName>
    <definedName name="CRCP_final_year">'[1]AER ETL'!$C$46</definedName>
    <definedName name="CRCP_y1">'[1]AER lookups'!$G$59</definedName>
    <definedName name="CRCP_y10">'[1]AER lookups'!$G$68</definedName>
    <definedName name="CRCP_y11">'[1]AER lookups'!$G$69</definedName>
    <definedName name="CRCP_y12">'[1]AER lookups'!$G$70</definedName>
    <definedName name="CRCP_y13">'[1]AER lookups'!$G$71</definedName>
    <definedName name="CRCP_y14">'[1]AER lookups'!$G$72</definedName>
    <definedName name="CRCP_y15">'[1]AER lookups'!$G$73</definedName>
    <definedName name="CRCP_y2">'[1]AER lookups'!$G$60</definedName>
    <definedName name="CRCP_y3">'[1]AER lookups'!$G$61</definedName>
    <definedName name="CRCP_y4">'[1]AER lookups'!$G$62</definedName>
    <definedName name="CRCP_y5">'[1]AER lookups'!$G$63</definedName>
    <definedName name="CRCP_y6">'[1]AER lookups'!$G$64</definedName>
    <definedName name="CRCP_y7">'[1]AER lookups'!$G$65</definedName>
    <definedName name="CRCP_y8">'[1]AER lookups'!$G$66</definedName>
    <definedName name="CRCP_y9">'[1]AER lookups'!$G$67</definedName>
    <definedName name="dms_060301_checkvalue">'[1]AER ETL'!$C$89</definedName>
    <definedName name="dms_060301_LastRow">'[1]AER ETL'!$C$91</definedName>
    <definedName name="dms_060701_ARR_MaxRows">'[1]AER ETL'!$C$99</definedName>
    <definedName name="dms_060701_Reset_MaxRows">'[1]AER ETL'!$C$98</definedName>
    <definedName name="dms_060701_StartDateTxt">'[1]AER ETL'!$C$105</definedName>
    <definedName name="dms_0608_LastRow">'[1]AER ETL'!$C$111</definedName>
    <definedName name="dms_0608_OffsetRows">'[1]AER ETL'!$C$110</definedName>
    <definedName name="dms_060801_StartCell">'[2]6'!$B$13</definedName>
    <definedName name="dms_663_List">'[1]AER lookups'!$N$13:$N$38</definedName>
    <definedName name="dms_ABN_List">'[1]AER lookups'!$D$13:$D$38</definedName>
    <definedName name="dms_Addr1_List">'[1]AER lookups'!$P$13:$P$38</definedName>
    <definedName name="dms_Addr2_List">'[1]AER lookups'!$Q$13:$Q$38</definedName>
    <definedName name="dms_Amendment_Text">'[1]Business &amp; other details'!$AR$67</definedName>
    <definedName name="dms_Cal_Year_B4_CRY">'[1]AER ETL'!$C$28</definedName>
    <definedName name="dms_CBD_flag">'[1]AER lookups'!$AC$13:$AC$38</definedName>
    <definedName name="dms_Confid_status_List">'[1]AER NRs'!$D$6:$D$8</definedName>
    <definedName name="dms_CRCP_start_row">'[1]AER ETL'!$C$39</definedName>
    <definedName name="dms_CRCPlength_List">'[1]AER lookups'!$K$13:$K$38</definedName>
    <definedName name="dms_CRCPlength_Num">'[1]AER ETL'!$C$68</definedName>
    <definedName name="dms_CRY_RYE">'[1]AER ETL'!$C$52</definedName>
    <definedName name="dms_CRY_start_row">'[1]AER ETL'!$C$37</definedName>
    <definedName name="dms_DataQuality_List">'[1]AER NRs'!$C$6:$C$9</definedName>
    <definedName name="dms_DeterminationRef_List">'[1]AER lookups'!$O$13:$O$38</definedName>
    <definedName name="dms_DollarReal_year">'[1]AER ETL'!$C$50</definedName>
    <definedName name="dms_DQ_2">'[1]AER ETL'!$C$13</definedName>
    <definedName name="dms_FeederName_1">'[1]AER lookups'!$AI$13:$AI$38</definedName>
    <definedName name="dms_FeederName_2">'[1]AER lookups'!$AJ$13:$AJ$38</definedName>
    <definedName name="dms_FeederName_3">'[1]AER lookups'!$AK$13:$AK$38</definedName>
    <definedName name="dms_FeederName_4">'[1]AER lookups'!$AL$13:$AL$38</definedName>
    <definedName name="dms_FeederName_5">'[1]AER lookups'!$AM$13:$AM$38</definedName>
    <definedName name="dms_FeederType_5_flag">'[1]AER lookups'!$AG$13:$AG$38</definedName>
    <definedName name="dms_FifthFeeder_flag_NSP">'[1]AER ETL'!$C$124</definedName>
    <definedName name="dms_FormControl_Choices">'[1]AER NRs'!$D$14:$D$16</definedName>
    <definedName name="dms_FRCP_start_row">'[1]AER ETL'!$C$38</definedName>
    <definedName name="dms_FRCPlength_List">'[1]AER lookups'!$L$13:$L$38</definedName>
    <definedName name="dms_FRCPlength_Num">'[1]AER ETL'!$C$69</definedName>
    <definedName name="dms_Header_Span">'[1]AER ETL'!$C$59</definedName>
    <definedName name="dms_JurisdictionList">'[1]AER lookups'!$E$13:$E$38</definedName>
    <definedName name="dms_LeapYear_Result">'[1]AER ETL'!$C$97</definedName>
    <definedName name="dms_LongRural_flag">'[1]AER lookups'!$AF$13:$AF$38</definedName>
    <definedName name="dms_Model">'[1]AER ETL'!$C$10</definedName>
    <definedName name="dms_Model_List">'[1]AER lookups'!$B$45:$B$54</definedName>
    <definedName name="dms_Model_Span">'[1]AER ETL'!$C$55</definedName>
    <definedName name="dms_Model_Span_List">'[1]AER lookups'!$E$45:$E$54</definedName>
    <definedName name="dms_MultiYear_Flag">'[1]AER ETL'!$C$62</definedName>
    <definedName name="dms_MultiYear_ResponseFlag">'[1]AER ETL'!$C$61</definedName>
    <definedName name="dms_PAddr1_List">'[1]AER lookups'!$U$13:$U$38</definedName>
    <definedName name="dms_PAddr2">'[1]Business &amp; other details'!$BQ$24</definedName>
    <definedName name="dms_PAddr2_List">'[1]AER lookups'!$V$13:$V$38</definedName>
    <definedName name="dms_PRCP_start_row">'[1]AER ETL'!$C$40</definedName>
    <definedName name="dms_PRCPlength_List">'[1]AER lookups'!$M$13:$M$38</definedName>
    <definedName name="dms_PRCPlength_Num">'[1]AER ETL'!$C$67</definedName>
    <definedName name="dms_Previous_DollarReal_year">'[1]AER ETL'!$C$51</definedName>
    <definedName name="dms_PState_List">'[1]AER lookups'!$X$13:$X$38</definedName>
    <definedName name="dms_PSuburb_List">'[1]AER lookups'!$W$13:$W$38</definedName>
    <definedName name="dms_Public_Lighting_List">'[1]AER lookups'!$AN$13:$AN$38</definedName>
    <definedName name="dms_Reset_final_year">'[1]AER ETL'!$C$48</definedName>
    <definedName name="dms_Reset_RYE">'[1]AER ETL'!$C$53</definedName>
    <definedName name="dms_Reset_Span">'[1]AER ETL'!$C$57</definedName>
    <definedName name="dms_RPT">'[1]AER ETL'!$C$22</definedName>
    <definedName name="dms_RPT_List">'[1]AER lookups'!$I$13:$I$38</definedName>
    <definedName name="dms_RPTMonth">'[1]AER ETL'!$C$29</definedName>
    <definedName name="dms_RPTMonth_List">'[1]AER lookups'!$J$13:$J$38</definedName>
    <definedName name="dms_RYE_result">'[1]AER ETL'!$C$56</definedName>
    <definedName name="dms_RYE_start_row">'[1]AER ETL'!$C$41</definedName>
    <definedName name="dms_Sector_List">'[1]AER lookups'!$F$13:$F$38</definedName>
    <definedName name="dms_Segment">'[1]AER ETL'!$C$20</definedName>
    <definedName name="dms_Segment_List">'[1]AER lookups'!$G$13:$G$38</definedName>
    <definedName name="dms_Selected_Quality">'[1]Business &amp; other details'!$AR$63</definedName>
    <definedName name="dms_Selected_Source">'[1]Business &amp; other details'!$AR$61</definedName>
    <definedName name="dms_Selected_Status">'[1]Business &amp; other details'!$AR$65</definedName>
    <definedName name="dms_ShortRural_flag">'[1]AER lookups'!$AE$13:$AE$38</definedName>
    <definedName name="dms_SingleYear_Model">'[1]AER ETL'!$C$71:$C$73</definedName>
    <definedName name="dms_SingleYearModel">'[1]AER ETL'!$C$74</definedName>
    <definedName name="dms_SourceList">'[1]AER NRs'!$C$14:$C$27</definedName>
    <definedName name="dms_Specified_FinalYear">'[1]AER ETL'!$C$63</definedName>
    <definedName name="dms_Specified_RYE">'[1]AER ETL'!$C$54</definedName>
    <definedName name="dms_SpecifiedYear_Span">'[1]AER ETL'!$C$58</definedName>
    <definedName name="dms_start_year">'[1]AER ETL'!$C$35</definedName>
    <definedName name="dms_State_List">'[1]AER lookups'!$S$13:$S$38</definedName>
    <definedName name="dms_Suburb_List">'[1]AER lookups'!$R$13:$R$38</definedName>
    <definedName name="dms_TradingName">'[1]Business &amp; other details'!$AL$16</definedName>
    <definedName name="dms_TradingName_List">'[1]AER lookups'!$B$13:$B$38</definedName>
    <definedName name="dms_TradingNameFull_List">'[1]AER lookups'!$C$13:$C$38</definedName>
    <definedName name="dms_Typed_Submission_Date">'[1]Business &amp; other details'!$AR$71</definedName>
    <definedName name="dms_Urban_flag">'[1]AER lookups'!$AD$13:$AD$38</definedName>
    <definedName name="dms_Worksheet_List">'[1]AER lookups'!$D$45:$D$54</definedName>
    <definedName name="dollars">'Lookup|Tables'!$G$10</definedName>
    <definedName name="Drc">'[1]PTRM input'!$G$390</definedName>
    <definedName name="Drpc">'[1]PTRM input'!$G$388</definedName>
    <definedName name="Drpt">'[1]PTRM input'!$G$389</definedName>
    <definedName name="Dv">'[1]PTRM input'!$G$376</definedName>
    <definedName name="ERC_Final_Calc">'[1]Equity raising costs'!$Q$54</definedName>
    <definedName name="ERC_Yr01_Inc">'[1]PTRM input'!$G$110</definedName>
    <definedName name="f">'[1]PTRM input'!$G$373</definedName>
    <definedName name="factor">'Lookup|Tables'!$G$17</definedName>
    <definedName name="FPFirstYear" localSheetId="1">'Input|General'!$G$15</definedName>
    <definedName name="FPFirstYear">'Input|General'!$G$15</definedName>
    <definedName name="FPLastYear" localSheetId="1">'Input|General'!$G$16</definedName>
    <definedName name="FPLastYear">'Input|General'!$G$16</definedName>
    <definedName name="FRCP_final_year">'[1]AER ETL'!$C$45</definedName>
    <definedName name="FRCP_y1">'[1]Business &amp; other details'!$AR$42</definedName>
    <definedName name="FRCP_y10">'[1]AER lookups'!$I$68</definedName>
    <definedName name="FRCP_y11">'[1]AER lookups'!$I$69</definedName>
    <definedName name="FRCP_y12">'[1]AER lookups'!$I$70</definedName>
    <definedName name="FRCP_y13">'[1]AER lookups'!$I$71</definedName>
    <definedName name="FRCP_y14">'[1]AER lookups'!$I$72</definedName>
    <definedName name="FRCP_y15">'[1]AER lookups'!$I$73</definedName>
    <definedName name="FRCP_y2">'[1]AER lookups'!$I$60</definedName>
    <definedName name="FRCP_y3">'[1]AER lookups'!$I$61</definedName>
    <definedName name="FRCP_y4">'[1]AER lookups'!$I$62</definedName>
    <definedName name="FRCP_y5">'[1]AER lookups'!$I$63</definedName>
    <definedName name="FRCP_y6">'[1]AER lookups'!$I$64</definedName>
    <definedName name="FRCP_y7">'[1]AER lookups'!$I$65</definedName>
    <definedName name="FRCP_y8">'[1]AER lookups'!$I$66</definedName>
    <definedName name="FRCP_y9">'[1]AER lookups'!$I$67</definedName>
    <definedName name="g">'[1]PTRM input'!$G$375</definedName>
    <definedName name="Icpr">'[1]PTRM input'!$G$386</definedName>
    <definedName name="InterveningPeriod" localSheetId="1">'Input|General'!$G$14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1" hidden="1">{"Ownership",#N/A,FALSE,"Ownership";"Contents",#N/A,FALSE,"Contents"}</definedName>
    <definedName name="LAN" hidden="1">{"Ownership",#N/A,FALSE,"Ownership";"Contents",#N/A,FALSE,"Contents"}</definedName>
    <definedName name="millions">'Lookup|Tables'!$G$12</definedName>
    <definedName name="Nominal_to_Real" localSheetId="1">'Lookup|Tables'!$H$65:$H$71</definedName>
    <definedName name="Nominal_to_Real">'Lookup|Tables'!$H$65:$H$71</definedName>
    <definedName name="NSP">'Input|General'!$G$7</definedName>
    <definedName name="number">'Lookup|Tables'!$G$16</definedName>
    <definedName name="P_0_RevCap">'[1]X factors'!$G$63</definedName>
    <definedName name="P_0_RevYld">'[1]X factors'!$G$83</definedName>
    <definedName name="P_0_WAPC">'[1]X factors'!$G$47</definedName>
    <definedName name="percent" localSheetId="1">'Lookup|Tables'!$G$14</definedName>
    <definedName name="percent">'Lookup|Tables'!$G$14</definedName>
    <definedName name="PPFirstYear" localSheetId="1">'Input|General'!$G$11</definedName>
    <definedName name="PPFirstYear">'Input|General'!$G$11</definedName>
    <definedName name="PPLastYear" localSheetId="1">'Input|General'!$G$13</definedName>
    <definedName name="PPLastYear">'Input|General'!$G$13</definedName>
    <definedName name="PRCP_final_year">'[1]AER ETL'!$C$47</definedName>
    <definedName name="PRCP_y1">'[1]AER lookups'!$E$59</definedName>
    <definedName name="PRCP_y10">'[1]AER lookups'!$E$68</definedName>
    <definedName name="PRCP_y11">'[1]AER lookups'!$E$69</definedName>
    <definedName name="PRCP_y12">'[1]AER lookups'!$E$70</definedName>
    <definedName name="PRCP_y13">'[1]AER lookups'!$E$71</definedName>
    <definedName name="PRCP_y14">'[1]AER lookups'!$E$72</definedName>
    <definedName name="PRCP_y15">'[1]AER lookups'!$E$73</definedName>
    <definedName name="PRCP_y2">'[1]AER lookups'!$E$60</definedName>
    <definedName name="PRCP_y3">'[1]AER lookups'!$E$61</definedName>
    <definedName name="PRCP_y4">'[1]AER lookups'!$E$62</definedName>
    <definedName name="PRCP_y5">'[1]AER lookups'!$E$63</definedName>
    <definedName name="PRCP_y6">'[1]AER lookups'!$E$64</definedName>
    <definedName name="PRCP_y7">'[1]AER lookups'!$E$65</definedName>
    <definedName name="PRCP_y8">'[1]AER lookups'!$E$66</definedName>
    <definedName name="PRCP_y9">'[1]AER lookups'!$E$67</definedName>
    <definedName name="RAB">'[1]PTRM input'!$J$57</definedName>
    <definedName name="Real_to_Nominal">'Lookup|Tables'!$H$65:$H$71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input'!$G$387</definedName>
    <definedName name="teest" localSheetId="1" hidden="1">{"Ownership",#N/A,FALSE,"Ownership";"Contents",#N/A,FALSE,"Contents"}</definedName>
    <definedName name="teest" hidden="1">{"Ownership",#N/A,FALSE,"Ownership";"Contents",#N/A,FALSE,"Contents"}</definedName>
    <definedName name="test" localSheetId="1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wrn.App._.Custodians." localSheetId="1" hidden="1">{"Ownership",#N/A,FALSE,"Ownership";"Contents",#N/A,FALSE,"Contents"}</definedName>
    <definedName name="wrn.App._.Custodians." hidden="1">{"Ownership",#N/A,FALSE,"Ownership";"Contents",#N/A,FALSE,"Contents"}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8" i="53" l="1"/>
  <c r="S38" i="53"/>
  <c r="R38" i="53"/>
  <c r="Q38" i="53"/>
  <c r="P38" i="53"/>
  <c r="T20" i="53" l="1"/>
  <c r="P20" i="53"/>
  <c r="Q19" i="53"/>
  <c r="R18" i="53"/>
  <c r="T16" i="53"/>
  <c r="P16" i="53"/>
  <c r="Q15" i="53"/>
  <c r="R14" i="53"/>
  <c r="T12" i="53"/>
  <c r="P12" i="53"/>
  <c r="C20" i="53"/>
  <c r="S20" i="53" s="1"/>
  <c r="C19" i="53"/>
  <c r="T19" i="53" s="1"/>
  <c r="C18" i="53"/>
  <c r="Q18" i="53" s="1"/>
  <c r="C17" i="53"/>
  <c r="R17" i="53" s="1"/>
  <c r="C16" i="53"/>
  <c r="S16" i="53" s="1"/>
  <c r="C15" i="53"/>
  <c r="T15" i="53" s="1"/>
  <c r="C14" i="53"/>
  <c r="Q14" i="53" s="1"/>
  <c r="C13" i="53"/>
  <c r="R13" i="53" s="1"/>
  <c r="C12" i="53"/>
  <c r="S12" i="53" s="1"/>
  <c r="S13" i="53" l="1"/>
  <c r="S17" i="53"/>
  <c r="Q12" i="53"/>
  <c r="P13" i="53"/>
  <c r="T13" i="53"/>
  <c r="S14" i="53"/>
  <c r="R15" i="53"/>
  <c r="Q16" i="53"/>
  <c r="P17" i="53"/>
  <c r="T17" i="53"/>
  <c r="S18" i="53"/>
  <c r="R19" i="53"/>
  <c r="Q20" i="53"/>
  <c r="R12" i="53"/>
  <c r="Q13" i="53"/>
  <c r="P14" i="53"/>
  <c r="T14" i="53"/>
  <c r="S15" i="53"/>
  <c r="R16" i="53"/>
  <c r="Q17" i="53"/>
  <c r="P18" i="53"/>
  <c r="T18" i="53"/>
  <c r="S19" i="53"/>
  <c r="R20" i="53"/>
  <c r="P15" i="53"/>
  <c r="P19" i="53"/>
  <c r="T29" i="53"/>
  <c r="S29" i="53"/>
  <c r="R29" i="53"/>
  <c r="Q29" i="53"/>
  <c r="P29" i="53"/>
  <c r="T28" i="53"/>
  <c r="S28" i="53"/>
  <c r="R28" i="53"/>
  <c r="Q28" i="53"/>
  <c r="P28" i="53"/>
  <c r="C29" i="53"/>
  <c r="C28" i="53"/>
  <c r="T40" i="2" l="1"/>
  <c r="U40" i="2"/>
  <c r="Q40" i="2"/>
  <c r="R40" i="2"/>
  <c r="S40" i="2"/>
  <c r="E86" i="58" l="1"/>
  <c r="F86" i="58"/>
  <c r="E85" i="58" l="1"/>
  <c r="F85" i="58"/>
  <c r="F84" i="58" l="1"/>
  <c r="E84" i="58"/>
  <c r="F66" i="55" l="1"/>
  <c r="F64" i="55"/>
  <c r="F68" i="55" s="1"/>
  <c r="F67" i="55" l="1"/>
  <c r="F63" i="55"/>
  <c r="F65" i="55"/>
  <c r="H52" i="4"/>
  <c r="H53" i="4"/>
  <c r="H54" i="4"/>
  <c r="H55" i="4"/>
  <c r="H56" i="4"/>
  <c r="H57" i="4"/>
  <c r="H58" i="4"/>
  <c r="H59" i="4"/>
  <c r="H60" i="4"/>
  <c r="H51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Q107" i="2" l="1"/>
  <c r="T107" i="2"/>
  <c r="U107" i="2"/>
  <c r="S107" i="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O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T65" i="42"/>
  <c r="T67" i="4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H65" i="4"/>
  <c r="T36" i="53"/>
  <c r="P36" i="53"/>
  <c r="Q10" i="53"/>
  <c r="R10" i="53"/>
  <c r="S36" i="53"/>
  <c r="U77" i="2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39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G66" i="55"/>
  <c r="P12" i="2" s="1"/>
  <c r="C22" i="2" l="1"/>
  <c r="P22" i="2" s="1"/>
  <c r="O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E22" i="2" l="1"/>
  <c r="D22" i="2"/>
  <c r="C31" i="2"/>
  <c r="C32" i="2"/>
  <c r="E32" i="2" s="1"/>
  <c r="C27" i="2"/>
  <c r="C28" i="2"/>
  <c r="C29" i="2"/>
  <c r="D32" i="2"/>
  <c r="C30" i="2"/>
  <c r="U78" i="2"/>
  <c r="U80" i="2"/>
  <c r="U79" i="2"/>
  <c r="P32" i="2" l="1"/>
  <c r="U101" i="2"/>
  <c r="U97" i="2"/>
  <c r="U98" i="2"/>
  <c r="U99" i="2"/>
  <c r="U100" i="2"/>
  <c r="U73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T63" i="42" l="1"/>
  <c r="T69" i="42" l="1"/>
  <c r="F70" i="58"/>
  <c r="F65" i="58"/>
  <c r="F66" i="58"/>
  <c r="F67" i="58"/>
  <c r="F68" i="58"/>
  <c r="F64" i="58"/>
  <c r="C80" i="4" l="1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4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G72" i="4" s="1"/>
  <c r="I53" i="4"/>
  <c r="G73" i="4" s="1"/>
  <c r="I54" i="4"/>
  <c r="G74" i="4" s="1"/>
  <c r="I55" i="4"/>
  <c r="G75" i="4" s="1"/>
  <c r="I56" i="4"/>
  <c r="G76" i="4" s="1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Q101" i="2" l="1"/>
  <c r="T101" i="2"/>
  <c r="S101" i="2"/>
  <c r="R101" i="2"/>
  <c r="R98" i="2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92" i="58"/>
  <c r="E91" i="58"/>
  <c r="E90" i="58"/>
  <c r="E89" i="58"/>
  <c r="E88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6" i="44"/>
  <c r="N13" i="44"/>
  <c r="N15" i="44"/>
  <c r="N14" i="44"/>
  <c r="K15" i="44"/>
  <c r="K14" i="44"/>
  <c r="K16" i="44"/>
  <c r="K13" i="44"/>
  <c r="O15" i="44"/>
  <c r="O14" i="44"/>
  <c r="O16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 s="1"/>
  <c r="G45" i="55"/>
  <c r="G46" i="55"/>
  <c r="G47" i="55"/>
  <c r="G48" i="55"/>
  <c r="K12" i="2" s="1"/>
  <c r="G49" i="55"/>
  <c r="G50" i="55"/>
  <c r="G51" i="55"/>
  <c r="G52" i="55"/>
  <c r="L12" i="2" s="1"/>
  <c r="G53" i="55"/>
  <c r="G54" i="55"/>
  <c r="G55" i="55"/>
  <c r="G56" i="55"/>
  <c r="M12" i="2" s="1"/>
  <c r="G57" i="55"/>
  <c r="G58" i="55"/>
  <c r="G59" i="55"/>
  <c r="G60" i="55"/>
  <c r="N12" i="2" s="1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K32" i="53"/>
  <c r="M32" i="53"/>
  <c r="O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W60" i="2"/>
  <c r="W109" i="2"/>
  <c r="N21" i="42" l="1"/>
  <c r="M22" i="2"/>
  <c r="N32" i="2"/>
  <c r="M92" i="58" s="1"/>
  <c r="O92" i="58" s="1"/>
  <c r="O51" i="42" s="1"/>
  <c r="P47" i="2"/>
  <c r="S47" i="2"/>
  <c r="Q47" i="2"/>
  <c r="R47" i="2"/>
  <c r="T47" i="2"/>
  <c r="M89" i="58" l="1"/>
  <c r="O89" i="58" s="1"/>
  <c r="M91" i="58"/>
  <c r="L22" i="2"/>
  <c r="M32" i="2"/>
  <c r="L91" i="58" s="1"/>
  <c r="M21" i="42"/>
  <c r="W47" i="2"/>
  <c r="O42" i="42" l="1"/>
  <c r="L21" i="42"/>
  <c r="K22" i="2"/>
  <c r="L32" i="2"/>
  <c r="K91" i="58" s="1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 l="1"/>
  <c r="J32" i="2" s="1"/>
  <c r="I91" i="58" s="1"/>
  <c r="K32" i="2"/>
  <c r="J91" i="58" s="1"/>
  <c r="K21" i="42"/>
  <c r="E86" i="42"/>
  <c r="O91" i="58" l="1"/>
  <c r="O48" i="42"/>
  <c r="J21" i="42"/>
  <c r="E104" i="42" l="1"/>
  <c r="F15" i="42" l="1"/>
  <c r="F56" i="42"/>
  <c r="F54" i="42"/>
  <c r="C92" i="42" l="1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3" i="2"/>
  <c r="C54" i="2"/>
  <c r="C55" i="2"/>
  <c r="C56" i="2"/>
  <c r="C57" i="2"/>
  <c r="C58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R69" i="42"/>
  <c r="T1" i="2"/>
  <c r="G13" i="16" s="1"/>
  <c r="S1" i="54"/>
  <c r="G10" i="16" s="1"/>
  <c r="N69" i="42"/>
  <c r="J69" i="42"/>
  <c r="M70" i="42" l="1" a="1"/>
  <c r="M70" i="42" s="1"/>
  <c r="N70" i="42" a="1"/>
  <c r="N70" i="42" s="1"/>
  <c r="P69" i="42"/>
  <c r="O69" i="42"/>
  <c r="S69" i="42"/>
  <c r="Q69" i="42"/>
  <c r="T70" i="42" l="1" a="1"/>
  <c r="T70" i="42" s="1"/>
  <c r="S70" i="42" a="1"/>
  <c r="S70" i="42" s="1"/>
  <c r="Q70" i="42" a="1"/>
  <c r="Q70" i="42" s="1"/>
  <c r="R70" i="42" a="1"/>
  <c r="R70" i="42" s="1"/>
  <c r="O70" i="42" a="1"/>
  <c r="O70" i="42" s="1"/>
  <c r="P70" i="42" a="1"/>
  <c r="P70" i="42" s="1"/>
  <c r="P21" i="2" l="1"/>
  <c r="K17" i="42" s="1"/>
  <c r="K18" i="42" s="1"/>
  <c r="Q31" i="42"/>
  <c r="P31" i="42"/>
  <c r="K31" i="42"/>
  <c r="S31" i="42"/>
  <c r="N31" i="42"/>
  <c r="M31" i="42"/>
  <c r="J31" i="42"/>
  <c r="L31" i="42"/>
  <c r="O31" i="42"/>
  <c r="R31" i="4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O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3" i="42"/>
  <c r="O93" i="42"/>
  <c r="M93" i="42"/>
  <c r="N78" i="42"/>
  <c r="J78" i="42"/>
  <c r="N92" i="42"/>
  <c r="L92" i="42"/>
  <c r="K77" i="42"/>
  <c r="N77" i="42"/>
  <c r="K84" i="42"/>
  <c r="O84" i="42"/>
  <c r="M80" i="42"/>
  <c r="J80" i="42"/>
  <c r="J76" i="42"/>
  <c r="K76" i="42"/>
  <c r="L82" i="42"/>
  <c r="K82" i="42"/>
  <c r="K81" i="42"/>
  <c r="N81" i="42"/>
  <c r="J94" i="42"/>
  <c r="T94" i="42"/>
  <c r="T16" i="44" s="1"/>
  <c r="K83" i="42"/>
  <c r="L83" i="42"/>
  <c r="K79" i="42"/>
  <c r="J79" i="42"/>
  <c r="J92" i="42"/>
  <c r="L77" i="42"/>
  <c r="L80" i="42"/>
  <c r="O81" i="42"/>
  <c r="R94" i="42"/>
  <c r="R16" i="44" s="1"/>
  <c r="N79" i="42"/>
  <c r="J93" i="42"/>
  <c r="P93" i="42"/>
  <c r="P15" i="44" s="1"/>
  <c r="R93" i="42"/>
  <c r="R15" i="44" s="1"/>
  <c r="K78" i="42"/>
  <c r="O92" i="42"/>
  <c r="J77" i="42"/>
  <c r="M84" i="42"/>
  <c r="J84" i="42"/>
  <c r="K80" i="42"/>
  <c r="J82" i="42"/>
  <c r="N94" i="42"/>
  <c r="O94" i="42"/>
  <c r="K94" i="42"/>
  <c r="N83" i="42"/>
  <c r="M79" i="42"/>
  <c r="Q93" i="42"/>
  <c r="Q15" i="44" s="1"/>
  <c r="K93" i="42"/>
  <c r="L78" i="42"/>
  <c r="O77" i="42"/>
  <c r="L84" i="42"/>
  <c r="N80" i="42"/>
  <c r="M81" i="42"/>
  <c r="P94" i="42"/>
  <c r="P16" i="44" s="1"/>
  <c r="L79" i="42"/>
  <c r="T93" i="42"/>
  <c r="T15" i="44" s="1"/>
  <c r="L93" i="42"/>
  <c r="S93" i="42"/>
  <c r="S15" i="44" s="1"/>
  <c r="O78" i="42"/>
  <c r="M78" i="42"/>
  <c r="K92" i="42"/>
  <c r="M92" i="42"/>
  <c r="M77" i="42"/>
  <c r="N84" i="42"/>
  <c r="O80" i="42"/>
  <c r="M76" i="42"/>
  <c r="N76" i="42"/>
  <c r="O76" i="42"/>
  <c r="N82" i="42"/>
  <c r="M82" i="42"/>
  <c r="L81" i="42"/>
  <c r="M94" i="42"/>
  <c r="L94" i="42"/>
  <c r="S94" i="42"/>
  <c r="S16" i="44" s="1"/>
  <c r="O83" i="42"/>
  <c r="J83" i="42"/>
  <c r="O79" i="42"/>
  <c r="L76" i="42"/>
  <c r="O82" i="42"/>
  <c r="J81" i="42"/>
  <c r="Q94" i="42"/>
  <c r="Q16" i="44" s="1"/>
  <c r="M83" i="42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Q25" i="42" l="1"/>
  <c r="Q26" i="42" s="1"/>
  <c r="P17" i="42"/>
  <c r="P18" i="42" s="1"/>
  <c r="R25" i="42"/>
  <c r="R26" i="42" s="1"/>
  <c r="Q17" i="42"/>
  <c r="Q18" i="42" s="1"/>
  <c r="J17" i="42"/>
  <c r="J18" i="42" s="1"/>
  <c r="S25" i="42"/>
  <c r="S26" i="42" s="1"/>
  <c r="O17" i="42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P29" i="2" s="1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K28" i="42" l="1"/>
  <c r="J21" i="2"/>
  <c r="J31" i="2" s="1"/>
  <c r="J20" i="2"/>
  <c r="J30" i="2" s="1"/>
  <c r="P17" i="2"/>
  <c r="P27" i="2" s="1"/>
  <c r="N27" i="2"/>
  <c r="O28" i="2"/>
  <c r="K31" i="2"/>
  <c r="J96" i="42" l="1"/>
  <c r="K54" i="42"/>
  <c r="K56" i="42" s="1"/>
  <c r="L86" i="42"/>
  <c r="S54" i="42"/>
  <c r="S56" i="42" s="1"/>
  <c r="J86" i="42"/>
  <c r="P54" i="42"/>
  <c r="P56" i="42" s="1"/>
  <c r="K86" i="42"/>
  <c r="L96" i="42"/>
  <c r="Q54" i="42"/>
  <c r="Q56" i="42" s="1"/>
  <c r="N86" i="42"/>
  <c r="K96" i="42"/>
  <c r="R54" i="42"/>
  <c r="R56" i="42" s="1"/>
  <c r="O86" i="42"/>
  <c r="N96" i="42"/>
  <c r="M86" i="42"/>
  <c r="J54" i="42"/>
  <c r="O96" i="42"/>
  <c r="M96" i="42"/>
  <c r="J28" i="42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O54" i="42" s="1"/>
  <c r="O56" i="42" l="1"/>
  <c r="N54" i="42"/>
  <c r="N56" i="42" s="1"/>
  <c r="P32" i="53" l="1"/>
  <c r="P92" i="42"/>
  <c r="P14" i="44" l="1"/>
  <c r="P96" i="42"/>
  <c r="Q32" i="53"/>
  <c r="Q92" i="42"/>
  <c r="R32" i="53" l="1"/>
  <c r="R92" i="42"/>
  <c r="Q14" i="44"/>
  <c r="Q96" i="42"/>
  <c r="R14" i="44" l="1"/>
  <c r="R96" i="42"/>
  <c r="S32" i="53"/>
  <c r="S92" i="42"/>
  <c r="T32" i="53" l="1"/>
  <c r="X32" i="53" s="1"/>
  <c r="T92" i="42"/>
  <c r="S14" i="44"/>
  <c r="S96" i="42"/>
  <c r="T14" i="44" l="1"/>
  <c r="T96" i="42"/>
  <c r="T76" i="42" l="1"/>
  <c r="P76" i="42"/>
  <c r="S76" i="42"/>
  <c r="R76" i="42"/>
  <c r="Q76" i="42"/>
  <c r="S77" i="42"/>
  <c r="Q77" i="42"/>
  <c r="T77" i="42"/>
  <c r="P77" i="42"/>
  <c r="R77" i="42"/>
  <c r="C77" i="42"/>
  <c r="C76" i="42"/>
  <c r="R78" i="42" l="1"/>
  <c r="Q78" i="42"/>
  <c r="T78" i="42"/>
  <c r="P78" i="42"/>
  <c r="S78" i="42"/>
  <c r="C78" i="42"/>
  <c r="Q79" i="42" l="1"/>
  <c r="T79" i="42"/>
  <c r="S79" i="42"/>
  <c r="R79" i="42"/>
  <c r="P79" i="42"/>
  <c r="C79" i="42"/>
  <c r="T80" i="42" l="1"/>
  <c r="P80" i="42"/>
  <c r="S80" i="42"/>
  <c r="R80" i="42"/>
  <c r="Q80" i="42"/>
  <c r="C80" i="42"/>
  <c r="S81" i="42" l="1"/>
  <c r="R81" i="42"/>
  <c r="Q81" i="42"/>
  <c r="T81" i="42"/>
  <c r="P81" i="42"/>
  <c r="C81" i="42"/>
  <c r="R82" i="42" l="1"/>
  <c r="Q82" i="42"/>
  <c r="T82" i="42"/>
  <c r="P82" i="42"/>
  <c r="S82" i="42"/>
  <c r="C82" i="42"/>
  <c r="Q83" i="42" l="1"/>
  <c r="T83" i="42"/>
  <c r="P83" i="42"/>
  <c r="S83" i="42"/>
  <c r="R83" i="42"/>
  <c r="C83" i="42"/>
  <c r="T22" i="53" l="1"/>
  <c r="P22" i="53"/>
  <c r="S22" i="53"/>
  <c r="R22" i="53"/>
  <c r="Q84" i="42"/>
  <c r="Q86" i="42" s="1"/>
  <c r="C84" i="42"/>
  <c r="T84" i="42" l="1"/>
  <c r="T86" i="42" s="1"/>
  <c r="T103" i="42" s="1"/>
  <c r="S84" i="42"/>
  <c r="S86" i="42" s="1"/>
  <c r="S102" i="42" s="1"/>
  <c r="S13" i="44" s="1"/>
  <c r="R84" i="42"/>
  <c r="R86" i="42" s="1"/>
  <c r="R103" i="42" s="1"/>
  <c r="P84" i="42"/>
  <c r="P86" i="42" s="1"/>
  <c r="P102" i="42" s="1"/>
  <c r="P13" i="44" s="1"/>
  <c r="Q22" i="53"/>
  <c r="X22" i="53" s="1"/>
  <c r="Q103" i="42"/>
  <c r="Q102" i="42"/>
  <c r="Q13" i="44" s="1"/>
  <c r="T102" i="42" l="1"/>
  <c r="T13" i="44" s="1"/>
  <c r="R102" i="42"/>
  <c r="R13" i="44" s="1"/>
  <c r="S103" i="42"/>
  <c r="P103" i="42"/>
  <c r="P104" i="42" l="1"/>
  <c r="P40" i="53"/>
  <c r="Q40" i="53" l="1"/>
  <c r="Q104" i="42"/>
  <c r="R104" i="42" l="1"/>
  <c r="R40" i="53"/>
  <c r="T40" i="53" l="1"/>
  <c r="T104" i="42"/>
  <c r="S104" i="42" l="1"/>
  <c r="S40" i="53"/>
  <c r="X40" i="53" s="1"/>
  <c r="S1" i="53" s="1"/>
  <c r="G14" i="16" s="1"/>
  <c r="S1" i="16" s="1"/>
  <c r="W1" i="44" l="1"/>
  <c r="W1" i="55"/>
  <c r="V1" i="54"/>
  <c r="W1" i="58"/>
  <c r="W1" i="42"/>
  <c r="W1" i="53"/>
  <c r="W1" i="2"/>
  <c r="V1" i="4"/>
</calcChain>
</file>

<file path=xl/sharedStrings.xml><?xml version="1.0" encoding="utf-8"?>
<sst xmlns="http://schemas.openxmlformats.org/spreadsheetml/2006/main" count="821" uniqueCount="261">
  <si>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</si>
  <si>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</si>
  <si>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</si>
  <si>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</si>
  <si>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</si>
  <si>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</si>
  <si>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</si>
  <si>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</si>
  <si>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</si>
  <si>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</si>
  <si>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</si>
  <si>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</si>
  <si>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</si>
  <si>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</si>
  <si>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</si>
  <si>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</si>
  <si>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</si>
  <si>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</si>
  <si>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</si>
  <si>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</si>
  <si>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</si>
  <si>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</si>
  <si>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</si>
  <si>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</si>
  <si>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</si>
  <si>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</si>
  <si>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</si>
  <si>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</si>
  <si>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</si>
  <si>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</si>
  <si>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</si>
  <si>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</si>
  <si>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</si>
  <si>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</si>
  <si>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</si>
  <si>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</si>
  <si>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</si>
  <si>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</si>
  <si>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</si>
  <si>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</si>
  <si>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</si>
  <si>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</si>
  <si>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</si>
  <si>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</si>
  <si>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</si>
  <si>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</si>
  <si>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</si>
  <si>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</si>
  <si>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</si>
  <si>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</si>
  <si>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</si>
  <si>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</si>
  <si>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</si>
  <si>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</si>
  <si>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</si>
  <si>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</si>
  <si>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</si>
  <si>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</si>
  <si>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</si>
  <si>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</si>
  <si>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</si>
  <si>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</si>
  <si>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</si>
  <si>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</si>
  <si>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</si>
  <si>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</si>
  <si>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</si>
  <si>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</si>
  <si>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</si>
  <si>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</si>
  <si>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</si>
  <si>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</si>
  <si>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</si>
  <si>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</si>
  <si>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</si>
  <si>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</si>
  <si>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</si>
  <si>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</si>
  <si>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</si>
  <si>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</si>
  <si>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</si>
  <si>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</si>
  <si>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</si>
  <si>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</si>
  <si>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</si>
  <si>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</si>
  <si>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</si>
  <si>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</si>
  <si>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</si>
  <si>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</si>
  <si>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</si>
  <si>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</si>
  <si>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</si>
  <si>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</si>
  <si>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</si>
  <si>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</si>
  <si>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</si>
  <si>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</si>
  <si>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</si>
  <si>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</si>
  <si>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</si>
  <si>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</si>
  <si>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</si>
  <si>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</si>
  <si>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</si>
  <si>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</si>
  <si>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</si>
  <si>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</si>
  <si>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</si>
  <si>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</si>
  <si>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</si>
  <si>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</si>
  <si>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</si>
  <si>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</si>
  <si>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</si>
  <si>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</si>
  <si>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</si>
  <si>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</si>
  <si>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</si>
  <si>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</si>
  <si>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</si>
  <si>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</si>
  <si>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</si>
  <si>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</si>
  <si>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</si>
  <si>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</si>
  <si>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</si>
  <si>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</si>
  <si>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</si>
  <si>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</si>
  <si>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</si>
  <si>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</si>
  <si>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</si>
  <si>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</si>
  <si>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</si>
  <si>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</si>
  <si>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</si>
  <si>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</si>
  <si>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</si>
  <si>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</si>
  <si>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</si>
  <si>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</si>
  <si>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</si>
  <si>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</si>
  <si>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</si>
  <si>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</si>
  <si>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</si>
  <si>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</si>
  <si>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</si>
  <si>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</si>
  <si>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</si>
  <si>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</si>
  <si>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</si>
  <si>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</si>
  <si>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</si>
  <si>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</si>
  <si>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</si>
  <si>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</si>
  <si>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</si>
  <si>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</si>
  <si>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</si>
  <si>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</si>
  <si>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</si>
  <si>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</si>
  <si>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</si>
  <si>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</si>
  <si>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</si>
  <si>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</si>
  <si>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</si>
  <si>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</si>
  <si>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</si>
  <si>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</si>
  <si>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</si>
  <si>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</si>
  <si>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</si>
  <si>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</si>
  <si>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</si>
  <si>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</si>
  <si>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</si>
  <si>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</si>
  <si>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</si>
  <si>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</si>
  <si>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</si>
  <si>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</si>
  <si>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</si>
  <si>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</si>
  <si>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</si>
  <si>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</si>
  <si>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</si>
  <si>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</si>
  <si>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</si>
  <si>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</si>
  <si>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</si>
  <si>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</si>
  <si>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</si>
  <si>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</si>
  <si>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</si>
  <si>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</si>
  <si>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</si>
  <si>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</si>
  <si>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</si>
  <si>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</si>
  <si>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</si>
  <si>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</si>
  <si>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</si>
  <si>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CitiPower</t>
  </si>
  <si>
    <t>Emergency recoverable works</t>
  </si>
  <si>
    <t>Communications network</t>
  </si>
  <si>
    <t>Wasted truck visits</t>
  </si>
  <si>
    <t>Replacement expenditure on faults and minor repairs</t>
  </si>
  <si>
    <t>Cell</t>
  </si>
  <si>
    <t>Description</t>
  </si>
  <si>
    <t>Input|Reported opex</t>
  </si>
  <si>
    <t>H84, M84</t>
  </si>
  <si>
    <t>Comms network opex adjustment</t>
  </si>
  <si>
    <t>Input|Rate of change</t>
  </si>
  <si>
    <t>Row 39</t>
  </si>
  <si>
    <t>Added inputs for BIS Oxford</t>
  </si>
  <si>
    <t>Row 40</t>
  </si>
  <si>
    <t>Calculated average of DAE and BIS oxford</t>
  </si>
  <si>
    <t>Rows 51 and 53</t>
  </si>
  <si>
    <t>Moved price change weighting from row 51 to row 53 to pick up average</t>
  </si>
  <si>
    <t>Input|Step changes</t>
  </si>
  <si>
    <t>Linked to step change model</t>
  </si>
  <si>
    <t>P40:T40</t>
  </si>
  <si>
    <t>Linked to PTRM</t>
  </si>
  <si>
    <t>Communications network opex allocation to SCS</t>
  </si>
  <si>
    <t>Average of DAE and BIS Oxford</t>
  </si>
  <si>
    <t>RRP Change</t>
  </si>
  <si>
    <t>Input|General</t>
  </si>
  <si>
    <t>G8</t>
  </si>
  <si>
    <t>Changed to 'revised'</t>
  </si>
  <si>
    <t>Inputs added for calculating amount, including 2019 cost from draft decision metering cost model</t>
  </si>
  <si>
    <t>Minor repairs and faults</t>
  </si>
  <si>
    <t>Linked to calculate from inputs in row 84</t>
  </si>
  <si>
    <t>C12:C20, P12:T20</t>
  </si>
  <si>
    <t>Converted to June 2021 dollars and average of 2017 to 2019 calculated</t>
  </si>
  <si>
    <t>ESV Levy</t>
  </si>
  <si>
    <t>ESV levy</t>
  </si>
  <si>
    <t>WPI – BIS Oxford November 2020</t>
  </si>
  <si>
    <t>Rows 84:86</t>
  </si>
  <si>
    <t>Inserted rows</t>
  </si>
  <si>
    <t>I85:M85</t>
  </si>
  <si>
    <t>2015 to 2019 actual data added</t>
  </si>
  <si>
    <t>M86</t>
  </si>
  <si>
    <t>2019 data added</t>
  </si>
  <si>
    <t>O89</t>
  </si>
  <si>
    <t>I91:M91, O91</t>
  </si>
  <si>
    <t>M92, O92</t>
  </si>
  <si>
    <t>Converted to June 2021 dollars for negative base adjustment</t>
  </si>
  <si>
    <t>GSLs</t>
  </si>
  <si>
    <t>C28, P28:T28</t>
  </si>
  <si>
    <t>GSLs increased by 50% as a placeholder estimate for final Electricity Distribution Code review; description amended in C28</t>
  </si>
  <si>
    <t>revised proposal</t>
  </si>
  <si>
    <t>21 Dec update</t>
  </si>
  <si>
    <t>21 December 2020 Amendments</t>
  </si>
  <si>
    <t>Row 28</t>
  </si>
  <si>
    <t>Linked to category specific forecasts model</t>
  </si>
  <si>
    <t>Row 29</t>
  </si>
  <si>
    <t>Yarra trams</t>
  </si>
  <si>
    <t>CP RRP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</si>
</sst>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  <numFmt numFmtId="207" formatCode="_(* #,##0.0000_);_(* \(#,##0.0000\);_(* &quot;-&quot;??_);_(@_)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273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5" fontId="11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6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7" fontId="20" fillId="4" borderId="0" applyNumberFormat="0" applyFont="0" applyBorder="0" applyAlignment="0">
      <alignment horizontal="right"/>
    </xf>
    <xf numFmtId="167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7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7" fontId="20" fillId="36" borderId="0" applyFont="0" applyBorder="0" applyAlignment="0">
      <alignment horizontal="right"/>
      <protection locked="0"/>
    </xf>
    <xf numFmtId="167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7" fontId="20" fillId="10" borderId="0" applyFont="0" applyBorder="0">
      <alignment horizontal="right"/>
      <protection locked="0"/>
    </xf>
    <xf numFmtId="167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0" borderId="0"/>
    <xf numFmtId="164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0" fillId="0" borderId="0"/>
    <xf numFmtId="206" fontId="20" fillId="0" borderId="0" applyFill="0" applyBorder="0">
      <alignment vertical="center"/>
    </xf>
    <xf numFmtId="0" fontId="20" fillId="0" borderId="0"/>
  </cellStyleXfs>
  <cellXfs count="252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5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5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5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5" fontId="10" fillId="0" borderId="3" xfId="0" applyNumberFormat="1" applyFont="1" applyBorder="1" applyAlignment="1" applyProtection="1">
      <alignment horizontal="center"/>
    </xf>
    <xf numFmtId="165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5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0" fontId="91" fillId="0" borderId="0" xfId="272" applyFont="1"/>
    <xf numFmtId="0" fontId="92" fillId="0" borderId="7" xfId="272" applyFont="1" applyBorder="1" applyAlignment="1">
      <alignment vertical="top"/>
    </xf>
    <xf numFmtId="0" fontId="91" fillId="0" borderId="0" xfId="272" applyFont="1" applyFill="1"/>
    <xf numFmtId="203" fontId="6" fillId="0" borderId="0" xfId="0" applyNumberFormat="1" applyFont="1" applyAlignment="1">
      <alignment horizontal="center"/>
    </xf>
    <xf numFmtId="0" fontId="92" fillId="0" borderId="0" xfId="272" applyFont="1" applyBorder="1" applyAlignment="1">
      <alignment vertical="top"/>
    </xf>
    <xf numFmtId="0" fontId="91" fillId="0" borderId="0" xfId="272" applyFont="1" applyBorder="1" applyAlignment="1">
      <alignment vertical="top"/>
    </xf>
    <xf numFmtId="0" fontId="0" fillId="50" borderId="0" xfId="0" applyFont="1" applyFill="1" applyBorder="1" applyProtection="1"/>
    <xf numFmtId="165" fontId="4" fillId="50" borderId="3" xfId="0" applyNumberFormat="1" applyFont="1" applyFill="1" applyBorder="1" applyProtection="1">
      <protection locked="0"/>
    </xf>
    <xf numFmtId="2" fontId="4" fillId="50" borderId="3" xfId="0" applyNumberFormat="1" applyFont="1" applyFill="1" applyBorder="1" applyAlignment="1" applyProtection="1">
      <alignment horizontal="left" indent="1"/>
      <protection locked="0"/>
    </xf>
    <xf numFmtId="195" fontId="4" fillId="50" borderId="3" xfId="2" applyNumberFormat="1" applyFont="1" applyFill="1" applyBorder="1" applyAlignment="1" applyProtection="1">
      <alignment horizontal="center"/>
      <protection locked="0"/>
    </xf>
    <xf numFmtId="10" fontId="4" fillId="50" borderId="26" xfId="2" applyNumberFormat="1" applyFont="1" applyFill="1" applyBorder="1" applyAlignment="1" applyProtection="1">
      <alignment horizontal="center"/>
      <protection locked="0"/>
    </xf>
    <xf numFmtId="10" fontId="4" fillId="50" borderId="3" xfId="2" applyNumberFormat="1" applyFont="1" applyFill="1" applyBorder="1" applyAlignment="1" applyProtection="1">
      <alignment horizontal="center"/>
      <protection locked="0"/>
    </xf>
    <xf numFmtId="49" fontId="4" fillId="50" borderId="3" xfId="0" applyNumberFormat="1" applyFont="1" applyFill="1" applyBorder="1" applyAlignment="1" applyProtection="1">
      <alignment horizontal="left" indent="1"/>
      <protection locked="0"/>
    </xf>
    <xf numFmtId="169" fontId="4" fillId="50" borderId="3" xfId="0" applyNumberFormat="1" applyFont="1" applyFill="1" applyBorder="1" applyAlignment="1" applyProtection="1">
      <alignment horizontal="center"/>
      <protection locked="0"/>
    </xf>
    <xf numFmtId="203" fontId="5" fillId="50" borderId="3" xfId="0" applyNumberFormat="1" applyFont="1" applyFill="1" applyBorder="1" applyAlignment="1">
      <alignment horizontal="center"/>
    </xf>
    <xf numFmtId="9" fontId="4" fillId="50" borderId="3" xfId="2" applyFont="1" applyFill="1" applyBorder="1" applyAlignment="1" applyProtection="1">
      <alignment horizontal="center"/>
      <protection locked="0"/>
    </xf>
    <xf numFmtId="204" fontId="13" fillId="50" borderId="3" xfId="0" applyNumberFormat="1" applyFont="1" applyFill="1" applyBorder="1" applyAlignment="1">
      <alignment horizontal="center"/>
    </xf>
    <xf numFmtId="2" fontId="4" fillId="50" borderId="31" xfId="0" applyNumberFormat="1" applyFont="1" applyFill="1" applyBorder="1" applyAlignment="1" applyProtection="1">
      <alignment horizontal="center"/>
      <protection locked="0"/>
    </xf>
    <xf numFmtId="193" fontId="4" fillId="50" borderId="3" xfId="0" applyNumberFormat="1" applyFont="1" applyFill="1" applyBorder="1" applyAlignment="1" applyProtection="1">
      <alignment horizontal="left" indent="1"/>
    </xf>
    <xf numFmtId="2" fontId="4" fillId="0" borderId="0" xfId="0" applyNumberFormat="1" applyFont="1" applyAlignment="1" applyProtection="1">
      <alignment horizontal="center"/>
      <protection locked="0"/>
    </xf>
    <xf numFmtId="2" fontId="4" fillId="50" borderId="3" xfId="0" applyNumberFormat="1" applyFont="1" applyFill="1" applyBorder="1" applyAlignment="1" applyProtection="1">
      <alignment horizontal="center"/>
      <protection locked="0"/>
    </xf>
    <xf numFmtId="207" fontId="6" fillId="0" borderId="0" xfId="6" applyNumberFormat="1" applyFont="1" applyBorder="1" applyAlignment="1" applyProtection="1">
      <alignment horizontal="center"/>
    </xf>
    <xf numFmtId="2" fontId="4" fillId="51" borderId="3" xfId="0" applyNumberFormat="1" applyFont="1" applyFill="1" applyBorder="1" applyAlignment="1" applyProtection="1">
      <alignment horizontal="left" indent="1"/>
      <protection locked="0"/>
    </xf>
    <xf numFmtId="165" fontId="4" fillId="51" borderId="3" xfId="0" applyNumberFormat="1" applyFont="1" applyFill="1" applyBorder="1" applyProtection="1">
      <protection locked="0"/>
    </xf>
    <xf numFmtId="0" fontId="0" fillId="51" borderId="1" xfId="0" applyFont="1" applyFill="1" applyBorder="1" applyProtection="1"/>
    <xf numFmtId="0" fontId="92" fillId="50" borderId="0" xfId="272" applyFont="1" applyFill="1"/>
    <xf numFmtId="0" fontId="91" fillId="50" borderId="0" xfId="272" applyFont="1" applyFill="1"/>
    <xf numFmtId="0" fontId="92" fillId="51" borderId="0" xfId="272" applyFont="1" applyFill="1"/>
    <xf numFmtId="0" fontId="91" fillId="51" borderId="0" xfId="272" applyFont="1" applyFill="1"/>
    <xf numFmtId="0" fontId="72" fillId="38" borderId="2" xfId="0" applyNumberFormat="1" applyFont="1" applyFill="1" applyBorder="1" applyAlignment="1" applyProtection="1">
      <alignment horizontal="center"/>
    </xf>
  </cellXfs>
  <cellStyles count="273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 9" xfId="267" xr:uid="{00000000-0005-0000-0000-000052000000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2" xfId="89" xr:uid="{00000000-0005-0000-0000-000056000000}"/>
    <cellStyle name="Currency 2 2" xfId="90" xr:uid="{00000000-0005-0000-0000-000057000000}"/>
    <cellStyle name="Currency 3" xfId="91" xr:uid="{00000000-0005-0000-0000-000058000000}"/>
    <cellStyle name="Currency 3 2" xfId="92" xr:uid="{00000000-0005-0000-0000-000059000000}"/>
    <cellStyle name="Currency 4" xfId="93" xr:uid="{00000000-0005-0000-0000-00005A000000}"/>
    <cellStyle name="Currency 4 2" xfId="94" xr:uid="{00000000-0005-0000-0000-00005B000000}"/>
    <cellStyle name="Currency 5" xfId="243" xr:uid="{00000000-0005-0000-0000-00005C000000}"/>
    <cellStyle name="Currency 6" xfId="265" xr:uid="{00000000-0005-0000-0000-00005D000000}"/>
    <cellStyle name="D4_B8B1_005004B79812_.wvu.PrintTitlest" xfId="95" xr:uid="{00000000-0005-0000-0000-00005E000000}"/>
    <cellStyle name="Date" xfId="96" xr:uid="{00000000-0005-0000-0000-00005F000000}"/>
    <cellStyle name="Date 2" xfId="97" xr:uid="{00000000-0005-0000-0000-000060000000}"/>
    <cellStyle name="Emphasis 1" xfId="98" xr:uid="{00000000-0005-0000-0000-000061000000}"/>
    <cellStyle name="Emphasis 2" xfId="99" xr:uid="{00000000-0005-0000-0000-000062000000}"/>
    <cellStyle name="Emphasis 3" xfId="100" xr:uid="{00000000-0005-0000-0000-000063000000}"/>
    <cellStyle name="Empty_Cell" xfId="247" xr:uid="{00000000-0005-0000-0000-000064000000}"/>
    <cellStyle name="Euro" xfId="101" xr:uid="{00000000-0005-0000-0000-000065000000}"/>
    <cellStyle name="Explanatory Text 2" xfId="102" xr:uid="{00000000-0005-0000-0000-000066000000}"/>
    <cellStyle name="Fixed" xfId="103" xr:uid="{00000000-0005-0000-0000-000067000000}"/>
    <cellStyle name="Fixed 2" xfId="104" xr:uid="{00000000-0005-0000-0000-000068000000}"/>
    <cellStyle name="Gilsans" xfId="105" xr:uid="{00000000-0005-0000-0000-000069000000}"/>
    <cellStyle name="Gilsansl" xfId="106" xr:uid="{00000000-0005-0000-0000-00006A000000}"/>
    <cellStyle name="Good 2" xfId="107" xr:uid="{00000000-0005-0000-0000-00006B000000}"/>
    <cellStyle name="Header1" xfId="248" xr:uid="{00000000-0005-0000-0000-00006C000000}"/>
    <cellStyle name="Header2" xfId="249" xr:uid="{00000000-0005-0000-0000-00006D000000}"/>
    <cellStyle name="Header3" xfId="250" xr:uid="{00000000-0005-0000-0000-00006E000000}"/>
    <cellStyle name="Header4" xfId="251" xr:uid="{00000000-0005-0000-0000-00006F000000}"/>
    <cellStyle name="Header5" xfId="252" xr:uid="{00000000-0005-0000-0000-000070000000}"/>
    <cellStyle name="Heading 1 2" xfId="108" xr:uid="{00000000-0005-0000-0000-000071000000}"/>
    <cellStyle name="Heading 1 2 2" xfId="109" xr:uid="{00000000-0005-0000-0000-000072000000}"/>
    <cellStyle name="Heading 1 3" xfId="110" xr:uid="{00000000-0005-0000-0000-000073000000}"/>
    <cellStyle name="Heading 2 2" xfId="111" xr:uid="{00000000-0005-0000-0000-000074000000}"/>
    <cellStyle name="Heading 2 2 2" xfId="112" xr:uid="{00000000-0005-0000-0000-000075000000}"/>
    <cellStyle name="Heading 2 3" xfId="113" xr:uid="{00000000-0005-0000-0000-000076000000}"/>
    <cellStyle name="Heading 3 2" xfId="114" xr:uid="{00000000-0005-0000-0000-000077000000}"/>
    <cellStyle name="Heading 3 2 2" xfId="115" xr:uid="{00000000-0005-0000-0000-000078000000}"/>
    <cellStyle name="Heading 3 3" xfId="116" xr:uid="{00000000-0005-0000-0000-000079000000}"/>
    <cellStyle name="Heading 4 2" xfId="117" xr:uid="{00000000-0005-0000-0000-00007A000000}"/>
    <cellStyle name="Heading 4 2 2" xfId="118" xr:uid="{00000000-0005-0000-0000-00007B000000}"/>
    <cellStyle name="Heading 4 3" xfId="119" xr:uid="{00000000-0005-0000-0000-00007C000000}"/>
    <cellStyle name="Heading(4)" xfId="120" xr:uid="{00000000-0005-0000-0000-00007D000000}"/>
    <cellStyle name="Hyperlink" xfId="3" builtinId="8"/>
    <cellStyle name="Hyperlink 2" xfId="121" xr:uid="{00000000-0005-0000-0000-00007F000000}"/>
    <cellStyle name="Hyperlink Arrow" xfId="122" xr:uid="{00000000-0005-0000-0000-000080000000}"/>
    <cellStyle name="Hyperlink Text" xfId="123" xr:uid="{00000000-0005-0000-0000-000081000000}"/>
    <cellStyle name="Input 2" xfId="124" xr:uid="{00000000-0005-0000-0000-000082000000}"/>
    <cellStyle name="Input|Date" xfId="1" xr:uid="{00000000-0005-0000-0000-000083000000}"/>
    <cellStyle name="Input1" xfId="125" xr:uid="{00000000-0005-0000-0000-000084000000}"/>
    <cellStyle name="Input1 2" xfId="126" xr:uid="{00000000-0005-0000-0000-000085000000}"/>
    <cellStyle name="Input2" xfId="127" xr:uid="{00000000-0005-0000-0000-000086000000}"/>
    <cellStyle name="Input2 2" xfId="128" xr:uid="{00000000-0005-0000-0000-000087000000}"/>
    <cellStyle name="Input3" xfId="129" xr:uid="{00000000-0005-0000-0000-000088000000}"/>
    <cellStyle name="Input3 2" xfId="130" xr:uid="{00000000-0005-0000-0000-000089000000}"/>
    <cellStyle name="Inputs_Divider" xfId="253" xr:uid="{00000000-0005-0000-0000-00008A000000}"/>
    <cellStyle name="InSheet" xfId="254" xr:uid="{00000000-0005-0000-0000-00008B000000}"/>
    <cellStyle name="K_Number" xfId="271" xr:uid="{00000000-0005-0000-0000-00008C000000}"/>
    <cellStyle name="Lines" xfId="131" xr:uid="{00000000-0005-0000-0000-00008D000000}"/>
    <cellStyle name="Linked Cell 2" xfId="132" xr:uid="{00000000-0005-0000-0000-00008E000000}"/>
    <cellStyle name="Mine" xfId="133" xr:uid="{00000000-0005-0000-0000-00008F000000}"/>
    <cellStyle name="Model Name" xfId="134" xr:uid="{00000000-0005-0000-0000-000090000000}"/>
    <cellStyle name="Neutral 2" xfId="135" xr:uid="{00000000-0005-0000-0000-000091000000}"/>
    <cellStyle name="Normal" xfId="0" builtinId="0"/>
    <cellStyle name="Normal - Style1" xfId="136" xr:uid="{00000000-0005-0000-0000-000093000000}"/>
    <cellStyle name="Normal 10" xfId="241" xr:uid="{00000000-0005-0000-0000-000094000000}"/>
    <cellStyle name="Normal 10 2" xfId="272" xr:uid="{EA57D9F2-0000-4AB1-8189-6EDB16C732C9}"/>
    <cellStyle name="Normal 11" xfId="264" xr:uid="{00000000-0005-0000-0000-000095000000}"/>
    <cellStyle name="Normal 12" xfId="268" xr:uid="{00000000-0005-0000-0000-000096000000}"/>
    <cellStyle name="Normal 13" xfId="137" xr:uid="{00000000-0005-0000-0000-000097000000}"/>
    <cellStyle name="Normal 13 2" xfId="7" xr:uid="{00000000-0005-0000-0000-000098000000}"/>
    <cellStyle name="Normal 13_29(d) - Gas extensions -tariffs" xfId="138" xr:uid="{00000000-0005-0000-0000-000099000000}"/>
    <cellStyle name="Normal 15" xfId="139" xr:uid="{00000000-0005-0000-0000-00009A000000}"/>
    <cellStyle name="Normal 16" xfId="140" xr:uid="{00000000-0005-0000-0000-00009B000000}"/>
    <cellStyle name="Normal 2" xfId="141" xr:uid="{00000000-0005-0000-0000-00009C000000}"/>
    <cellStyle name="Normal 2 2" xfId="142" xr:uid="{00000000-0005-0000-0000-00009D000000}"/>
    <cellStyle name="Normal 2 2 2" xfId="143" xr:uid="{00000000-0005-0000-0000-00009E000000}"/>
    <cellStyle name="Normal 2 3" xfId="144" xr:uid="{00000000-0005-0000-0000-00009F000000}"/>
    <cellStyle name="Normal 2 3 2" xfId="145" xr:uid="{00000000-0005-0000-0000-0000A0000000}"/>
    <cellStyle name="Normal 2 3_29(d) - Gas extensions -tariffs" xfId="146" xr:uid="{00000000-0005-0000-0000-0000A1000000}"/>
    <cellStyle name="Normal 2 4" xfId="147" xr:uid="{00000000-0005-0000-0000-0000A2000000}"/>
    <cellStyle name="Normal 2 5" xfId="148" xr:uid="{00000000-0005-0000-0000-0000A3000000}"/>
    <cellStyle name="Normal 2_29(d) - Gas extensions -tariffs" xfId="149" xr:uid="{00000000-0005-0000-0000-0000A4000000}"/>
    <cellStyle name="Normal 3" xfId="150" xr:uid="{00000000-0005-0000-0000-0000A5000000}"/>
    <cellStyle name="Normal 3 2" xfId="151" xr:uid="{00000000-0005-0000-0000-0000A6000000}"/>
    <cellStyle name="Normal 3_29(d) - Gas extensions -tariffs" xfId="152" xr:uid="{00000000-0005-0000-0000-0000A7000000}"/>
    <cellStyle name="Normal 38" xfId="153" xr:uid="{00000000-0005-0000-0000-0000A8000000}"/>
    <cellStyle name="Normal 38 2" xfId="154" xr:uid="{00000000-0005-0000-0000-0000A9000000}"/>
    <cellStyle name="Normal 38_29(d) - Gas extensions -tariffs" xfId="155" xr:uid="{00000000-0005-0000-0000-0000AA000000}"/>
    <cellStyle name="Normal 4" xfId="156" xr:uid="{00000000-0005-0000-0000-0000AB000000}"/>
    <cellStyle name="Normal 4 2" xfId="157" xr:uid="{00000000-0005-0000-0000-0000AC000000}"/>
    <cellStyle name="Normal 4 3" xfId="158" xr:uid="{00000000-0005-0000-0000-0000AD000000}"/>
    <cellStyle name="Normal 4_29(d) - Gas extensions -tariffs" xfId="159" xr:uid="{00000000-0005-0000-0000-0000AE000000}"/>
    <cellStyle name="Normal 40" xfId="160" xr:uid="{00000000-0005-0000-0000-0000AF000000}"/>
    <cellStyle name="Normal 40 2" xfId="161" xr:uid="{00000000-0005-0000-0000-0000B0000000}"/>
    <cellStyle name="Normal 40_29(d) - Gas extensions -tariffs" xfId="162" xr:uid="{00000000-0005-0000-0000-0000B1000000}"/>
    <cellStyle name="Normal 42" xfId="270" xr:uid="{00000000-0005-0000-0000-0000B2000000}"/>
    <cellStyle name="Normal 5" xfId="163" xr:uid="{00000000-0005-0000-0000-0000B3000000}"/>
    <cellStyle name="Normal 5 2" xfId="164" xr:uid="{00000000-0005-0000-0000-0000B4000000}"/>
    <cellStyle name="Normal 6" xfId="165" xr:uid="{00000000-0005-0000-0000-0000B5000000}"/>
    <cellStyle name="Normal 6 2" xfId="166" xr:uid="{00000000-0005-0000-0000-0000B6000000}"/>
    <cellStyle name="Normal 7" xfId="9" xr:uid="{00000000-0005-0000-0000-0000B7000000}"/>
    <cellStyle name="Normal 7 2" xfId="167" xr:uid="{00000000-0005-0000-0000-0000B8000000}"/>
    <cellStyle name="Normal 8" xfId="168" xr:uid="{00000000-0005-0000-0000-0000B9000000}"/>
    <cellStyle name="Normal 9" xfId="169" xr:uid="{00000000-0005-0000-0000-0000BA000000}"/>
    <cellStyle name="Note 2" xfId="170" xr:uid="{00000000-0005-0000-0000-0000BB000000}"/>
    <cellStyle name="OffSheet" xfId="255" xr:uid="{00000000-0005-0000-0000-0000BC000000}"/>
    <cellStyle name="Output 2" xfId="171" xr:uid="{00000000-0005-0000-0000-0000BD000000}"/>
    <cellStyle name="Percent" xfId="2" builtinId="5"/>
    <cellStyle name="Percent [2]" xfId="172" xr:uid="{00000000-0005-0000-0000-0000BF000000}"/>
    <cellStyle name="Percent [2] 2" xfId="173" xr:uid="{00000000-0005-0000-0000-0000C0000000}"/>
    <cellStyle name="Percent [2]_29(d) - Gas extensions -tariffs" xfId="174" xr:uid="{00000000-0005-0000-0000-0000C1000000}"/>
    <cellStyle name="Percent 2" xfId="4" xr:uid="{00000000-0005-0000-0000-0000C2000000}"/>
    <cellStyle name="Percent 2 2" xfId="175" xr:uid="{00000000-0005-0000-0000-0000C3000000}"/>
    <cellStyle name="Percent 3" xfId="176" xr:uid="{00000000-0005-0000-0000-0000C4000000}"/>
    <cellStyle name="Percent 3 2" xfId="177" xr:uid="{00000000-0005-0000-0000-0000C5000000}"/>
    <cellStyle name="Percent 4" xfId="178" xr:uid="{00000000-0005-0000-0000-0000C6000000}"/>
    <cellStyle name="Percent 5" xfId="242" xr:uid="{00000000-0005-0000-0000-0000C7000000}"/>
    <cellStyle name="Percent 6" xfId="266" xr:uid="{00000000-0005-0000-0000-0000C8000000}"/>
    <cellStyle name="Percent 7" xfId="179" xr:uid="{00000000-0005-0000-0000-0000C9000000}"/>
    <cellStyle name="Percent 8" xfId="269" xr:uid="{00000000-0005-0000-0000-0000CA000000}"/>
    <cellStyle name="Percentage" xfId="180" xr:uid="{00000000-0005-0000-0000-0000CB000000}"/>
    <cellStyle name="Period Title" xfId="181" xr:uid="{00000000-0005-0000-0000-0000CC000000}"/>
    <cellStyle name="PSChar" xfId="182" xr:uid="{00000000-0005-0000-0000-0000CD000000}"/>
    <cellStyle name="PSDate" xfId="183" xr:uid="{00000000-0005-0000-0000-0000CE000000}"/>
    <cellStyle name="PSDec" xfId="184" xr:uid="{00000000-0005-0000-0000-0000CF000000}"/>
    <cellStyle name="PSDetail" xfId="185" xr:uid="{00000000-0005-0000-0000-0000D0000000}"/>
    <cellStyle name="PSHeading" xfId="186" xr:uid="{00000000-0005-0000-0000-0000D1000000}"/>
    <cellStyle name="PSInt" xfId="187" xr:uid="{00000000-0005-0000-0000-0000D2000000}"/>
    <cellStyle name="PSSpacer" xfId="188" xr:uid="{00000000-0005-0000-0000-0000D3000000}"/>
    <cellStyle name="Ratio" xfId="189" xr:uid="{00000000-0005-0000-0000-0000D4000000}"/>
    <cellStyle name="Ratio 2" xfId="190" xr:uid="{00000000-0005-0000-0000-0000D5000000}"/>
    <cellStyle name="Ratio_29(d) - Gas extensions -tariffs" xfId="191" xr:uid="{00000000-0005-0000-0000-0000D6000000}"/>
    <cellStyle name="Right Date" xfId="192" xr:uid="{00000000-0005-0000-0000-0000D7000000}"/>
    <cellStyle name="Right Number" xfId="193" xr:uid="{00000000-0005-0000-0000-0000D8000000}"/>
    <cellStyle name="Right Year" xfId="194" xr:uid="{00000000-0005-0000-0000-0000D9000000}"/>
    <cellStyle name="SAPError" xfId="195" xr:uid="{00000000-0005-0000-0000-0000DA000000}"/>
    <cellStyle name="SAPError 2" xfId="196" xr:uid="{00000000-0005-0000-0000-0000DB000000}"/>
    <cellStyle name="SAPKey" xfId="197" xr:uid="{00000000-0005-0000-0000-0000DC000000}"/>
    <cellStyle name="SAPKey 2" xfId="198" xr:uid="{00000000-0005-0000-0000-0000DD000000}"/>
    <cellStyle name="SAPLocked" xfId="199" xr:uid="{00000000-0005-0000-0000-0000DE000000}"/>
    <cellStyle name="SAPLocked 2" xfId="200" xr:uid="{00000000-0005-0000-0000-0000DF000000}"/>
    <cellStyle name="SAPOutput" xfId="201" xr:uid="{00000000-0005-0000-0000-0000E0000000}"/>
    <cellStyle name="SAPOutput 2" xfId="202" xr:uid="{00000000-0005-0000-0000-0000E1000000}"/>
    <cellStyle name="SAPSpace" xfId="203" xr:uid="{00000000-0005-0000-0000-0000E2000000}"/>
    <cellStyle name="SAPSpace 2" xfId="204" xr:uid="{00000000-0005-0000-0000-0000E3000000}"/>
    <cellStyle name="SAPText" xfId="205" xr:uid="{00000000-0005-0000-0000-0000E4000000}"/>
    <cellStyle name="SAPText 2" xfId="206" xr:uid="{00000000-0005-0000-0000-0000E5000000}"/>
    <cellStyle name="SAPUnLocked" xfId="207" xr:uid="{00000000-0005-0000-0000-0000E6000000}"/>
    <cellStyle name="SAPUnLocked 2" xfId="208" xr:uid="{00000000-0005-0000-0000-0000E7000000}"/>
    <cellStyle name="Sheet Title" xfId="209" xr:uid="{00000000-0005-0000-0000-0000E8000000}"/>
    <cellStyle name="SheetHeader1" xfId="256" xr:uid="{00000000-0005-0000-0000-0000E9000000}"/>
    <cellStyle name="SheetHeader2" xfId="257" xr:uid="{00000000-0005-0000-0000-0000EA000000}"/>
    <cellStyle name="SheetHeader3" xfId="258" xr:uid="{00000000-0005-0000-0000-0000EB000000}"/>
    <cellStyle name="Style 1" xfId="210" xr:uid="{00000000-0005-0000-0000-0000EC000000}"/>
    <cellStyle name="Style 1 2" xfId="211" xr:uid="{00000000-0005-0000-0000-0000ED000000}"/>
    <cellStyle name="Style 1_29(d) - Gas extensions -tariffs" xfId="212" xr:uid="{00000000-0005-0000-0000-0000EE000000}"/>
    <cellStyle name="Style2" xfId="213" xr:uid="{00000000-0005-0000-0000-0000EF000000}"/>
    <cellStyle name="Style3" xfId="214" xr:uid="{00000000-0005-0000-0000-0000F0000000}"/>
    <cellStyle name="Style4" xfId="215" xr:uid="{00000000-0005-0000-0000-0000F1000000}"/>
    <cellStyle name="Style4 2" xfId="216" xr:uid="{00000000-0005-0000-0000-0000F2000000}"/>
    <cellStyle name="Style4_29(d) - Gas extensions -tariffs" xfId="217" xr:uid="{00000000-0005-0000-0000-0000F3000000}"/>
    <cellStyle name="Style5" xfId="218" xr:uid="{00000000-0005-0000-0000-0000F4000000}"/>
    <cellStyle name="Style5 2" xfId="219" xr:uid="{00000000-0005-0000-0000-0000F5000000}"/>
    <cellStyle name="Style5_29(d) - Gas extensions -tariffs" xfId="220" xr:uid="{00000000-0005-0000-0000-0000F6000000}"/>
    <cellStyle name="Table Head Green" xfId="221" xr:uid="{00000000-0005-0000-0000-0000F7000000}"/>
    <cellStyle name="Table Head_pldt" xfId="222" xr:uid="{00000000-0005-0000-0000-0000F8000000}"/>
    <cellStyle name="Table Source" xfId="223" xr:uid="{00000000-0005-0000-0000-0000F9000000}"/>
    <cellStyle name="Table Units" xfId="224" xr:uid="{00000000-0005-0000-0000-0000FA000000}"/>
    <cellStyle name="Table_Heading" xfId="259" xr:uid="{00000000-0005-0000-0000-0000FB000000}"/>
    <cellStyle name="Technical_Input" xfId="260" xr:uid="{00000000-0005-0000-0000-0000FC000000}"/>
    <cellStyle name="Text" xfId="225" xr:uid="{00000000-0005-0000-0000-0000FD000000}"/>
    <cellStyle name="Text 2" xfId="226" xr:uid="{00000000-0005-0000-0000-0000FE000000}"/>
    <cellStyle name="Text 3" xfId="227" xr:uid="{00000000-0005-0000-0000-0000FF000000}"/>
    <cellStyle name="Text Head 1" xfId="228" xr:uid="{00000000-0005-0000-0000-000000010000}"/>
    <cellStyle name="Text Head 2" xfId="229" xr:uid="{00000000-0005-0000-0000-000001010000}"/>
    <cellStyle name="Text Indent 2" xfId="230" xr:uid="{00000000-0005-0000-0000-000002010000}"/>
    <cellStyle name="Theirs" xfId="231" xr:uid="{00000000-0005-0000-0000-000003010000}"/>
    <cellStyle name="Title 2" xfId="232" xr:uid="{00000000-0005-0000-0000-000004010000}"/>
    <cellStyle name="TOC 1" xfId="233" xr:uid="{00000000-0005-0000-0000-000005010000}"/>
    <cellStyle name="TOC 2" xfId="234" xr:uid="{00000000-0005-0000-0000-000006010000}"/>
    <cellStyle name="TOC 3" xfId="235" xr:uid="{00000000-0005-0000-0000-000007010000}"/>
    <cellStyle name="Total 2" xfId="236" xr:uid="{00000000-0005-0000-0000-000008010000}"/>
    <cellStyle name="Totals" xfId="261" xr:uid="{00000000-0005-0000-0000-000009010000}"/>
    <cellStyle name="unit" xfId="262" xr:uid="{00000000-0005-0000-0000-00000A010000}"/>
    <cellStyle name="User_Input" xfId="263" xr:uid="{00000000-0005-0000-0000-00000B010000}"/>
    <cellStyle name="Warning Text 2" xfId="237" xr:uid="{00000000-0005-0000-0000-00000C010000}"/>
    <cellStyle name="year" xfId="238" xr:uid="{00000000-0005-0000-0000-00000D010000}"/>
    <cellStyle name="year 2" xfId="239" xr:uid="{00000000-0005-0000-0000-00000E010000}"/>
    <cellStyle name="year_29(d) - Gas extensions -tariffs" xfId="240" xr:uid="{00000000-0005-0000-0000-00000F010000}"/>
  </cellStyles>
  <dxfs count="2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66FF33"/>
      <color rgb="FFFFFFCC"/>
      <color rgb="FFDBE5F1"/>
      <color rgb="FFDAEEF3"/>
      <color rgb="FF006100"/>
      <color rgb="FFC6EFCE"/>
      <color rgb="FF9C0006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8%20Working%20models%20for%20revised/CP%20RRP%20MOD%2010.07%20-%20Accelerated%20depreciation%20-%20Dec2020%20-%20Public_M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5%20Final%20Revised%20Proposal/1%20CitiPower/4%20Models/01%20SCS/Opex/CP%20RRP%20MOD%209.01%20-%20Step%20changes%20-%20Dec2020%20-%20Publ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RRP%20MOD%209.03%20-%20Category%20specific%20forecasts%20-%20Dec2020%20-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RRP%20MOD%2010.02%20-%20PTRM%202021-26%20-%2020201221%20update%20-%20Dec2020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 RRP MOD 10"/>
      <sheetName val="PTRM input"/>
      <sheetName val="DMS input"/>
      <sheetName val="AER ETL"/>
      <sheetName val="AER lookups"/>
      <sheetName val="Business &amp; other details"/>
      <sheetName val="AER NRs"/>
      <sheetName val="Equity raising costs"/>
      <sheetName val="X factors"/>
      <sheetName val="W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Summary"/>
      <sheetName val="Assumptions"/>
      <sheetName val="5 minute settlement"/>
      <sheetName val="Security of Critical Infr"/>
      <sheetName val="Solar enablement"/>
      <sheetName val="IT cloud solutions"/>
    </sheetNames>
    <sheetDataSet>
      <sheetData sheetId="0">
        <row r="7">
          <cell r="B7" t="str">
            <v>Security of Critical Infrastructure</v>
          </cell>
          <cell r="M7">
            <v>2416.1422739717573</v>
          </cell>
          <cell r="N7">
            <v>1709.7629208919104</v>
          </cell>
          <cell r="O7">
            <v>1652.8670470000197</v>
          </cell>
          <cell r="P7">
            <v>1534.3399241136399</v>
          </cell>
          <cell r="Q7">
            <v>1546.2167137960173</v>
          </cell>
        </row>
        <row r="8">
          <cell r="B8" t="str">
            <v>IT cloud solutions</v>
          </cell>
          <cell r="M8">
            <v>328.71750538357384</v>
          </cell>
          <cell r="N8">
            <v>325.26745328975403</v>
          </cell>
          <cell r="O8">
            <v>465.33680282477314</v>
          </cell>
          <cell r="P8">
            <v>552.27811197175049</v>
          </cell>
          <cell r="Q8">
            <v>550.2878325506822</v>
          </cell>
        </row>
        <row r="9">
          <cell r="B9" t="str">
            <v>5 minute settlement</v>
          </cell>
          <cell r="M9">
            <v>199.82383599850812</v>
          </cell>
          <cell r="N9">
            <v>279.04208500876911</v>
          </cell>
          <cell r="O9">
            <v>354.39604680446604</v>
          </cell>
          <cell r="P9">
            <v>432.08638096355151</v>
          </cell>
          <cell r="Q9">
            <v>514.99211359167089</v>
          </cell>
        </row>
        <row r="10">
          <cell r="B10" t="str">
            <v>Solar enablement</v>
          </cell>
          <cell r="M10">
            <v>300.00707496957801</v>
          </cell>
          <cell r="N10">
            <v>229.72823369127383</v>
          </cell>
          <cell r="O10">
            <v>269.05407105684708</v>
          </cell>
          <cell r="P10">
            <v>123.7356354804444</v>
          </cell>
          <cell r="Q10">
            <v>113.27021731253713</v>
          </cell>
        </row>
        <row r="11">
          <cell r="B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B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B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B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B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Assumptions"/>
      <sheetName val="GSL payment"/>
      <sheetName val="MEDs"/>
      <sheetName val="Yarra trams pole relocation"/>
    </sheetNames>
    <sheetDataSet>
      <sheetData sheetId="0">
        <row r="7">
          <cell r="B7" t="str">
            <v>GSL payment</v>
          </cell>
          <cell r="M7">
            <v>2.279415353678681E-2</v>
          </cell>
          <cell r="N7">
            <v>2.279415353678681E-2</v>
          </cell>
          <cell r="O7">
            <v>2.279415353678681E-2</v>
          </cell>
          <cell r="P7">
            <v>2.279415353678681E-2</v>
          </cell>
          <cell r="Q7">
            <v>2.279415353678681E-2</v>
          </cell>
        </row>
        <row r="8">
          <cell r="B8" t="str">
            <v>Yarra trams pole relocation</v>
          </cell>
          <cell r="M8">
            <v>1.4913873274760623</v>
          </cell>
          <cell r="N8">
            <v>0.4422514431889551</v>
          </cell>
          <cell r="O8">
            <v>1.8847144600925432</v>
          </cell>
          <cell r="P8">
            <v>0.6315758384931115</v>
          </cell>
          <cell r="Q8">
            <v>0.40341419837997139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mendments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40">
          <cell r="G340">
            <v>0.96120197597728219</v>
          </cell>
          <cell r="H340">
            <v>0.98049372817257308</v>
          </cell>
          <cell r="I340">
            <v>0.99170523587454384</v>
          </cell>
          <cell r="J340">
            <v>0.99612030972142207</v>
          </cell>
          <cell r="K340">
            <v>0.99261470845399169</v>
          </cell>
        </row>
      </sheetData>
      <sheetData sheetId="9"/>
      <sheetData sheetId="10"/>
      <sheetData sheetId="11"/>
      <sheetData sheetId="12"/>
      <sheetData sheetId="13"/>
      <sheetData sheetId="14">
        <row r="21">
          <cell r="S21">
            <v>1271.3531062766986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9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194</v>
      </c>
      <c r="D10" s="7" t="s">
        <v>180</v>
      </c>
    </row>
    <row r="11" spans="1:47">
      <c r="C11" s="19" t="s">
        <v>59</v>
      </c>
      <c r="D11" s="7" t="s">
        <v>50</v>
      </c>
    </row>
    <row r="12" spans="1:47">
      <c r="C12" s="19" t="s">
        <v>195</v>
      </c>
      <c r="D12" s="7" t="s">
        <v>181</v>
      </c>
    </row>
    <row r="13" spans="1:47">
      <c r="C13" s="19" t="s">
        <v>196</v>
      </c>
      <c r="D13" s="7" t="s">
        <v>182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9DFC-03DE-4147-9FA6-7788A34E4625}">
  <sheetPr codeName="Sheet4">
    <tabColor rgb="FF00FFFF"/>
  </sheetPr>
  <dimension ref="A1:D25"/>
  <sheetViews>
    <sheetView showGridLines="0" workbookViewId="0">
      <selection activeCell="A21" sqref="A21"/>
    </sheetView>
  </sheetViews>
  <sheetFormatPr defaultColWidth="9.33203125" defaultRowHeight="12.75"/>
  <cols>
    <col min="1" max="1" width="23.5" style="222" customWidth="1"/>
    <col min="2" max="2" width="22" style="222" customWidth="1"/>
    <col min="3" max="3" width="34.33203125" style="222" customWidth="1"/>
    <col min="4" max="4" width="69.1640625" style="222" bestFit="1" customWidth="1"/>
    <col min="5" max="16384" width="9.33203125" style="222"/>
  </cols>
  <sheetData>
    <row r="1" spans="1:4">
      <c r="A1" s="247" t="s">
        <v>260</v>
      </c>
      <c r="B1" s="248"/>
    </row>
    <row r="3" spans="1:4">
      <c r="A3" s="223" t="s">
        <v>27</v>
      </c>
      <c r="B3" s="223" t="s">
        <v>210</v>
      </c>
      <c r="C3" s="223" t="s">
        <v>211</v>
      </c>
      <c r="D3" s="223"/>
    </row>
    <row r="4" spans="1:4">
      <c r="A4" s="227" t="s">
        <v>229</v>
      </c>
      <c r="B4" s="227" t="s">
        <v>230</v>
      </c>
      <c r="C4" s="227" t="s">
        <v>231</v>
      </c>
      <c r="D4" s="226"/>
    </row>
    <row r="5" spans="1:4">
      <c r="A5" s="222" t="s">
        <v>212</v>
      </c>
      <c r="B5" s="227" t="s">
        <v>240</v>
      </c>
      <c r="C5" s="227" t="s">
        <v>241</v>
      </c>
      <c r="D5" s="226"/>
    </row>
    <row r="6" spans="1:4">
      <c r="A6" s="222" t="s">
        <v>212</v>
      </c>
      <c r="B6" s="222" t="s">
        <v>213</v>
      </c>
      <c r="C6" s="222" t="s">
        <v>214</v>
      </c>
      <c r="D6" s="222" t="s">
        <v>232</v>
      </c>
    </row>
    <row r="7" spans="1:4">
      <c r="A7" s="222" t="s">
        <v>212</v>
      </c>
      <c r="B7" s="222" t="s">
        <v>242</v>
      </c>
      <c r="C7" s="222" t="s">
        <v>233</v>
      </c>
      <c r="D7" s="222" t="s">
        <v>243</v>
      </c>
    </row>
    <row r="8" spans="1:4">
      <c r="A8" s="222" t="s">
        <v>212</v>
      </c>
      <c r="B8" s="222" t="s">
        <v>244</v>
      </c>
      <c r="C8" s="222" t="s">
        <v>238</v>
      </c>
      <c r="D8" s="222" t="s">
        <v>245</v>
      </c>
    </row>
    <row r="9" spans="1:4">
      <c r="A9" s="222" t="s">
        <v>212</v>
      </c>
      <c r="B9" s="222" t="s">
        <v>246</v>
      </c>
      <c r="C9" s="222" t="s">
        <v>214</v>
      </c>
      <c r="D9" s="222" t="s">
        <v>234</v>
      </c>
    </row>
    <row r="10" spans="1:4">
      <c r="A10" s="222" t="s">
        <v>212</v>
      </c>
      <c r="B10" s="222" t="s">
        <v>247</v>
      </c>
      <c r="C10" s="222" t="s">
        <v>233</v>
      </c>
      <c r="D10" s="222" t="s">
        <v>236</v>
      </c>
    </row>
    <row r="11" spans="1:4">
      <c r="A11" s="222" t="s">
        <v>212</v>
      </c>
      <c r="B11" s="222" t="s">
        <v>248</v>
      </c>
      <c r="C11" s="222" t="s">
        <v>238</v>
      </c>
      <c r="D11" s="222" t="s">
        <v>249</v>
      </c>
    </row>
    <row r="12" spans="1:4">
      <c r="A12" s="222" t="s">
        <v>215</v>
      </c>
      <c r="B12" s="222" t="s">
        <v>216</v>
      </c>
      <c r="C12" s="222" t="s">
        <v>79</v>
      </c>
      <c r="D12" s="222" t="s">
        <v>217</v>
      </c>
    </row>
    <row r="13" spans="1:4">
      <c r="A13" s="222" t="s">
        <v>215</v>
      </c>
      <c r="B13" s="222" t="s">
        <v>218</v>
      </c>
      <c r="C13" s="222" t="s">
        <v>79</v>
      </c>
      <c r="D13" s="222" t="s">
        <v>219</v>
      </c>
    </row>
    <row r="14" spans="1:4">
      <c r="A14" s="222" t="s">
        <v>215</v>
      </c>
      <c r="B14" s="222" t="s">
        <v>220</v>
      </c>
      <c r="C14" s="222" t="s">
        <v>79</v>
      </c>
      <c r="D14" s="222" t="s">
        <v>221</v>
      </c>
    </row>
    <row r="15" spans="1:4">
      <c r="A15" s="222" t="s">
        <v>222</v>
      </c>
      <c r="B15" s="222" t="s">
        <v>235</v>
      </c>
      <c r="C15" s="222" t="s">
        <v>102</v>
      </c>
      <c r="D15" s="224" t="s">
        <v>223</v>
      </c>
    </row>
    <row r="16" spans="1:4">
      <c r="A16" s="222" t="s">
        <v>222</v>
      </c>
      <c r="B16" s="222" t="s">
        <v>251</v>
      </c>
      <c r="C16" s="222" t="s">
        <v>250</v>
      </c>
      <c r="D16" s="222" t="s">
        <v>252</v>
      </c>
    </row>
    <row r="17" spans="1:4">
      <c r="A17" s="222" t="s">
        <v>222</v>
      </c>
      <c r="B17" s="222" t="s">
        <v>224</v>
      </c>
      <c r="C17" s="222" t="s">
        <v>39</v>
      </c>
      <c r="D17" s="222" t="s">
        <v>225</v>
      </c>
    </row>
    <row r="21" spans="1:4">
      <c r="A21" s="249" t="s">
        <v>255</v>
      </c>
      <c r="B21" s="250"/>
    </row>
    <row r="23" spans="1:4">
      <c r="A23" s="223" t="s">
        <v>27</v>
      </c>
      <c r="B23" s="223" t="s">
        <v>210</v>
      </c>
      <c r="C23" s="223" t="s">
        <v>211</v>
      </c>
      <c r="D23" s="223"/>
    </row>
    <row r="24" spans="1:4">
      <c r="A24" s="222" t="s">
        <v>222</v>
      </c>
      <c r="B24" s="222" t="s">
        <v>256</v>
      </c>
      <c r="C24" s="222" t="s">
        <v>250</v>
      </c>
      <c r="D24" s="222" t="s">
        <v>257</v>
      </c>
    </row>
    <row r="25" spans="1:4">
      <c r="A25" s="222" t="s">
        <v>222</v>
      </c>
      <c r="B25" s="222" t="s">
        <v>258</v>
      </c>
      <c r="C25" s="222" t="s">
        <v>259</v>
      </c>
      <c r="D25" s="222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9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8" t="s">
        <v>228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205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235" t="s">
        <v>253</v>
      </c>
      <c r="H8" s="29"/>
      <c r="I8" s="29"/>
      <c r="S8" s="131" t="str">
        <f>IF(COUNTBLANK($G8),"Check","Ok")</f>
        <v>Ok</v>
      </c>
    </row>
    <row r="9" spans="1:47">
      <c r="C9" s="29" t="s">
        <v>190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191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192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147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193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7" priority="13" operator="equal">
      <formula>"Check"</formula>
    </cfRule>
    <cfRule type="cellIs" dxfId="256" priority="14" operator="equal">
      <formula>"Ok"</formula>
    </cfRule>
  </conditionalFormatting>
  <conditionalFormatting sqref="V1">
    <cfRule type="cellIs" dxfId="255" priority="3" operator="equal">
      <formula>"Check"</formula>
    </cfRule>
    <cfRule type="cellIs" dxfId="254" priority="4" operator="equal">
      <formula>"Ok"</formula>
    </cfRule>
  </conditionalFormatting>
  <conditionalFormatting sqref="S7:S16">
    <cfRule type="cellIs" dxfId="253" priority="5" operator="equal">
      <formula>"Check"</formula>
    </cfRule>
    <cfRule type="cellIs" dxfId="252" priority="6" operator="equal">
      <formula>"Ok"</formula>
    </cfRule>
  </conditionalFormatting>
  <conditionalFormatting sqref="S1">
    <cfRule type="cellIs" dxfId="251" priority="1" operator="equal">
      <formula>"Check"</formula>
    </cfRule>
    <cfRule type="cellIs" dxfId="250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"draft,revised proposal,final"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102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28" t="s">
        <v>228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9" priority="11" operator="equal">
      <formula>"Check"</formula>
    </cfRule>
    <cfRule type="cellIs" dxfId="248" priority="12" operator="equal">
      <formula>"Ok"</formula>
    </cfRule>
  </conditionalFormatting>
  <conditionalFormatting sqref="W1">
    <cfRule type="cellIs" dxfId="247" priority="7" operator="equal">
      <formula>"Check"</formula>
    </cfRule>
    <cfRule type="cellIs" dxfId="246" priority="8" operator="equal">
      <formula>"Ok"</formula>
    </cfRule>
  </conditionalFormatting>
  <conditionalFormatting sqref="T1">
    <cfRule type="cellIs" dxfId="245" priority="5" operator="equal">
      <formula>"Check"</formula>
    </cfRule>
    <cfRule type="cellIs" dxfId="244" priority="6" operator="equal">
      <formula>"Ok"</formula>
    </cfRule>
  </conditionalFormatting>
  <conditionalFormatting sqref="X51:X57">
    <cfRule type="cellIs" dxfId="243" priority="3" operator="equal">
      <formula>"Check"</formula>
    </cfRule>
    <cfRule type="cellIs" dxfId="242" priority="4" operator="equal">
      <formula>"Ok"</formula>
    </cfRule>
  </conditionalFormatting>
  <conditionalFormatting sqref="X58:X62 T9:T84">
    <cfRule type="cellIs" dxfId="241" priority="1" operator="equal">
      <formula>"Check"</formula>
    </cfRule>
    <cfRule type="cellIs" dxfId="240" priority="2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99"/>
  <sheetViews>
    <sheetView zoomScaleNormal="100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7" width="3.33203125" style="103" customWidth="1"/>
    <col min="8" max="8" width="7" style="103" customWidth="1"/>
    <col min="9" max="9" width="8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228" t="s">
        <v>228</v>
      </c>
      <c r="Q1" s="69"/>
      <c r="R1" s="72" t="s">
        <v>81</v>
      </c>
      <c r="S1" s="76" t="str">
        <f>IF(COUNTA($X$29:$X$291)=COUNTIF($X$29:$X$291,"OK"),"OK","Check")</f>
        <v>OK</v>
      </c>
      <c r="T1" s="76"/>
      <c r="U1" s="69"/>
      <c r="V1" s="185" t="s">
        <v>24</v>
      </c>
      <c r="W1" s="76" t="str">
        <f>'Check|List'!$S$1</f>
        <v>Check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200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82.481924608708468</v>
      </c>
      <c r="K13" s="161">
        <v>83.657122596819818</v>
      </c>
      <c r="L13" s="161">
        <v>86.794029298946441</v>
      </c>
      <c r="M13" s="161">
        <v>88.260443322083759</v>
      </c>
      <c r="N13" s="161">
        <v>90.280785366887287</v>
      </c>
      <c r="O13" s="150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82.481924608708468</v>
      </c>
      <c r="K15" s="129">
        <f t="shared" ref="K15:T15" si="1">K13</f>
        <v>83.657122596819818</v>
      </c>
      <c r="L15" s="129">
        <f t="shared" si="1"/>
        <v>86.794029298946441</v>
      </c>
      <c r="M15" s="129">
        <f t="shared" si="1"/>
        <v>88.260443322083759</v>
      </c>
      <c r="N15" s="129">
        <f t="shared" si="1"/>
        <v>90.280785366887287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156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0.89527043884186208</v>
      </c>
      <c r="K19" s="161">
        <v>0.92950958294745878</v>
      </c>
      <c r="L19" s="161">
        <v>0.97699322560266899</v>
      </c>
      <c r="M19" s="161">
        <v>1.0108252104060784</v>
      </c>
      <c r="N19" s="161">
        <v>1.0292322357348549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186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6.2733087790552422E-2</v>
      </c>
      <c r="K20" s="161">
        <v>6.2733087790552422E-2</v>
      </c>
      <c r="L20" s="161">
        <v>6.2733087790552422E-2</v>
      </c>
      <c r="M20" s="161">
        <v>6.2733087790552422E-2</v>
      </c>
      <c r="N20" s="161">
        <v>6.2733087790552422E-2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154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0.9580035266324145</v>
      </c>
      <c r="K29" s="129">
        <f t="shared" ref="K29:S29" si="4">SUM(K19:K27)</f>
        <v>0.9922426707380112</v>
      </c>
      <c r="L29" s="129">
        <f t="shared" si="4"/>
        <v>1.0397263133932215</v>
      </c>
      <c r="M29" s="129">
        <f t="shared" si="4"/>
        <v>1.0735582981966307</v>
      </c>
      <c r="N29" s="129">
        <f t="shared" si="4"/>
        <v>1.0919653235254074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49.674404452466682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49.674404452466682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156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0.4955499058999005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186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3.4043840457924218E-2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154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0.52959374635782475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74.864094845330555</v>
      </c>
      <c r="K60" s="161">
        <v>74.767218935583998</v>
      </c>
      <c r="L60" s="161">
        <v>70.219589023817477</v>
      </c>
      <c r="M60" s="161">
        <v>78.422085870000004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176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173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2.1979799999999998</v>
      </c>
      <c r="K64" s="161">
        <v>-0.19057099999999999</v>
      </c>
      <c r="L64" s="161">
        <v>-0.43010199999999998</v>
      </c>
      <c r="M64" s="161">
        <v>-2.3696935500000009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185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/>
      <c r="K65" s="161"/>
      <c r="L65" s="161"/>
      <c r="M65" s="161"/>
      <c r="N65" s="161"/>
      <c r="O65" s="150"/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187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174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72.666114845330554</v>
      </c>
      <c r="K70" s="129">
        <f t="shared" ref="K70:S70" si="12">K60-SUM(K64:K68)</f>
        <v>74.957789935584003</v>
      </c>
      <c r="L70" s="129">
        <f t="shared" si="12"/>
        <v>70.649691023817482</v>
      </c>
      <c r="M70" s="129">
        <f t="shared" si="12"/>
        <v>80.791779420000012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186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2.2982099999999998E-2</v>
      </c>
      <c r="K75" s="161">
        <v>9.7619999999999998E-2</v>
      </c>
      <c r="L75" s="161">
        <v>9.0270000000000017E-2</v>
      </c>
      <c r="M75" s="161">
        <v>3.4049999999999997E-2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154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2.2982099999999998E-2</v>
      </c>
      <c r="K79" s="184">
        <f t="shared" ref="K79:S79" si="14">SUM(K74:K77)</f>
        <v>9.7619999999999998E-2</v>
      </c>
      <c r="L79" s="184">
        <f t="shared" si="14"/>
        <v>9.0270000000000017E-2</v>
      </c>
      <c r="M79" s="184">
        <f t="shared" si="14"/>
        <v>3.4049999999999997E-2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234" t="s">
        <v>226</v>
      </c>
      <c r="D84" s="16" t="s">
        <v>34</v>
      </c>
      <c r="E84" s="16" t="str">
        <f>$E$79</f>
        <v>$millions</v>
      </c>
      <c r="F84" s="236" t="str">
        <f t="shared" ref="F84:F86" si="15">$F$79</f>
        <v>nominal</v>
      </c>
      <c r="G84" s="21"/>
      <c r="H84" s="237">
        <v>0.88</v>
      </c>
      <c r="I84" s="21"/>
      <c r="J84" s="225"/>
      <c r="K84" s="241"/>
      <c r="L84" s="241"/>
      <c r="M84" s="239">
        <v>0.81931799999999999</v>
      </c>
      <c r="N84" s="243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234" t="s">
        <v>209</v>
      </c>
      <c r="D85" s="16" t="s">
        <v>34</v>
      </c>
      <c r="E85" s="16" t="str">
        <f>$E$79</f>
        <v>$millions</v>
      </c>
      <c r="F85" s="236" t="str">
        <f t="shared" si="15"/>
        <v>nominal</v>
      </c>
      <c r="G85" s="32"/>
      <c r="H85" s="32"/>
      <c r="I85" s="242">
        <v>3.1418404299999994</v>
      </c>
      <c r="J85" s="242">
        <v>0.82136158000000015</v>
      </c>
      <c r="K85" s="242">
        <v>2.8130686000000007</v>
      </c>
      <c r="L85" s="242">
        <v>1.7194496199999998</v>
      </c>
      <c r="M85" s="242">
        <v>1.4187728099999999</v>
      </c>
      <c r="N85" s="160"/>
      <c r="O85" s="160"/>
      <c r="P85" s="160"/>
      <c r="Q85" s="160"/>
      <c r="R85" s="160"/>
      <c r="S85" s="160"/>
      <c r="T85" s="160"/>
      <c r="U85" s="29"/>
      <c r="V85" s="29"/>
      <c r="W85" s="29"/>
      <c r="X85" s="29"/>
    </row>
    <row r="86" spans="1:24">
      <c r="A86" s="29"/>
      <c r="B86" s="29"/>
      <c r="C86" s="234" t="s">
        <v>238</v>
      </c>
      <c r="D86" s="16" t="s">
        <v>34</v>
      </c>
      <c r="E86" s="16" t="str">
        <f>$E$79</f>
        <v>$millions</v>
      </c>
      <c r="F86" s="236" t="str">
        <f t="shared" si="15"/>
        <v>nominal</v>
      </c>
      <c r="G86" s="32"/>
      <c r="H86" s="32"/>
      <c r="I86" s="32"/>
      <c r="J86" s="32"/>
      <c r="K86" s="32"/>
      <c r="L86" s="32"/>
      <c r="M86" s="242">
        <v>-1.154199</v>
      </c>
      <c r="N86" s="160"/>
      <c r="O86" s="160"/>
      <c r="P86" s="160"/>
      <c r="Q86" s="160"/>
      <c r="R86" s="160"/>
      <c r="S86" s="160"/>
      <c r="T86" s="160"/>
      <c r="U86" s="29"/>
      <c r="V86" s="29"/>
      <c r="W86" s="29"/>
      <c r="X86" s="29"/>
    </row>
    <row r="87" spans="1:24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41"/>
      <c r="L87" s="241"/>
      <c r="M87" s="241"/>
      <c r="N87" s="29"/>
      <c r="O87" s="29"/>
      <c r="P87" s="29"/>
      <c r="Q87" s="160"/>
      <c r="R87" s="160"/>
      <c r="S87" s="160"/>
      <c r="T87" s="160"/>
      <c r="U87" s="29"/>
      <c r="V87" s="29"/>
      <c r="W87" s="29"/>
      <c r="X87" s="29"/>
    </row>
    <row r="88" spans="1:24">
      <c r="A88" s="29"/>
      <c r="B88" s="29"/>
      <c r="C88" s="61" t="s">
        <v>206</v>
      </c>
      <c r="D88" s="30" t="s">
        <v>34</v>
      </c>
      <c r="E88" s="30" t="str">
        <f>$E$79</f>
        <v>$millions</v>
      </c>
      <c r="F88" s="169">
        <v>44348</v>
      </c>
      <c r="G88" s="32"/>
      <c r="H88" s="32"/>
      <c r="I88" s="32"/>
      <c r="J88" s="161"/>
      <c r="K88" s="241"/>
      <c r="L88" s="241"/>
      <c r="M88" s="241"/>
      <c r="N88" s="161"/>
      <c r="O88" s="161">
        <v>0.21114985197137351</v>
      </c>
      <c r="P88" s="161"/>
      <c r="Q88" s="161"/>
      <c r="R88" s="161"/>
      <c r="S88" s="161"/>
      <c r="T88" s="161"/>
      <c r="U88" s="29" t="s">
        <v>184</v>
      </c>
      <c r="V88" s="142"/>
      <c r="W88" s="142"/>
      <c r="X88" s="29"/>
    </row>
    <row r="89" spans="1:24">
      <c r="A89" s="29"/>
      <c r="B89" s="29"/>
      <c r="C89" s="61" t="s">
        <v>207</v>
      </c>
      <c r="D89" s="30" t="s">
        <v>34</v>
      </c>
      <c r="E89" s="30" t="str">
        <f t="shared" ref="E89:E94" si="16">$E$79</f>
        <v>$millions</v>
      </c>
      <c r="F89" s="169">
        <v>44348</v>
      </c>
      <c r="G89" s="32"/>
      <c r="H89" s="32"/>
      <c r="I89" s="32"/>
      <c r="J89" s="161"/>
      <c r="K89" s="241"/>
      <c r="L89" s="241"/>
      <c r="M89" s="242">
        <f>M84*IF($F84="nominal",LOOKUP($F89,Nominal_to_Real,'Input|Rate of change'!N$26:N$32),INDEX('Input|Rate of change'!$C$14:$P$22,MATCH('Calc|Opex forecast'!$F87,'Input|Rate of change'!$C$14:$C$22,0),MATCH('Calc|Opex forecast'!$F88,'Input|Rate of change'!$C$14:$P$14,0)))*IF($E84="$millions",1000000,IF($E84="$000",1000,1))/IF($E89="$millions",1000000,IF($E89="$000",1000,1))*$H$84</f>
        <v>0.73782358102014589</v>
      </c>
      <c r="N89" s="161"/>
      <c r="O89" s="238">
        <f>M89</f>
        <v>0.73782358102014589</v>
      </c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>
      <c r="A90" s="29"/>
      <c r="B90" s="29"/>
      <c r="C90" s="61" t="s">
        <v>208</v>
      </c>
      <c r="D90" s="30" t="s">
        <v>34</v>
      </c>
      <c r="E90" s="30" t="str">
        <f t="shared" si="16"/>
        <v>$millions</v>
      </c>
      <c r="F90" s="169">
        <v>44348</v>
      </c>
      <c r="G90" s="32"/>
      <c r="H90" s="32"/>
      <c r="I90" s="32"/>
      <c r="J90" s="161"/>
      <c r="K90" s="241"/>
      <c r="L90" s="241"/>
      <c r="M90" s="241"/>
      <c r="N90" s="161"/>
      <c r="O90" s="161">
        <v>0.40593831371888367</v>
      </c>
      <c r="P90" s="161"/>
      <c r="Q90" s="161"/>
      <c r="R90" s="161"/>
      <c r="S90" s="161"/>
      <c r="T90" s="161"/>
      <c r="U90" s="124"/>
      <c r="V90" s="142"/>
      <c r="W90" s="142"/>
      <c r="X90" s="29"/>
    </row>
    <row r="91" spans="1:24">
      <c r="A91" s="29"/>
      <c r="B91" s="29"/>
      <c r="C91" s="61" t="s">
        <v>209</v>
      </c>
      <c r="D91" s="30" t="s">
        <v>34</v>
      </c>
      <c r="E91" s="30" t="str">
        <f t="shared" si="16"/>
        <v>$millions</v>
      </c>
      <c r="F91" s="169">
        <v>44348</v>
      </c>
      <c r="G91" s="32"/>
      <c r="H91" s="32"/>
      <c r="I91" s="242">
        <f>I85*IF($F85="nominal",LOOKUP($F91,Nominal_to_Real,'Input|Rate of change'!J$26:J$32),INDEX('Input|Rate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3.4439285262848336</v>
      </c>
      <c r="J91" s="242">
        <f>J85*IF($F85="nominal",LOOKUP($F91,Nominal_to_Real,'Input|Rate of change'!K$26:K$32),INDEX('Input|Rate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0.8863120419488536</v>
      </c>
      <c r="K91" s="242">
        <f>K85*IF($F85="nominal",LOOKUP($F91,Nominal_to_Real,'Input|Rate of change'!L$26:L$32),INDEX('Input|Rate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2.9850006041445489</v>
      </c>
      <c r="L91" s="242">
        <f>L85*IF($F85="nominal",LOOKUP($F91,Nominal_to_Real,'Input|Rate of change'!M$26:M$32),INDEX('Input|Rate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1.7914598371652801</v>
      </c>
      <c r="M91" s="242">
        <f>M85*IF($F85="nominal",LOOKUP($F91,Nominal_to_Real,'Input|Rate of change'!N$26:N$32),INDEX('Input|Rate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1.4518783184864716</v>
      </c>
      <c r="N91" s="161"/>
      <c r="O91" s="239">
        <f>AVERAGE(I91:M91)</f>
        <v>2.1117158656059978</v>
      </c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>
      <c r="A92" s="29"/>
      <c r="B92" s="29"/>
      <c r="C92" s="61" t="s">
        <v>237</v>
      </c>
      <c r="D92" s="30" t="s">
        <v>34</v>
      </c>
      <c r="E92" s="30" t="str">
        <f t="shared" si="16"/>
        <v>$millions</v>
      </c>
      <c r="F92" s="169">
        <v>44348</v>
      </c>
      <c r="G92" s="32"/>
      <c r="H92" s="32"/>
      <c r="I92" s="32"/>
      <c r="J92" s="161"/>
      <c r="K92" s="161"/>
      <c r="L92" s="161"/>
      <c r="M92" s="242">
        <f>M86*IF($F86="nominal",LOOKUP($F92,Nominal_to_Real,'Input|Rate of change'!N$26:N$32),INDEX('Input|Rate of change'!$C$14:$P$22,MATCH('Calc|Opex forecast'!$F90,'Input|Rate of change'!$C$14:$C$22,0),MATCH('Calc|Opex forecast'!$F91,'Input|Rate of change'!$C$14:$P$14,0)))*IF($E86="$millions",1000000,IF($E86="$000",1000,1))/IF($E92="$millions",1000000,IF($E92="$000",1000,1))</f>
        <v>-1.1811309686141835</v>
      </c>
      <c r="N92" s="161"/>
      <c r="O92" s="238">
        <f>M92</f>
        <v>-1.1811309686141835</v>
      </c>
      <c r="P92" s="161"/>
      <c r="Q92" s="161"/>
      <c r="R92" s="161"/>
      <c r="S92" s="161"/>
      <c r="T92" s="161"/>
      <c r="U92" s="124"/>
      <c r="V92" s="142"/>
      <c r="W92" s="142"/>
      <c r="X92" s="29"/>
    </row>
    <row r="93" spans="1:24" s="102" customFormat="1">
      <c r="A93" s="195"/>
      <c r="B93" s="195"/>
      <c r="C93" s="196"/>
      <c r="D93" s="105"/>
      <c r="E93" s="105"/>
      <c r="F93" s="197"/>
      <c r="G93" s="198"/>
      <c r="H93" s="198"/>
      <c r="I93" s="198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04"/>
      <c r="V93" s="162"/>
      <c r="W93" s="162"/>
      <c r="X93" s="195"/>
    </row>
    <row r="94" spans="1:24">
      <c r="A94" s="29"/>
      <c r="B94" s="29"/>
      <c r="C94" s="61" t="s">
        <v>175</v>
      </c>
      <c r="D94" s="30" t="s">
        <v>34</v>
      </c>
      <c r="E94" s="30" t="str">
        <f t="shared" si="16"/>
        <v>$millions</v>
      </c>
      <c r="F94" s="169">
        <v>44348</v>
      </c>
      <c r="G94" s="32"/>
      <c r="H94" s="32"/>
      <c r="I94" s="32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24"/>
      <c r="V94" s="142"/>
      <c r="W94" s="142"/>
      <c r="X94" s="29"/>
    </row>
    <row r="95" spans="1:24" s="102" customFormat="1">
      <c r="A95" s="195"/>
      <c r="B95" s="195"/>
      <c r="C95" s="196"/>
      <c r="D95" s="105"/>
      <c r="E95" s="105"/>
      <c r="F95" s="197"/>
      <c r="G95" s="198"/>
      <c r="H95" s="198"/>
      <c r="I95" s="198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04"/>
      <c r="V95" s="162"/>
      <c r="W95" s="162"/>
      <c r="X95" s="195"/>
    </row>
    <row r="96" spans="1:24">
      <c r="A96" s="29"/>
      <c r="B96" s="29"/>
      <c r="C96" s="61" t="s">
        <v>88</v>
      </c>
      <c r="D96" s="30" t="s">
        <v>34</v>
      </c>
      <c r="E96" s="30" t="s">
        <v>31</v>
      </c>
      <c r="F96" s="32"/>
      <c r="G96" s="32"/>
      <c r="H96" s="32"/>
      <c r="I96" s="32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124"/>
      <c r="V96" s="142"/>
      <c r="W96" s="142"/>
      <c r="X96" s="29"/>
    </row>
    <row r="97" spans="1:24">
      <c r="A97" s="29"/>
      <c r="B97" s="29"/>
      <c r="C97" s="111"/>
      <c r="D97" s="30"/>
      <c r="E97" s="30"/>
      <c r="F97" s="30"/>
      <c r="G97" s="32"/>
      <c r="H97" s="32"/>
      <c r="I97" s="30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</row>
    <row r="98" spans="1:24" ht="12.75">
      <c r="A98" s="94"/>
      <c r="B98" s="95" t="s">
        <v>21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</row>
    <row r="99" spans="1:24"/>
  </sheetData>
  <conditionalFormatting sqref="X60 X74:X77 X64:X68">
    <cfRule type="cellIs" dxfId="239" priority="80" operator="equal">
      <formula>"Check"</formula>
    </cfRule>
    <cfRule type="cellIs" dxfId="238" priority="81" operator="equal">
      <formula>"Ok"</formula>
    </cfRule>
  </conditionalFormatting>
  <conditionalFormatting sqref="X79">
    <cfRule type="cellIs" dxfId="237" priority="78" operator="equal">
      <formula>"Check"</formula>
    </cfRule>
    <cfRule type="cellIs" dxfId="236" priority="79" operator="equal">
      <formula>"Ok"</formula>
    </cfRule>
  </conditionalFormatting>
  <conditionalFormatting sqref="X15">
    <cfRule type="cellIs" dxfId="235" priority="76" operator="equal">
      <formula>"Check"</formula>
    </cfRule>
    <cfRule type="cellIs" dxfId="234" priority="77" operator="equal">
      <formula>"Ok"</formula>
    </cfRule>
  </conditionalFormatting>
  <conditionalFormatting sqref="W1">
    <cfRule type="cellIs" dxfId="233" priority="74" operator="equal">
      <formula>"Check"</formula>
    </cfRule>
    <cfRule type="cellIs" dxfId="232" priority="75" operator="equal">
      <formula>"Ok"</formula>
    </cfRule>
  </conditionalFormatting>
  <conditionalFormatting sqref="S1:T1">
    <cfRule type="cellIs" dxfId="231" priority="72" operator="equal">
      <formula>"Check"</formula>
    </cfRule>
    <cfRule type="cellIs" dxfId="230" priority="73" operator="equal">
      <formula>"Ok"</formula>
    </cfRule>
  </conditionalFormatting>
  <conditionalFormatting sqref="J15:T15">
    <cfRule type="cellIs" dxfId="229" priority="71" operator="equal">
      <formula>0</formula>
    </cfRule>
  </conditionalFormatting>
  <conditionalFormatting sqref="J79:S79">
    <cfRule type="cellIs" dxfId="228" priority="70" operator="equal">
      <formula>0</formula>
    </cfRule>
  </conditionalFormatting>
  <conditionalFormatting sqref="X71:X73">
    <cfRule type="cellIs" dxfId="227" priority="68" operator="equal">
      <formula>"Check"</formula>
    </cfRule>
    <cfRule type="cellIs" dxfId="226" priority="69" operator="equal">
      <formula>"Ok"</formula>
    </cfRule>
  </conditionalFormatting>
  <conditionalFormatting sqref="J56:T56 N60:T60 J64:T68 J74:S77">
    <cfRule type="expression" dxfId="225" priority="66">
      <formula>J$57=J$4</formula>
    </cfRule>
  </conditionalFormatting>
  <conditionalFormatting sqref="P13:T13 J21:T27 O19:T20">
    <cfRule type="expression" dxfId="224" priority="65">
      <formula>J$10=J$4</formula>
    </cfRule>
  </conditionalFormatting>
  <conditionalFormatting sqref="J60:O60">
    <cfRule type="expression" dxfId="223" priority="62">
      <formula>J$10=J$4</formula>
    </cfRule>
  </conditionalFormatting>
  <conditionalFormatting sqref="X70">
    <cfRule type="cellIs" dxfId="222" priority="60" operator="equal">
      <formula>"Check"</formula>
    </cfRule>
    <cfRule type="cellIs" dxfId="221" priority="61" operator="equal">
      <formula>"Ok"</formula>
    </cfRule>
  </conditionalFormatting>
  <conditionalFormatting sqref="J70:S70">
    <cfRule type="cellIs" dxfId="220" priority="58" operator="equal">
      <formula>0</formula>
    </cfRule>
  </conditionalFormatting>
  <conditionalFormatting sqref="J94:T94 J96:T96 P89:T89 J92:L92 J88:J90 N89 N90:T90 N88:T88 N91:N92 P91:T92">
    <cfRule type="expression" dxfId="219" priority="57">
      <formula>J$83=J$4</formula>
    </cfRule>
  </conditionalFormatting>
  <conditionalFormatting sqref="X29">
    <cfRule type="cellIs" dxfId="218" priority="53" operator="equal">
      <formula>"Check"</formula>
    </cfRule>
    <cfRule type="cellIs" dxfId="217" priority="54" operator="equal">
      <formula>"Ok"</formula>
    </cfRule>
  </conditionalFormatting>
  <conditionalFormatting sqref="J29:T29">
    <cfRule type="cellIs" dxfId="216" priority="52" operator="equal">
      <formula>0</formula>
    </cfRule>
  </conditionalFormatting>
  <conditionalFormatting sqref="N13">
    <cfRule type="expression" dxfId="215" priority="49">
      <formula>N$57=N$4</formula>
    </cfRule>
  </conditionalFormatting>
  <conditionalFormatting sqref="J13:N13">
    <cfRule type="expression" dxfId="214" priority="48">
      <formula>J$10=J$4</formula>
    </cfRule>
  </conditionalFormatting>
  <conditionalFormatting sqref="O60">
    <cfRule type="expression" dxfId="213" priority="46">
      <formula>O$10=O$4</formula>
    </cfRule>
  </conditionalFormatting>
  <conditionalFormatting sqref="T79">
    <cfRule type="cellIs" dxfId="212" priority="45" operator="equal">
      <formula>0</formula>
    </cfRule>
  </conditionalFormatting>
  <conditionalFormatting sqref="T74:T77">
    <cfRule type="expression" dxfId="211" priority="44">
      <formula>T$57=T$4</formula>
    </cfRule>
  </conditionalFormatting>
  <conditionalFormatting sqref="T70">
    <cfRule type="cellIs" dxfId="210" priority="43" operator="equal">
      <formula>0</formula>
    </cfRule>
  </conditionalFormatting>
  <conditionalFormatting sqref="O12:O13">
    <cfRule type="expression" dxfId="209" priority="41">
      <formula>O$10=O$4</formula>
    </cfRule>
  </conditionalFormatting>
  <conditionalFormatting sqref="X38">
    <cfRule type="cellIs" dxfId="208" priority="39" operator="equal">
      <formula>"Check"</formula>
    </cfRule>
    <cfRule type="cellIs" dxfId="207" priority="40" operator="equal">
      <formula>"Ok"</formula>
    </cfRule>
  </conditionalFormatting>
  <conditionalFormatting sqref="J38:T38">
    <cfRule type="cellIs" dxfId="206" priority="38" operator="equal">
      <formula>0</formula>
    </cfRule>
  </conditionalFormatting>
  <conditionalFormatting sqref="J42:N50 P42:T50">
    <cfRule type="expression" dxfId="205" priority="37">
      <formula>J$33=J$4</formula>
    </cfRule>
  </conditionalFormatting>
  <conditionalFormatting sqref="X52">
    <cfRule type="cellIs" dxfId="204" priority="35" operator="equal">
      <formula>"Check"</formula>
    </cfRule>
    <cfRule type="cellIs" dxfId="203" priority="36" operator="equal">
      <formula>"Ok"</formula>
    </cfRule>
  </conditionalFormatting>
  <conditionalFormatting sqref="J52:T52">
    <cfRule type="cellIs" dxfId="202" priority="34" operator="equal">
      <formula>0</formula>
    </cfRule>
  </conditionalFormatting>
  <conditionalFormatting sqref="J36">
    <cfRule type="expression" dxfId="201" priority="32">
      <formula>J$33=J$4</formula>
    </cfRule>
  </conditionalFormatting>
  <conditionalFormatting sqref="O35">
    <cfRule type="expression" dxfId="200" priority="31">
      <formula>O$10=O$4</formula>
    </cfRule>
  </conditionalFormatting>
  <conditionalFormatting sqref="K36:T36">
    <cfRule type="expression" dxfId="199" priority="29">
      <formula>K$33=K$4</formula>
    </cfRule>
  </conditionalFormatting>
  <conditionalFormatting sqref="O42:O50">
    <cfRule type="expression" dxfId="198" priority="28">
      <formula>O$33=O$4</formula>
    </cfRule>
  </conditionalFormatting>
  <conditionalFormatting sqref="J19:N20">
    <cfRule type="expression" dxfId="197" priority="27">
      <formula>J$10=J$4</formula>
    </cfRule>
  </conditionalFormatting>
  <conditionalFormatting sqref="O89">
    <cfRule type="cellIs" dxfId="196" priority="26" operator="equal">
      <formula>0</formula>
    </cfRule>
  </conditionalFormatting>
  <conditionalFormatting sqref="O89">
    <cfRule type="cellIs" dxfId="195" priority="25" operator="equal">
      <formula>0</formula>
    </cfRule>
  </conditionalFormatting>
  <conditionalFormatting sqref="K88:M88 K89:L89 K90:M90">
    <cfRule type="expression" dxfId="194" priority="4">
      <formula>K$83=K$4</formula>
    </cfRule>
  </conditionalFormatting>
  <conditionalFormatting sqref="K84:L84 K87:M87">
    <cfRule type="expression" dxfId="193" priority="3">
      <formula>K$83=K$4</formula>
    </cfRule>
  </conditionalFormatting>
  <conditionalFormatting sqref="O92">
    <cfRule type="cellIs" dxfId="192" priority="2" operator="equal">
      <formula>0</formula>
    </cfRule>
  </conditionalFormatting>
  <conditionalFormatting sqref="O92">
    <cfRule type="cellIs" dxfId="191" priority="1" operator="equal">
      <formula>0</formula>
    </cfRule>
  </conditionalFormatting>
  <dataValidations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F88:F95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87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28" t="s">
        <v>228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51"/>
      <c r="L3" s="251"/>
      <c r="M3" s="251"/>
      <c r="N3" s="180"/>
      <c r="O3" s="251"/>
      <c r="P3" s="251"/>
      <c r="Q3" s="251"/>
      <c r="R3" s="251"/>
      <c r="S3" s="251"/>
      <c r="T3" s="251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234" t="s">
        <v>239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232">
        <v>1.3137498473678212E-2</v>
      </c>
      <c r="R39" s="232">
        <v>1.2419523308236181E-2</v>
      </c>
      <c r="S39" s="232">
        <v>1.3751461961990695E-2</v>
      </c>
      <c r="T39" s="232">
        <v>1.6196532715190247E-2</v>
      </c>
      <c r="U39" s="232">
        <v>1.6184913955027823E-2</v>
      </c>
    </row>
    <row r="40" spans="1:50" ht="11.25" customHeight="1" outlineLevel="1">
      <c r="C40" s="234" t="s">
        <v>227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233">
        <f>AVERAGE(Q38:Q39)</f>
        <v>7.762137192630263E-3</v>
      </c>
      <c r="R40" s="233">
        <f t="shared" ref="R40:U40" si="35">AVERAGE(R38:R39)</f>
        <v>4.9608934391037352E-3</v>
      </c>
      <c r="S40" s="233">
        <f t="shared" si="35"/>
        <v>6.512577699459102E-3</v>
      </c>
      <c r="T40" s="233">
        <f t="shared" si="35"/>
        <v>9.9346404822831889E-3</v>
      </c>
      <c r="U40" s="233">
        <f t="shared" si="35"/>
        <v>1.3075423782207421E-2</v>
      </c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6">IF(J36=J4,IF(COUNTA($C38:$C45)=COUNT(J38:J45),"Ok","Check"),"")</f>
        <v/>
      </c>
      <c r="K47" s="132" t="str">
        <f t="shared" si="36"/>
        <v/>
      </c>
      <c r="L47" s="132" t="str">
        <f t="shared" si="36"/>
        <v/>
      </c>
      <c r="M47" s="132" t="str">
        <f t="shared" si="36"/>
        <v/>
      </c>
      <c r="N47" s="132" t="str">
        <f t="shared" si="36"/>
        <v/>
      </c>
      <c r="O47" s="132" t="str">
        <f t="shared" si="36"/>
        <v/>
      </c>
      <c r="P47" s="132" t="str">
        <f t="shared" si="36"/>
        <v/>
      </c>
      <c r="Q47" s="132" t="str">
        <f t="shared" si="36"/>
        <v>Ok</v>
      </c>
      <c r="R47" s="132" t="str">
        <f t="shared" si="36"/>
        <v>Ok</v>
      </c>
      <c r="S47" s="132" t="str">
        <f t="shared" si="36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7">R4</f>
        <v>45078</v>
      </c>
      <c r="S49" s="160">
        <f t="shared" si="37"/>
        <v>45444</v>
      </c>
      <c r="T49" s="160">
        <f t="shared" si="37"/>
        <v>45809</v>
      </c>
      <c r="U49" s="160">
        <f t="shared" si="37"/>
        <v>46174</v>
      </c>
    </row>
    <row r="50" spans="1:50" ht="11.25" customHeight="1" outlineLevel="1"/>
    <row r="51" spans="1:50" ht="11.25" customHeight="1" outlineLevel="1">
      <c r="C51" s="146"/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/>
      <c r="R51" s="60"/>
      <c r="S51" s="60"/>
      <c r="T51" s="60"/>
      <c r="U51" s="60"/>
    </row>
    <row r="52" spans="1:50" ht="11.25" customHeight="1" outlineLevel="1">
      <c r="C52" s="146"/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240" t="str">
        <f t="shared" ref="C53:C58" si="39">C40</f>
        <v>Average of DAE and BIS Oxford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233">
        <v>0.59199999999999997</v>
      </c>
      <c r="R53" s="233">
        <v>0.59199999999999997</v>
      </c>
      <c r="S53" s="233">
        <v>0.59199999999999997</v>
      </c>
      <c r="T53" s="233">
        <v>0.59199999999999997</v>
      </c>
      <c r="U53" s="233">
        <v>0.59199999999999997</v>
      </c>
    </row>
    <row r="54" spans="1:50" ht="11.25" customHeight="1" outlineLevel="1">
      <c r="C54" s="146">
        <f t="shared" si="39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9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0">IF(Q49=Q$4,IF(SUM(Q51:Q58)=1,"Ok","Check"),"")</f>
        <v>Ok</v>
      </c>
      <c r="R60" s="132" t="str">
        <f t="shared" si="40"/>
        <v>Ok</v>
      </c>
      <c r="S60" s="132" t="str">
        <f t="shared" si="40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1">Q4</f>
        <v>44713</v>
      </c>
      <c r="R64" s="160">
        <f t="shared" si="41"/>
        <v>45078</v>
      </c>
      <c r="S64" s="160">
        <f t="shared" si="41"/>
        <v>45444</v>
      </c>
      <c r="T64" s="160">
        <f t="shared" si="41"/>
        <v>45809</v>
      </c>
      <c r="U64" s="160">
        <f t="shared" si="41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163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353989.16237316898</v>
      </c>
      <c r="Q66" s="194">
        <v>356065.1943198957</v>
      </c>
      <c r="R66" s="194">
        <v>359612.47680356633</v>
      </c>
      <c r="S66" s="194">
        <v>364021.82534015842</v>
      </c>
      <c r="T66" s="194">
        <v>368250.80865931627</v>
      </c>
      <c r="U66" s="194">
        <v>372307.11980792397</v>
      </c>
    </row>
    <row r="67" spans="3:23" outlineLevel="1">
      <c r="C67" s="61" t="s">
        <v>164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4766.2137899072468</v>
      </c>
      <c r="Q67" s="194">
        <v>4819.2903964342022</v>
      </c>
      <c r="R67" s="194">
        <v>4891.1822329876995</v>
      </c>
      <c r="S67" s="194">
        <v>4964.2158653417246</v>
      </c>
      <c r="T67" s="194">
        <v>5038.4103874103112</v>
      </c>
      <c r="U67" s="194">
        <v>5113.7852248854306</v>
      </c>
    </row>
    <row r="68" spans="3:23" outlineLevel="1">
      <c r="C68" s="61" t="s">
        <v>165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1471.5271160000002</v>
      </c>
      <c r="Q68" s="194">
        <v>1471.5271160000002</v>
      </c>
      <c r="R68" s="194">
        <v>1471.5271160000002</v>
      </c>
      <c r="S68" s="194">
        <v>1471.5271160000002</v>
      </c>
      <c r="T68" s="194">
        <v>1471.5271160000002</v>
      </c>
      <c r="U68" s="194">
        <v>1471.5271160000002</v>
      </c>
    </row>
    <row r="69" spans="3:23" outlineLevel="1">
      <c r="C69" s="61" t="s">
        <v>166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5825.0626355049644</v>
      </c>
      <c r="Q69" s="194">
        <v>5814.6131228651584</v>
      </c>
      <c r="R69" s="194">
        <v>5800.7137443371776</v>
      </c>
      <c r="S69" s="194">
        <v>5786.8475911879759</v>
      </c>
      <c r="T69" s="194">
        <v>5773.0145839948809</v>
      </c>
      <c r="U69" s="194">
        <v>5759.2146435250734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2">IF(J64=J$4,IF(COUNTA($C66:$C71)=COUNT(J66:J71),"Ok","Check"),"")</f>
        <v/>
      </c>
      <c r="K73" s="132" t="str">
        <f t="shared" si="42"/>
        <v/>
      </c>
      <c r="L73" s="132" t="str">
        <f t="shared" si="42"/>
        <v/>
      </c>
      <c r="M73" s="132" t="str">
        <f t="shared" si="42"/>
        <v/>
      </c>
      <c r="N73" s="132" t="str">
        <f t="shared" si="42"/>
        <v/>
      </c>
      <c r="O73" s="132"/>
      <c r="P73" s="132" t="str">
        <f t="shared" si="42"/>
        <v>Ok</v>
      </c>
      <c r="Q73" s="132" t="str">
        <f t="shared" si="42"/>
        <v>Ok</v>
      </c>
      <c r="R73" s="132" t="str">
        <f t="shared" si="42"/>
        <v>Ok</v>
      </c>
      <c r="S73" s="132" t="str">
        <f t="shared" si="42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3">R4</f>
        <v>45078</v>
      </c>
      <c r="S75" s="160">
        <f t="shared" si="43"/>
        <v>45444</v>
      </c>
      <c r="T75" s="160">
        <f t="shared" si="43"/>
        <v>45809</v>
      </c>
      <c r="U75" s="160">
        <f t="shared" si="43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>IF(ISBLANK(M66),"",IF(ISBLANK(N66),"",LN(N66)-LN(M66)))</f>
        <v/>
      </c>
      <c r="O77" s="117" t="str">
        <f t="shared" ref="O77:U77" si="45">IF(ISBLANK(N66),"",IF(ISBLANK(O66),"",LN(O66)-LN(N66)))</f>
        <v/>
      </c>
      <c r="P77" s="117" t="str">
        <f t="shared" si="45"/>
        <v/>
      </c>
      <c r="Q77" s="117">
        <f t="shared" si="45"/>
        <v>5.8475462977511938E-3</v>
      </c>
      <c r="R77" s="117">
        <f t="shared" si="45"/>
        <v>9.9131541369086307E-3</v>
      </c>
      <c r="S77" s="117">
        <f t="shared" si="45"/>
        <v>1.2186827230204145E-2</v>
      </c>
      <c r="T77" s="117">
        <f t="shared" si="45"/>
        <v>1.1550425727369529E-2</v>
      </c>
      <c r="U77" s="117">
        <f t="shared" si="45"/>
        <v>1.0954853249661056E-2</v>
      </c>
    </row>
    <row r="78" spans="3:23" outlineLevel="1">
      <c r="C78" s="146" t="str">
        <f t="shared" ref="C78:C82" si="46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7">IF(ISBLANK(I67),"",IF(ISBLANK(J67),"",LN(J67)-LN(I67)))</f>
        <v/>
      </c>
      <c r="K78" s="117" t="str">
        <f t="shared" si="47"/>
        <v/>
      </c>
      <c r="L78" s="117" t="str">
        <f t="shared" si="47"/>
        <v/>
      </c>
      <c r="M78" s="117" t="str">
        <f t="shared" si="47"/>
        <v/>
      </c>
      <c r="N78" s="117" t="str">
        <f t="shared" si="47"/>
        <v/>
      </c>
      <c r="O78" s="117" t="str">
        <f t="shared" si="47"/>
        <v/>
      </c>
      <c r="P78" s="117" t="str">
        <f t="shared" si="47"/>
        <v/>
      </c>
      <c r="Q78" s="117">
        <f t="shared" si="47"/>
        <v>1.1074461593945983E-2</v>
      </c>
      <c r="R78" s="117">
        <f t="shared" si="47"/>
        <v>1.4807343135704087E-2</v>
      </c>
      <c r="S78" s="117">
        <f t="shared" si="47"/>
        <v>1.4821312862240532E-2</v>
      </c>
      <c r="T78" s="117">
        <f t="shared" si="47"/>
        <v>1.4835280445474552E-2</v>
      </c>
      <c r="U78" s="117">
        <f t="shared" si="47"/>
        <v>1.4849245495616614E-2</v>
      </c>
    </row>
    <row r="79" spans="3:23" outlineLevel="1">
      <c r="C79" s="146" t="str">
        <f t="shared" si="46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8">IF(ISBLANK(I68),"",IF(ISBLANK(J68),"",LN(J68)-LN(I68)))</f>
        <v/>
      </c>
      <c r="K79" s="117" t="str">
        <f t="shared" si="48"/>
        <v/>
      </c>
      <c r="L79" s="117" t="str">
        <f t="shared" si="48"/>
        <v/>
      </c>
      <c r="M79" s="117" t="str">
        <f t="shared" si="48"/>
        <v/>
      </c>
      <c r="N79" s="117" t="str">
        <f t="shared" si="48"/>
        <v/>
      </c>
      <c r="O79" s="117" t="str">
        <f t="shared" si="48"/>
        <v/>
      </c>
      <c r="P79" s="117" t="str">
        <f t="shared" si="48"/>
        <v/>
      </c>
      <c r="Q79" s="117">
        <f t="shared" si="48"/>
        <v>0</v>
      </c>
      <c r="R79" s="117">
        <f t="shared" si="48"/>
        <v>0</v>
      </c>
      <c r="S79" s="117">
        <f t="shared" si="48"/>
        <v>0</v>
      </c>
      <c r="T79" s="117">
        <f t="shared" si="48"/>
        <v>0</v>
      </c>
      <c r="U79" s="117">
        <f t="shared" si="48"/>
        <v>0</v>
      </c>
    </row>
    <row r="80" spans="3:23" outlineLevel="1">
      <c r="C80" s="146" t="str">
        <f t="shared" si="46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9">IF(ISBLANK(I69),"",IF(ISBLANK(J69),"",LN(J69)-LN(I69)))</f>
        <v/>
      </c>
      <c r="K80" s="117" t="str">
        <f t="shared" si="49"/>
        <v/>
      </c>
      <c r="L80" s="117" t="str">
        <f t="shared" si="49"/>
        <v/>
      </c>
      <c r="M80" s="117" t="str">
        <f t="shared" si="49"/>
        <v/>
      </c>
      <c r="N80" s="117" t="str">
        <f t="shared" si="49"/>
        <v/>
      </c>
      <c r="O80" s="117" t="str">
        <f t="shared" si="49"/>
        <v/>
      </c>
      <c r="P80" s="117" t="str">
        <f t="shared" si="49"/>
        <v/>
      </c>
      <c r="Q80" s="117">
        <f t="shared" si="49"/>
        <v>-1.7954994046238681E-3</v>
      </c>
      <c r="R80" s="117">
        <f t="shared" si="49"/>
        <v>-2.3932835160476174E-3</v>
      </c>
      <c r="S80" s="117">
        <f t="shared" si="49"/>
        <v>-2.3932835160493937E-3</v>
      </c>
      <c r="T80" s="117">
        <f t="shared" si="49"/>
        <v>-2.3932835160476174E-3</v>
      </c>
      <c r="U80" s="117">
        <f t="shared" si="49"/>
        <v>-2.3932835160476174E-3</v>
      </c>
    </row>
    <row r="81" spans="3:23" outlineLevel="1">
      <c r="C81" s="146">
        <f t="shared" si="46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50">IF(ISBLANK(I70),"",IF(ISBLANK(J70),"",LN(J70)-LN(I70)))</f>
        <v/>
      </c>
      <c r="K81" s="117" t="str">
        <f t="shared" si="50"/>
        <v/>
      </c>
      <c r="L81" s="117" t="str">
        <f t="shared" si="50"/>
        <v/>
      </c>
      <c r="M81" s="117" t="str">
        <f t="shared" si="50"/>
        <v/>
      </c>
      <c r="N81" s="117" t="str">
        <f t="shared" si="50"/>
        <v/>
      </c>
      <c r="O81" s="117" t="str">
        <f t="shared" si="50"/>
        <v/>
      </c>
      <c r="P81" s="117" t="str">
        <f t="shared" si="50"/>
        <v/>
      </c>
      <c r="Q81" s="117" t="str">
        <f t="shared" si="50"/>
        <v/>
      </c>
      <c r="R81" s="117" t="str">
        <f t="shared" si="50"/>
        <v/>
      </c>
      <c r="S81" s="117" t="str">
        <f t="shared" si="50"/>
        <v/>
      </c>
      <c r="T81" s="117" t="str">
        <f t="shared" si="50"/>
        <v/>
      </c>
      <c r="U81" s="117" t="str">
        <f t="shared" si="50"/>
        <v/>
      </c>
    </row>
    <row r="82" spans="3:23" outlineLevel="1">
      <c r="C82" s="146">
        <f t="shared" si="46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1">IF(ISBLANK(I71),"",IF(ISBLANK(J71),"",LN(J71)-LN(I71)))</f>
        <v/>
      </c>
      <c r="K82" s="117" t="str">
        <f t="shared" si="51"/>
        <v/>
      </c>
      <c r="L82" s="117" t="str">
        <f t="shared" si="51"/>
        <v/>
      </c>
      <c r="M82" s="117" t="str">
        <f t="shared" si="51"/>
        <v/>
      </c>
      <c r="N82" s="117" t="str">
        <f t="shared" si="51"/>
        <v/>
      </c>
      <c r="O82" s="117" t="str">
        <f t="shared" si="51"/>
        <v/>
      </c>
      <c r="P82" s="117" t="str">
        <f t="shared" si="51"/>
        <v/>
      </c>
      <c r="Q82" s="117" t="str">
        <f t="shared" si="51"/>
        <v/>
      </c>
      <c r="R82" s="117" t="str">
        <f t="shared" si="51"/>
        <v/>
      </c>
      <c r="S82" s="117" t="str">
        <f t="shared" si="51"/>
        <v/>
      </c>
      <c r="T82" s="117" t="str">
        <f t="shared" si="51"/>
        <v/>
      </c>
      <c r="U82" s="117" t="str">
        <f t="shared" si="51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167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168</v>
      </c>
      <c r="K84" s="209" t="s">
        <v>169</v>
      </c>
      <c r="L84" s="209" t="s">
        <v>170</v>
      </c>
      <c r="M84" s="209" t="s">
        <v>197</v>
      </c>
      <c r="N84" s="209" t="s">
        <v>171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2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2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2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2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2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172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3">R4</f>
        <v>45078</v>
      </c>
      <c r="S95" s="160">
        <f t="shared" si="53"/>
        <v>45444</v>
      </c>
      <c r="T95" s="160">
        <f t="shared" si="53"/>
        <v>45809</v>
      </c>
      <c r="U95" s="160">
        <f t="shared" si="53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4">IF(J$95=J$4,SUMPRODUCT(J$77:J$82,$J$86:$J$91),"")</f>
        <v/>
      </c>
      <c r="K97" s="117" t="str">
        <f t="shared" si="54"/>
        <v/>
      </c>
      <c r="L97" s="117" t="str">
        <f t="shared" si="54"/>
        <v/>
      </c>
      <c r="M97" s="117" t="str">
        <f t="shared" si="54"/>
        <v/>
      </c>
      <c r="N97" s="117" t="str">
        <f t="shared" si="54"/>
        <v/>
      </c>
      <c r="O97" s="117" t="str">
        <f t="shared" si="54"/>
        <v/>
      </c>
      <c r="P97" s="117" t="str">
        <f t="shared" si="54"/>
        <v/>
      </c>
      <c r="Q97" s="117">
        <f t="shared" si="54"/>
        <v>5.6130292769406842E-3</v>
      </c>
      <c r="R97" s="117">
        <f t="shared" si="54"/>
        <v>8.9173871793816663E-3</v>
      </c>
      <c r="S97" s="117">
        <f t="shared" si="54"/>
        <v>1.0452631580952528E-2</v>
      </c>
      <c r="T97" s="117">
        <f>IF(T$95=T$4,SUMPRODUCT(T$77:T$82,$J$86:$J$91),"")</f>
        <v>1.0025612359142837E-2</v>
      </c>
      <c r="U97" s="117">
        <f>IF(U$95=U$4,SUMPRODUCT(U$77:U$82,$J$86:$J$91),"")</f>
        <v>9.6261237669854356E-3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5">IF(J$95=J$4,SUMPRODUCT(J$77:J$82,$K$86:$K$91),"")</f>
        <v/>
      </c>
      <c r="K98" s="117" t="str">
        <f t="shared" si="55"/>
        <v/>
      </c>
      <c r="L98" s="117" t="str">
        <f t="shared" si="55"/>
        <v/>
      </c>
      <c r="M98" s="117" t="str">
        <f t="shared" si="55"/>
        <v/>
      </c>
      <c r="N98" s="117" t="str">
        <f t="shared" si="55"/>
        <v/>
      </c>
      <c r="O98" s="117" t="str">
        <f t="shared" si="55"/>
        <v/>
      </c>
      <c r="P98" s="117" t="str">
        <f t="shared" si="55"/>
        <v/>
      </c>
      <c r="Q98" s="117">
        <f t="shared" si="55"/>
        <v>5.7550693963174431E-3</v>
      </c>
      <c r="R98" s="117">
        <f t="shared" si="55"/>
        <v>9.1391423693140579E-3</v>
      </c>
      <c r="S98" s="117">
        <f t="shared" si="55"/>
        <v>1.0709013656590384E-2</v>
      </c>
      <c r="T98" s="117">
        <f>IF(T$95=T$4,SUMPRODUCT(T$77:T$82,$K$86:$K$91),"")</f>
        <v>1.0272388176337131E-2</v>
      </c>
      <c r="U98" s="117">
        <f>IF(U$95=U$4,SUMPRODUCT(U$77:U$82,$K$86:$K$91),"")</f>
        <v>9.8639139147592425E-3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6">IF(J$95=J$4,SUMPRODUCT(J$77:J$82,$L$86:$L$91),"")</f>
        <v/>
      </c>
      <c r="K99" s="117" t="str">
        <f t="shared" si="56"/>
        <v/>
      </c>
      <c r="L99" s="117" t="str">
        <f t="shared" si="56"/>
        <v/>
      </c>
      <c r="M99" s="117" t="str">
        <f t="shared" si="56"/>
        <v/>
      </c>
      <c r="N99" s="117" t="str">
        <f t="shared" si="56"/>
        <v/>
      </c>
      <c r="O99" s="117" t="str">
        <f t="shared" si="56"/>
        <v/>
      </c>
      <c r="P99" s="117" t="str">
        <f t="shared" si="56"/>
        <v/>
      </c>
      <c r="Q99" s="117">
        <f t="shared" si="56"/>
        <v>4.5624998932755484E-3</v>
      </c>
      <c r="R99" s="117">
        <f t="shared" si="56"/>
        <v>6.8952758024718105E-3</v>
      </c>
      <c r="S99" s="117">
        <f t="shared" si="56"/>
        <v>7.7610907355125693E-3</v>
      </c>
      <c r="T99" s="117">
        <f>IF(T$95=T$4,SUMPRODUCT(T$77:T$82,$L$86:$L$91),"")</f>
        <v>7.5225319057991517E-3</v>
      </c>
      <c r="U99" s="117">
        <f>IF(U$95=U$4,SUMPRODUCT(U$77:U$82,$L$86:$L$91),"")</f>
        <v>7.299467155118847E-3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7">IF(J$95=J$4,SUMPRODUCT(J$77:J$82,$M$86:$M$91),"")</f>
        <v/>
      </c>
      <c r="K100" s="117" t="str">
        <f t="shared" si="57"/>
        <v/>
      </c>
      <c r="L100" s="117" t="str">
        <f t="shared" si="57"/>
        <v/>
      </c>
      <c r="M100" s="117" t="str">
        <f t="shared" si="57"/>
        <v/>
      </c>
      <c r="N100" s="117" t="str">
        <f t="shared" si="57"/>
        <v/>
      </c>
      <c r="O100" s="117" t="str">
        <f t="shared" si="57"/>
        <v/>
      </c>
      <c r="P100" s="117" t="str">
        <f t="shared" si="57"/>
        <v/>
      </c>
      <c r="Q100" s="117">
        <f t="shared" si="57"/>
        <v>5.4474049325930257E-3</v>
      </c>
      <c r="R100" s="117">
        <f t="shared" si="57"/>
        <v>8.7441107255529834E-3</v>
      </c>
      <c r="S100" s="117">
        <f t="shared" si="57"/>
        <v>1.0331271028680504E-2</v>
      </c>
      <c r="T100" s="117">
        <f>IF(T$95=T$4,SUMPRODUCT(T$77:T$82,$M$86:$M$91),"")</f>
        <v>9.8892360507999745E-3</v>
      </c>
      <c r="U100" s="117">
        <f>IF(U$95=U$4,SUMPRODUCT(U$77:U$82,$M$86:$M$91),"")</f>
        <v>9.4756708387964302E-3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5.263455993297252E-3</v>
      </c>
      <c r="R101" s="117">
        <f t="shared" ref="R101:U101" si="58">IF(R$95=R$4,SUMPRODUCT(R$77:R$82,$N$86:$N$91),"")</f>
        <v>7.4261665237931726E-3</v>
      </c>
      <c r="S101" s="117">
        <f t="shared" si="58"/>
        <v>7.8527185316377146E-3</v>
      </c>
      <c r="T101" s="117">
        <f t="shared" si="58"/>
        <v>7.7403238853906908E-3</v>
      </c>
      <c r="U101" s="117">
        <f t="shared" si="58"/>
        <v>7.6354897831446859E-3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9">R4</f>
        <v>45078</v>
      </c>
      <c r="S105" s="160">
        <f t="shared" si="59"/>
        <v>45444</v>
      </c>
      <c r="T105" s="160">
        <f t="shared" si="59"/>
        <v>45809</v>
      </c>
      <c r="U105" s="160">
        <f t="shared" si="59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60">$R$107</f>
        <v>5.0000000000000001E-3</v>
      </c>
      <c r="U107" s="167">
        <f t="shared" si="60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1">IF(J105=J$4,IF(ISBLANK(J107),"Check","Ok"),"")</f>
        <v/>
      </c>
      <c r="K109" s="132" t="str">
        <f t="shared" si="61"/>
        <v/>
      </c>
      <c r="L109" s="132" t="str">
        <f t="shared" si="61"/>
        <v/>
      </c>
      <c r="M109" s="132" t="str">
        <f t="shared" si="61"/>
        <v/>
      </c>
      <c r="N109" s="132" t="str">
        <f t="shared" si="61"/>
        <v/>
      </c>
      <c r="O109" s="132" t="str">
        <f t="shared" si="61"/>
        <v/>
      </c>
      <c r="P109" s="132" t="str">
        <f t="shared" si="61"/>
        <v/>
      </c>
      <c r="Q109" s="132" t="str">
        <f t="shared" si="61"/>
        <v>Ok</v>
      </c>
      <c r="R109" s="132" t="str">
        <f t="shared" si="61"/>
        <v>Ok</v>
      </c>
      <c r="S109" s="132" t="str">
        <f t="shared" si="61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0" priority="131" operator="equal">
      <formula>"Check"</formula>
    </cfRule>
    <cfRule type="cellIs" dxfId="189" priority="132" operator="equal">
      <formula>"Ok"</formula>
    </cfRule>
  </conditionalFormatting>
  <conditionalFormatting sqref="T1">
    <cfRule type="cellIs" dxfId="188" priority="95" operator="equal">
      <formula>"Check"</formula>
    </cfRule>
    <cfRule type="cellIs" dxfId="187" priority="96" operator="equal">
      <formula>"Ok"</formula>
    </cfRule>
  </conditionalFormatting>
  <conditionalFormatting sqref="W60">
    <cfRule type="cellIs" dxfId="186" priority="83" operator="equal">
      <formula>"Check"</formula>
    </cfRule>
    <cfRule type="cellIs" dxfId="185" priority="84" operator="equal">
      <formula>"Ok"</formula>
    </cfRule>
  </conditionalFormatting>
  <conditionalFormatting sqref="J60:T60">
    <cfRule type="cellIs" dxfId="184" priority="75" operator="equal">
      <formula>"Check"</formula>
    </cfRule>
    <cfRule type="cellIs" dxfId="183" priority="76" operator="equal">
      <formula>"Ok"</formula>
    </cfRule>
  </conditionalFormatting>
  <conditionalFormatting sqref="J36:U36">
    <cfRule type="expression" dxfId="182" priority="66">
      <formula>J$36=J$4</formula>
    </cfRule>
  </conditionalFormatting>
  <conditionalFormatting sqref="J38:U38 J41:T45 J39:P40">
    <cfRule type="expression" dxfId="181" priority="64">
      <formula>J$36=J$4</formula>
    </cfRule>
  </conditionalFormatting>
  <conditionalFormatting sqref="J51:U52 J54:U58 J53:P53">
    <cfRule type="expression" dxfId="180" priority="63">
      <formula>J$49=J$4</formula>
    </cfRule>
  </conditionalFormatting>
  <conditionalFormatting sqref="W109">
    <cfRule type="cellIs" dxfId="179" priority="57" operator="equal">
      <formula>"Check"</formula>
    </cfRule>
    <cfRule type="cellIs" dxfId="178" priority="58" operator="equal">
      <formula>"Ok"</formula>
    </cfRule>
  </conditionalFormatting>
  <conditionalFormatting sqref="J109:T109">
    <cfRule type="cellIs" dxfId="177" priority="55" operator="equal">
      <formula>"Check"</formula>
    </cfRule>
    <cfRule type="cellIs" dxfId="176" priority="56" operator="equal">
      <formula>"Ok"</formula>
    </cfRule>
  </conditionalFormatting>
  <conditionalFormatting sqref="W47">
    <cfRule type="cellIs" dxfId="175" priority="53" operator="equal">
      <formula>"Check"</formula>
    </cfRule>
    <cfRule type="cellIs" dxfId="174" priority="54" operator="equal">
      <formula>"Ok"</formula>
    </cfRule>
  </conditionalFormatting>
  <conditionalFormatting sqref="J47:T47">
    <cfRule type="cellIs" dxfId="173" priority="51" operator="equal">
      <formula>"Check"</formula>
    </cfRule>
    <cfRule type="cellIs" dxfId="172" priority="52" operator="equal">
      <formula>"Ok"</formula>
    </cfRule>
  </conditionalFormatting>
  <conditionalFormatting sqref="W73">
    <cfRule type="cellIs" dxfId="171" priority="49" operator="equal">
      <formula>"Check"</formula>
    </cfRule>
    <cfRule type="cellIs" dxfId="170" priority="50" operator="equal">
      <formula>"Ok"</formula>
    </cfRule>
  </conditionalFormatting>
  <conditionalFormatting sqref="J73:T73">
    <cfRule type="cellIs" dxfId="169" priority="47" operator="equal">
      <formula>"Check"</formula>
    </cfRule>
    <cfRule type="cellIs" dxfId="168" priority="48" operator="equal">
      <formula>"Ok"</formula>
    </cfRule>
  </conditionalFormatting>
  <conditionalFormatting sqref="J64:U64">
    <cfRule type="expression" dxfId="167" priority="41">
      <formula>J$64=J$4</formula>
    </cfRule>
  </conditionalFormatting>
  <conditionalFormatting sqref="J70:T71 J66:U69">
    <cfRule type="expression" dxfId="166" priority="39">
      <formula>J$64=J$4</formula>
    </cfRule>
  </conditionalFormatting>
  <conditionalFormatting sqref="J49:U49">
    <cfRule type="expression" dxfId="165" priority="36">
      <formula>J$36=J$4</formula>
    </cfRule>
  </conditionalFormatting>
  <conditionalFormatting sqref="J75:U75">
    <cfRule type="expression" dxfId="164" priority="35">
      <formula>J$36=J$4</formula>
    </cfRule>
  </conditionalFormatting>
  <conditionalFormatting sqref="J105:U105">
    <cfRule type="expression" dxfId="163" priority="34">
      <formula>J$36=J$4</formula>
    </cfRule>
  </conditionalFormatting>
  <conditionalFormatting sqref="J26:T32">
    <cfRule type="cellIs" dxfId="162" priority="32" operator="equal">
      <formula>0</formula>
    </cfRule>
  </conditionalFormatting>
  <conditionalFormatting sqref="J16:T22">
    <cfRule type="cellIs" dxfId="161" priority="31" operator="equal">
      <formula>0</formula>
    </cfRule>
  </conditionalFormatting>
  <conditionalFormatting sqref="W93:W101">
    <cfRule type="cellIs" dxfId="160" priority="27" operator="equal">
      <formula>"Check"</formula>
    </cfRule>
    <cfRule type="cellIs" dxfId="159" priority="28" operator="equal">
      <formula>"Ok"</formula>
    </cfRule>
  </conditionalFormatting>
  <conditionalFormatting sqref="K90:M91">
    <cfRule type="expression" dxfId="158" priority="26">
      <formula>K$84=K$4</formula>
    </cfRule>
  </conditionalFormatting>
  <conditionalFormatting sqref="J96:T96 J93:T94">
    <cfRule type="cellIs" dxfId="157" priority="24" operator="equal">
      <formula>"Check"</formula>
    </cfRule>
    <cfRule type="cellIs" dxfId="156" priority="25" operator="equal">
      <formula>"Ok"</formula>
    </cfRule>
  </conditionalFormatting>
  <conditionalFormatting sqref="J95:U95">
    <cfRule type="expression" dxfId="155" priority="23">
      <formula>J$95=J$4</formula>
    </cfRule>
  </conditionalFormatting>
  <conditionalFormatting sqref="J107:U107">
    <cfRule type="expression" dxfId="154" priority="136">
      <formula>J$105=J$4</formula>
    </cfRule>
  </conditionalFormatting>
  <conditionalFormatting sqref="K86:M89">
    <cfRule type="expression" dxfId="153" priority="22">
      <formula>K$84=K$4</formula>
    </cfRule>
  </conditionalFormatting>
  <conditionalFormatting sqref="U26:U32">
    <cfRule type="cellIs" dxfId="152" priority="21" operator="equal">
      <formula>0</formula>
    </cfRule>
  </conditionalFormatting>
  <conditionalFormatting sqref="U16:U22">
    <cfRule type="cellIs" dxfId="151" priority="20" operator="equal">
      <formula>0</formula>
    </cfRule>
  </conditionalFormatting>
  <conditionalFormatting sqref="U109">
    <cfRule type="cellIs" dxfId="150" priority="2" operator="equal">
      <formula>"Check"</formula>
    </cfRule>
    <cfRule type="cellIs" dxfId="149" priority="3" operator="equal">
      <formula>"Ok"</formula>
    </cfRule>
  </conditionalFormatting>
  <conditionalFormatting sqref="U47">
    <cfRule type="cellIs" dxfId="148" priority="15" operator="equal">
      <formula>"Check"</formula>
    </cfRule>
    <cfRule type="cellIs" dxfId="147" priority="16" operator="equal">
      <formula>"Ok"</formula>
    </cfRule>
  </conditionalFormatting>
  <conditionalFormatting sqref="U38 U41:U45">
    <cfRule type="expression" dxfId="146" priority="14">
      <formula>U$36=U$4</formula>
    </cfRule>
  </conditionalFormatting>
  <conditionalFormatting sqref="U51:U52 U54:U58">
    <cfRule type="expression" dxfId="145" priority="11">
      <formula>U$49=U$4</formula>
    </cfRule>
  </conditionalFormatting>
  <conditionalFormatting sqref="U60">
    <cfRule type="cellIs" dxfId="144" priority="9" operator="equal">
      <formula>"Check"</formula>
    </cfRule>
    <cfRule type="cellIs" dxfId="143" priority="10" operator="equal">
      <formula>"Ok"</formula>
    </cfRule>
  </conditionalFormatting>
  <conditionalFormatting sqref="U73">
    <cfRule type="cellIs" dxfId="142" priority="6" operator="equal">
      <formula>"Check"</formula>
    </cfRule>
    <cfRule type="cellIs" dxfId="141" priority="7" operator="equal">
      <formula>"Ok"</formula>
    </cfRule>
  </conditionalFormatting>
  <conditionalFormatting sqref="U70:U71">
    <cfRule type="expression" dxfId="140" priority="5">
      <formula>U$64=U$4</formula>
    </cfRule>
  </conditionalFormatting>
  <conditionalFormatting sqref="U107">
    <cfRule type="expression" dxfId="139" priority="4">
      <formula>U$105=U$4</formula>
    </cfRule>
  </conditionalFormatting>
  <dataValidations disablePrompts="1"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V58"/>
  <sheetViews>
    <sheetView showGridLines="0" tabSelected="1" workbookViewId="0">
      <selection activeCell="D16" sqref="D16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8" t="s">
        <v>228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  <c r="P2" s="246" t="s">
        <v>254</v>
      </c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51"/>
      <c r="O3" s="251"/>
      <c r="P3" s="251"/>
      <c r="Q3" s="251"/>
      <c r="R3" s="251"/>
      <c r="S3" s="251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230" t="str">
        <f>[3]Output!$B7</f>
        <v>Security of Critical Infrastructure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9">
        <f>IF($C12="",0,INDEX([3]Output!M$7:M$18,MATCH($C12,[3]Output!$B$7:$B$18,0))/1000)</f>
        <v>2.4161422739717571</v>
      </c>
      <c r="Q12" s="229">
        <f>IF($C12="",0,INDEX([3]Output!N$7:N$18,MATCH($C12,[3]Output!$B$7:$B$18,0))/1000)</f>
        <v>1.7097629208919105</v>
      </c>
      <c r="R12" s="229">
        <f>IF($C12="",0,INDEX([3]Output!O$7:O$18,MATCH($C12,[3]Output!$B$7:$B$18,0))/1000)</f>
        <v>1.6528670470000197</v>
      </c>
      <c r="S12" s="229">
        <f>IF($C12="",0,INDEX([3]Output!P$7:P$18,MATCH($C12,[3]Output!$B$7:$B$18,0))/1000)</f>
        <v>1.53433992411364</v>
      </c>
      <c r="T12" s="229">
        <f>IF($C12="",0,INDEX([3]Output!Q$7:Q$18,MATCH($C12,[3]Output!$B$7:$B$18,0))/1000)</f>
        <v>1.5462167137960172</v>
      </c>
    </row>
    <row r="13" spans="1:48" outlineLevel="1">
      <c r="C13" s="230" t="str">
        <f>[3]Output!$B8</f>
        <v>IT cloud solutions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29">
        <f>IF($C13="",0,INDEX([3]Output!M$7:M$18,MATCH($C13,[3]Output!$B$7:$B$18,0))/1000)</f>
        <v>0.32871750538357386</v>
      </c>
      <c r="Q13" s="229">
        <f>IF($C13="",0,INDEX([3]Output!N$7:N$18,MATCH($C13,[3]Output!$B$7:$B$18,0))/1000)</f>
        <v>0.32526745328975404</v>
      </c>
      <c r="R13" s="229">
        <f>IF($C13="",0,INDEX([3]Output!O$7:O$18,MATCH($C13,[3]Output!$B$7:$B$18,0))/1000)</f>
        <v>0.46533680282477313</v>
      </c>
      <c r="S13" s="229">
        <f>IF($C13="",0,INDEX([3]Output!P$7:P$18,MATCH($C13,[3]Output!$B$7:$B$18,0))/1000)</f>
        <v>0.55227811197175047</v>
      </c>
      <c r="T13" s="229">
        <f>IF($C13="",0,INDEX([3]Output!Q$7:Q$18,MATCH($C13,[3]Output!$B$7:$B$18,0))/1000)</f>
        <v>0.55028783255068214</v>
      </c>
    </row>
    <row r="14" spans="1:48" outlineLevel="1">
      <c r="C14" s="230" t="str">
        <f>[3]Output!$B9</f>
        <v>5 minute settlement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9">
        <f>IF($C14="",0,INDEX([3]Output!M$7:M$18,MATCH($C14,[3]Output!$B$7:$B$18,0))/1000)</f>
        <v>0.19982383599850811</v>
      </c>
      <c r="Q14" s="229">
        <f>IF($C14="",0,INDEX([3]Output!N$7:N$18,MATCH($C14,[3]Output!$B$7:$B$18,0))/1000)</f>
        <v>0.27904208500876909</v>
      </c>
      <c r="R14" s="229">
        <f>IF($C14="",0,INDEX([3]Output!O$7:O$18,MATCH($C14,[3]Output!$B$7:$B$18,0))/1000)</f>
        <v>0.35439604680446601</v>
      </c>
      <c r="S14" s="229">
        <f>IF($C14="",0,INDEX([3]Output!P$7:P$18,MATCH($C14,[3]Output!$B$7:$B$18,0))/1000)</f>
        <v>0.43208638096355151</v>
      </c>
      <c r="T14" s="229">
        <f>IF($C14="",0,INDEX([3]Output!Q$7:Q$18,MATCH($C14,[3]Output!$B$7:$B$18,0))/1000)</f>
        <v>0.51499211359167085</v>
      </c>
    </row>
    <row r="15" spans="1:48" outlineLevel="1">
      <c r="C15" s="230" t="str">
        <f>[3]Output!$B10</f>
        <v>Solar enablement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29">
        <f>IF($C15="",0,INDEX([3]Output!M$7:M$18,MATCH($C15,[3]Output!$B$7:$B$18,0))/1000)</f>
        <v>0.30000707496957801</v>
      </c>
      <c r="Q15" s="229">
        <f>IF($C15="",0,INDEX([3]Output!N$7:N$18,MATCH($C15,[3]Output!$B$7:$B$18,0))/1000)</f>
        <v>0.22972823369127382</v>
      </c>
      <c r="R15" s="229">
        <f>IF($C15="",0,INDEX([3]Output!O$7:O$18,MATCH($C15,[3]Output!$B$7:$B$18,0))/1000)</f>
        <v>0.26905407105684709</v>
      </c>
      <c r="S15" s="229">
        <f>IF($C15="",0,INDEX([3]Output!P$7:P$18,MATCH($C15,[3]Output!$B$7:$B$18,0))/1000)</f>
        <v>0.1237356354804444</v>
      </c>
      <c r="T15" s="229">
        <f>IF($C15="",0,INDEX([3]Output!Q$7:Q$18,MATCH($C15,[3]Output!$B$7:$B$18,0))/1000)</f>
        <v>0.11327021731253713</v>
      </c>
    </row>
    <row r="16" spans="1:48" outlineLevel="1">
      <c r="C16" s="230" t="str">
        <f>[3]Output!$B11</f>
        <v/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29">
        <f>IF($C16="",0,INDEX([3]Output!M$7:M$18,MATCH($C16,[3]Output!$B$7:$B$18,0))/1000)</f>
        <v>0</v>
      </c>
      <c r="Q16" s="229">
        <f>IF($C16="",0,INDEX([3]Output!N$7:N$18,MATCH($C16,[3]Output!$B$7:$B$18,0))/1000)</f>
        <v>0</v>
      </c>
      <c r="R16" s="229">
        <f>IF($C16="",0,INDEX([3]Output!O$7:O$18,MATCH($C16,[3]Output!$B$7:$B$18,0))/1000)</f>
        <v>0</v>
      </c>
      <c r="S16" s="229">
        <f>IF($C16="",0,INDEX([3]Output!P$7:P$18,MATCH($C16,[3]Output!$B$7:$B$18,0))/1000)</f>
        <v>0</v>
      </c>
      <c r="T16" s="229">
        <f>IF($C16="",0,INDEX([3]Output!Q$7:Q$18,MATCH($C16,[3]Output!$B$7:$B$18,0))/1000)</f>
        <v>0</v>
      </c>
    </row>
    <row r="17" spans="1:48" outlineLevel="1">
      <c r="C17" s="230" t="str">
        <f>[3]Output!$B12</f>
        <v/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29">
        <f>IF($C17="",0,INDEX([3]Output!M$7:M$18,MATCH($C17,[3]Output!$B$7:$B$18,0))/1000)</f>
        <v>0</v>
      </c>
      <c r="Q17" s="229">
        <f>IF($C17="",0,INDEX([3]Output!N$7:N$18,MATCH($C17,[3]Output!$B$7:$B$18,0))/1000)</f>
        <v>0</v>
      </c>
      <c r="R17" s="229">
        <f>IF($C17="",0,INDEX([3]Output!O$7:O$18,MATCH($C17,[3]Output!$B$7:$B$18,0))/1000)</f>
        <v>0</v>
      </c>
      <c r="S17" s="229">
        <f>IF($C17="",0,INDEX([3]Output!P$7:P$18,MATCH($C17,[3]Output!$B$7:$B$18,0))/1000)</f>
        <v>0</v>
      </c>
      <c r="T17" s="229">
        <f>IF($C17="",0,INDEX([3]Output!Q$7:Q$18,MATCH($C17,[3]Output!$B$7:$B$18,0))/1000)</f>
        <v>0</v>
      </c>
    </row>
    <row r="18" spans="1:48" outlineLevel="1">
      <c r="C18" s="230" t="str">
        <f>[3]Output!$B13</f>
        <v/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29">
        <f>IF($C18="",0,INDEX([3]Output!M$7:M$18,MATCH($C18,[3]Output!$B$7:$B$18,0))/1000)</f>
        <v>0</v>
      </c>
      <c r="Q18" s="229">
        <f>IF($C18="",0,INDEX([3]Output!N$7:N$18,MATCH($C18,[3]Output!$B$7:$B$18,0))/1000)</f>
        <v>0</v>
      </c>
      <c r="R18" s="229">
        <f>IF($C18="",0,INDEX([3]Output!O$7:O$18,MATCH($C18,[3]Output!$B$7:$B$18,0))/1000)</f>
        <v>0</v>
      </c>
      <c r="S18" s="229">
        <f>IF($C18="",0,INDEX([3]Output!P$7:P$18,MATCH($C18,[3]Output!$B$7:$B$18,0))/1000)</f>
        <v>0</v>
      </c>
      <c r="T18" s="229">
        <f>IF($C18="",0,INDEX([3]Output!Q$7:Q$18,MATCH($C18,[3]Output!$B$7:$B$18,0))/1000)</f>
        <v>0</v>
      </c>
    </row>
    <row r="19" spans="1:48" outlineLevel="1">
      <c r="C19" s="230" t="str">
        <f>[3]Output!$B14</f>
        <v/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29">
        <f>IF($C19="",0,INDEX([3]Output!M$7:M$18,MATCH($C19,[3]Output!$B$7:$B$18,0))/1000)</f>
        <v>0</v>
      </c>
      <c r="Q19" s="229">
        <f>IF($C19="",0,INDEX([3]Output!N$7:N$18,MATCH($C19,[3]Output!$B$7:$B$18,0))/1000)</f>
        <v>0</v>
      </c>
      <c r="R19" s="229">
        <f>IF($C19="",0,INDEX([3]Output!O$7:O$18,MATCH($C19,[3]Output!$B$7:$B$18,0))/1000)</f>
        <v>0</v>
      </c>
      <c r="S19" s="229">
        <f>IF($C19="",0,INDEX([3]Output!P$7:P$18,MATCH($C19,[3]Output!$B$7:$B$18,0))/1000)</f>
        <v>0</v>
      </c>
      <c r="T19" s="229">
        <f>IF($C19="",0,INDEX([3]Output!Q$7:Q$18,MATCH($C19,[3]Output!$B$7:$B$18,0))/1000)</f>
        <v>0</v>
      </c>
    </row>
    <row r="20" spans="1:48" outlineLevel="1">
      <c r="C20" s="230" t="str">
        <f>[3]Output!$B15</f>
        <v/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29">
        <f>IF($C20="",0,INDEX([3]Output!M$7:M$18,MATCH($C20,[3]Output!$B$7:$B$18,0))/1000)</f>
        <v>0</v>
      </c>
      <c r="Q20" s="229">
        <f>IF($C20="",0,INDEX([3]Output!N$7:N$18,MATCH($C20,[3]Output!$B$7:$B$18,0))/1000)</f>
        <v>0</v>
      </c>
      <c r="R20" s="229">
        <f>IF($C20="",0,INDEX([3]Output!O$7:O$18,MATCH($C20,[3]Output!$B$7:$B$18,0))/1000)</f>
        <v>0</v>
      </c>
      <c r="S20" s="229">
        <f>IF($C20="",0,INDEX([3]Output!P$7:P$18,MATCH($C20,[3]Output!$B$7:$B$18,0))/1000)</f>
        <v>0</v>
      </c>
      <c r="T20" s="229">
        <f>IF($C20="",0,INDEX([3]Output!Q$7:Q$18,MATCH($C20,[3]Output!$B$7:$B$18,0))/1000)</f>
        <v>0</v>
      </c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113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244" t="str">
        <f>[4]Output!B7</f>
        <v>GSL payment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245">
        <f>[4]Output!M7</f>
        <v>2.279415353678681E-2</v>
      </c>
      <c r="Q28" s="245">
        <f>[4]Output!N7</f>
        <v>2.279415353678681E-2</v>
      </c>
      <c r="R28" s="245">
        <f>[4]Output!O7</f>
        <v>2.279415353678681E-2</v>
      </c>
      <c r="S28" s="245">
        <f>[4]Output!P7</f>
        <v>2.279415353678681E-2</v>
      </c>
      <c r="T28" s="245">
        <f>[4]Output!Q7</f>
        <v>2.279415353678681E-2</v>
      </c>
    </row>
    <row r="29" spans="1:48" outlineLevel="1">
      <c r="C29" s="244" t="str">
        <f>[4]Output!B8</f>
        <v>Yarra trams pole relocation</v>
      </c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245">
        <f>[4]Output!M8</f>
        <v>1.4913873274760623</v>
      </c>
      <c r="Q29" s="245">
        <f>[4]Output!N8</f>
        <v>0.4422514431889551</v>
      </c>
      <c r="R29" s="245">
        <f>[4]Output!O8</f>
        <v>1.8847144600925432</v>
      </c>
      <c r="S29" s="245">
        <f>[4]Output!P8</f>
        <v>0.6315758384931115</v>
      </c>
      <c r="T29" s="245">
        <f>[4]Output!Q8</f>
        <v>0.40341419837997139</v>
      </c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R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44348</v>
      </c>
      <c r="G38" s="32"/>
      <c r="H38" s="32"/>
      <c r="J38" s="168"/>
      <c r="K38" s="168"/>
      <c r="L38" s="168"/>
      <c r="M38" s="168"/>
      <c r="N38" s="168"/>
      <c r="O38" s="168"/>
      <c r="P38" s="231">
        <f>'[5]PTRM input'!G$340</f>
        <v>0.96120197597728219</v>
      </c>
      <c r="Q38" s="231">
        <f>'[5]PTRM input'!H$340</f>
        <v>0.98049372817257308</v>
      </c>
      <c r="R38" s="231">
        <f>'[5]PTRM input'!I$340</f>
        <v>0.99170523587454384</v>
      </c>
      <c r="S38" s="231">
        <f>'[5]PTRM input'!J$340</f>
        <v>0.99612030972142207</v>
      </c>
      <c r="T38" s="231">
        <f>'[5]PTRM input'!K$340</f>
        <v>0.99261470845399169</v>
      </c>
    </row>
    <row r="39" spans="1:48" outlineLevel="1">
      <c r="G39" s="32"/>
      <c r="H39" s="32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R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/>
    <row r="54" spans="7:8" hidden="1"/>
    <row r="55" spans="7:8" hidden="1"/>
    <row r="56" spans="7:8" hidden="1"/>
    <row r="57" spans="7:8" hidden="1"/>
    <row r="58" spans="7:8" hidden="1"/>
  </sheetData>
  <mergeCells count="1">
    <mergeCell ref="N3:S3"/>
  </mergeCells>
  <conditionalFormatting sqref="S1:T1">
    <cfRule type="cellIs" dxfId="138" priority="32" operator="equal">
      <formula>"Check"</formula>
    </cfRule>
    <cfRule type="cellIs" dxfId="137" priority="33" operator="equal">
      <formula>"Ok"</formula>
    </cfRule>
  </conditionalFormatting>
  <conditionalFormatting sqref="W1">
    <cfRule type="cellIs" dxfId="136" priority="34" operator="equal">
      <formula>"Check"</formula>
    </cfRule>
    <cfRule type="cellIs" dxfId="135" priority="35" operator="equal">
      <formula>"Ok"</formula>
    </cfRule>
  </conditionalFormatting>
  <conditionalFormatting sqref="J10:T10">
    <cfRule type="expression" dxfId="134" priority="30">
      <formula>J$10=J$4</formula>
    </cfRule>
  </conditionalFormatting>
  <conditionalFormatting sqref="J12:O20">
    <cfRule type="expression" dxfId="133" priority="29">
      <formula>J$10=J$4</formula>
    </cfRule>
  </conditionalFormatting>
  <conditionalFormatting sqref="X22">
    <cfRule type="cellIs" dxfId="132" priority="25" operator="equal">
      <formula>"Check"</formula>
    </cfRule>
    <cfRule type="cellIs" dxfId="131" priority="26" operator="equal">
      <formula>"Ok"</formula>
    </cfRule>
  </conditionalFormatting>
  <conditionalFormatting sqref="J22:U22">
    <cfRule type="cellIs" dxfId="130" priority="23" operator="equal">
      <formula>"Check"</formula>
    </cfRule>
    <cfRule type="cellIs" dxfId="129" priority="24" operator="equal">
      <formula>"Ok"</formula>
    </cfRule>
  </conditionalFormatting>
  <conditionalFormatting sqref="X32">
    <cfRule type="cellIs" dxfId="128" priority="21" operator="equal">
      <formula>"Check"</formula>
    </cfRule>
    <cfRule type="cellIs" dxfId="127" priority="22" operator="equal">
      <formula>"Ok"</formula>
    </cfRule>
  </conditionalFormatting>
  <conditionalFormatting sqref="J32:U32">
    <cfRule type="cellIs" dxfId="126" priority="19" operator="equal">
      <formula>"Check"</formula>
    </cfRule>
    <cfRule type="cellIs" dxfId="125" priority="20" operator="equal">
      <formula>"Ok"</formula>
    </cfRule>
  </conditionalFormatting>
  <conditionalFormatting sqref="J28:M30 O30:T30 O29">
    <cfRule type="expression" dxfId="124" priority="18">
      <formula>J$26=J$4</formula>
    </cfRule>
  </conditionalFormatting>
  <conditionalFormatting sqref="X40">
    <cfRule type="cellIs" dxfId="123" priority="16" operator="equal">
      <formula>"Check"</formula>
    </cfRule>
    <cfRule type="cellIs" dxfId="122" priority="17" operator="equal">
      <formula>"Ok"</formula>
    </cfRule>
  </conditionalFormatting>
  <conditionalFormatting sqref="J40:U40">
    <cfRule type="cellIs" dxfId="121" priority="14" operator="equal">
      <formula>"Check"</formula>
    </cfRule>
    <cfRule type="cellIs" dxfId="120" priority="15" operator="equal">
      <formula>"Ok"</formula>
    </cfRule>
  </conditionalFormatting>
  <conditionalFormatting sqref="O28">
    <cfRule type="expression" dxfId="119" priority="13">
      <formula>O$10=O$4</formula>
    </cfRule>
  </conditionalFormatting>
  <conditionalFormatting sqref="N28:N30">
    <cfRule type="expression" dxfId="118" priority="12">
      <formula>N$10=N$4</formula>
    </cfRule>
  </conditionalFormatting>
  <conditionalFormatting sqref="J38:O38">
    <cfRule type="expression" dxfId="117" priority="9">
      <formula>J$36=J$4</formula>
    </cfRule>
  </conditionalFormatting>
  <conditionalFormatting sqref="J26:N26">
    <cfRule type="expression" dxfId="116" priority="8">
      <formula>J$10=J$4</formula>
    </cfRule>
  </conditionalFormatting>
  <conditionalFormatting sqref="J36:N36">
    <cfRule type="expression" dxfId="115" priority="7">
      <formula>J$10=J$4</formula>
    </cfRule>
  </conditionalFormatting>
  <conditionalFormatting sqref="O26">
    <cfRule type="expression" dxfId="114" priority="6">
      <formula>O$10=O$4</formula>
    </cfRule>
  </conditionalFormatting>
  <conditionalFormatting sqref="O36">
    <cfRule type="expression" dxfId="113" priority="5">
      <formula>O$10=O$4</formula>
    </cfRule>
  </conditionalFormatting>
  <conditionalFormatting sqref="P26:T26">
    <cfRule type="expression" dxfId="112" priority="4">
      <formula>P$10=P$4</formula>
    </cfRule>
  </conditionalFormatting>
  <conditionalFormatting sqref="P36:T36">
    <cfRule type="expression" dxfId="111" priority="3">
      <formula>P$10=P$4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V12:V21 I28:I31 V33 I33 V41 I4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4"/>
  <sheetViews>
    <sheetView showGridLines="0" topLeftCell="B4" workbookViewId="0">
      <selection activeCell="O37" sqref="O37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8" t="s">
        <v>228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51"/>
      <c r="O3" s="251"/>
      <c r="P3" s="251"/>
      <c r="Q3" s="251"/>
      <c r="R3" s="251"/>
      <c r="S3" s="251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157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80.791779420000012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157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82.676967041565689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158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88.260443322083759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158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95.940078943983153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198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49.674404452466682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198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49.75019166990122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199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99.50038333980244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159</v>
      </c>
      <c r="D20" s="108" t="s">
        <v>91</v>
      </c>
      <c r="E20" s="30" t="str">
        <f>'Input|Reported opex'!E89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3.4049999999999997E-2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159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3.4844519429762938E-2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160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1.0735582981966307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160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1.1669697545489428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202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0.52959374635782475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202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0.53040173664677925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203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1.0608034732935585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134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82.676967041565689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155</v>
      </c>
      <c r="D30" s="108" t="s">
        <v>91</v>
      </c>
      <c r="E30" s="110" t="str">
        <f>'Input|Reported opex'!E94</f>
        <v>$millions</v>
      </c>
      <c r="F30" s="158">
        <f>'Input|Reported opex'!F94</f>
        <v>44348</v>
      </c>
      <c r="J30" s="115">
        <f>IF('Input|Reported opex'!J$83=J$10,'Input|Reported opex'!J94,0)</f>
        <v>0</v>
      </c>
      <c r="K30" s="115">
        <f>IF('Input|Reported opex'!K$83=K$10,'Input|Reported opex'!K94,0)</f>
        <v>0</v>
      </c>
      <c r="L30" s="115">
        <f>IF('Input|Reported opex'!L$83=L$10,'Input|Reported opex'!L94,0)</f>
        <v>0</v>
      </c>
      <c r="M30" s="115">
        <f>IF('Input|Reported opex'!M$83=M$10,'Input|Reported opex'!M94,0)</f>
        <v>0</v>
      </c>
      <c r="N30" s="115">
        <f>IF('Input|Reported opex'!N$83=N$10,'Input|Reported opex'!N94,0)</f>
        <v>0</v>
      </c>
      <c r="O30" s="115">
        <f>IF('Input|Reported opex'!O$83=O$10,'Input|Reported opex'!O94,0)</f>
        <v>0</v>
      </c>
      <c r="P30" s="115">
        <f>IF('Input|Reported opex'!P$83=P$10,'Input|Reported opex'!P94,0)</f>
        <v>0</v>
      </c>
      <c r="Q30" s="115">
        <f>IF('Input|Reported opex'!Q$83=Q$10,'Input|Reported opex'!Q94,0)</f>
        <v>0</v>
      </c>
      <c r="R30" s="115">
        <f>IF('Input|Reported opex'!R$83=R$10,'Input|Reported opex'!R94,0)</f>
        <v>0</v>
      </c>
      <c r="S30" s="115">
        <f>IF('Input|Reported opex'!S$83=S$10,'Input|Reported opex'!S94,0)</f>
        <v>0</v>
      </c>
      <c r="T30" s="115">
        <f>IF('Input|Reported opex'!T$83=T$10,'Input|Reported opex'!T94,0)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153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3.560304395819287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86.237271437384976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161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7.1321761825621444E-2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opex'!$C$88</f>
        <v>Emergency recoverable works</v>
      </c>
      <c r="D39" s="108" t="s">
        <v>91</v>
      </c>
      <c r="E39" s="110" t="str">
        <f>'Input|Reported opex'!E88</f>
        <v>$millions</v>
      </c>
      <c r="F39" s="158">
        <f>'Input|Reported opex'!F88</f>
        <v>44348</v>
      </c>
      <c r="J39" s="109">
        <f>IF(YEAR(J$4)=InterveningPeriod,'Input|Reported opex'!J88,0)</f>
        <v>0</v>
      </c>
      <c r="K39" s="109">
        <f>IF(YEAR(K$4)=InterveningPeriod,'Input|Reported opex'!K88,0)</f>
        <v>0</v>
      </c>
      <c r="L39" s="109">
        <f>IF(YEAR(L$4)=InterveningPeriod,'Input|Reported opex'!L88,0)</f>
        <v>0</v>
      </c>
      <c r="M39" s="109">
        <f>IF(YEAR(M$4)=InterveningPeriod,'Input|Reported opex'!M88,0)</f>
        <v>0</v>
      </c>
      <c r="N39" s="109">
        <f>IF(YEAR(N$4)=InterveningPeriod,'Input|Reported opex'!N88,0)</f>
        <v>0</v>
      </c>
      <c r="O39" s="109">
        <f>IF(YEAR(O$4)=InterveningPeriod,'Input|Reported opex'!O88,0)</f>
        <v>0.21114985197137351</v>
      </c>
      <c r="P39" s="109">
        <f>IF(YEAR(P$4)=InterveningPeriod,'Input|Reported opex'!P88,0)</f>
        <v>0</v>
      </c>
      <c r="Q39" s="109">
        <f>IF(YEAR(Q$4)=InterveningPeriod,'Input|Reported opex'!Q88,0)</f>
        <v>0</v>
      </c>
      <c r="R39" s="109">
        <f>IF(YEAR(R$4)=InterveningPeriod,'Input|Reported opex'!R88,0)</f>
        <v>0</v>
      </c>
      <c r="S39" s="109">
        <f>IF(YEAR(S$4)=InterveningPeriod,'Input|Reported opex'!S88,0)</f>
        <v>0</v>
      </c>
      <c r="T39" s="109">
        <f>IF(YEAR(T$4)=InterveningPeriod,'Input|Reported opex'!T88,0)</f>
        <v>0</v>
      </c>
    </row>
    <row r="40" spans="3:20" outlineLevel="1">
      <c r="C40" s="123" t="str">
        <f>C39</f>
        <v>Emergency recoverable works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0.21114985197137351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opex'!$C$89</f>
        <v>Communications network</v>
      </c>
      <c r="D42" s="108" t="s">
        <v>91</v>
      </c>
      <c r="E42" s="30" t="str">
        <f>'Input|Reported opex'!$E$89</f>
        <v>$millions</v>
      </c>
      <c r="F42" s="158">
        <f>'Input|Reported opex'!$F$89</f>
        <v>44348</v>
      </c>
      <c r="J42" s="109">
        <f>IF(YEAR(J$4)=InterveningPeriod,'Input|Reported opex'!J89,0)</f>
        <v>0</v>
      </c>
      <c r="K42" s="109">
        <f>IF(YEAR(K$4)=InterveningPeriod,'Input|Reported opex'!K89,0)</f>
        <v>0</v>
      </c>
      <c r="L42" s="109">
        <f>IF(YEAR(L$4)=InterveningPeriod,'Input|Reported opex'!L89,0)</f>
        <v>0</v>
      </c>
      <c r="M42" s="109">
        <f>IF(YEAR(M$4)=InterveningPeriod,'Input|Reported opex'!M89,0)</f>
        <v>0</v>
      </c>
      <c r="N42" s="109">
        <f>IF(YEAR(N$4)=InterveningPeriod,'Input|Reported opex'!N89,0)</f>
        <v>0</v>
      </c>
      <c r="O42" s="109">
        <f>IF(YEAR(O$4)=InterveningPeriod,'Input|Reported opex'!O89,0)</f>
        <v>0.73782358102014589</v>
      </c>
      <c r="P42" s="109">
        <f>IF(YEAR(P$4)=InterveningPeriod,'Input|Reported opex'!P89,0)</f>
        <v>0</v>
      </c>
      <c r="Q42" s="109">
        <f>IF(YEAR(Q$4)=InterveningPeriod,'Input|Reported opex'!Q89,0)</f>
        <v>0</v>
      </c>
      <c r="R42" s="109">
        <f>IF(YEAR(R$4)=InterveningPeriod,'Input|Reported opex'!R89,0)</f>
        <v>0</v>
      </c>
      <c r="S42" s="109">
        <f>IF(YEAR(S$4)=InterveningPeriod,'Input|Reported opex'!S89,0)</f>
        <v>0</v>
      </c>
      <c r="T42" s="109">
        <f>IF(YEAR(T$4)=InterveningPeriod,'Input|Reported opex'!T89,0)</f>
        <v>0</v>
      </c>
    </row>
    <row r="43" spans="3:20" outlineLevel="1">
      <c r="C43" s="123" t="str">
        <f>C42</f>
        <v>Communications network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0.73782358102014589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opex'!$C$90</f>
        <v>Wasted truck visits</v>
      </c>
      <c r="D45" s="108" t="s">
        <v>91</v>
      </c>
      <c r="E45" s="30" t="str">
        <f>'Input|Reported opex'!$E$90</f>
        <v>$millions</v>
      </c>
      <c r="F45" s="158">
        <f>'Input|Reported opex'!$F$90</f>
        <v>44348</v>
      </c>
      <c r="J45" s="109">
        <f>IF(YEAR(J$4)=InterveningPeriod,'Input|Reported opex'!J90,0)</f>
        <v>0</v>
      </c>
      <c r="K45" s="109">
        <f>IF(YEAR(K$4)=InterveningPeriod,'Input|Reported opex'!K90,0)</f>
        <v>0</v>
      </c>
      <c r="L45" s="109">
        <f>IF(YEAR(L$4)=InterveningPeriod,'Input|Reported opex'!L90,0)</f>
        <v>0</v>
      </c>
      <c r="M45" s="109">
        <f>IF(YEAR(M$4)=InterveningPeriod,'Input|Reported opex'!M90,0)</f>
        <v>0</v>
      </c>
      <c r="N45" s="109">
        <f>IF(YEAR(N$4)=InterveningPeriod,'Input|Reported opex'!N90,0)</f>
        <v>0</v>
      </c>
      <c r="O45" s="109">
        <f>IF(YEAR(O$4)=InterveningPeriod,'Input|Reported opex'!O90,0)</f>
        <v>0.40593831371888367</v>
      </c>
      <c r="P45" s="109">
        <f>IF(YEAR(P$4)=InterveningPeriod,'Input|Reported opex'!P90,0)</f>
        <v>0</v>
      </c>
      <c r="Q45" s="109">
        <f>IF(YEAR(Q$4)=InterveningPeriod,'Input|Reported opex'!Q90,0)</f>
        <v>0</v>
      </c>
      <c r="R45" s="109">
        <f>IF(YEAR(R$4)=InterveningPeriod,'Input|Reported opex'!R90,0)</f>
        <v>0</v>
      </c>
      <c r="S45" s="109">
        <f>IF(YEAR(S$4)=InterveningPeriod,'Input|Reported opex'!S90,0)</f>
        <v>0</v>
      </c>
      <c r="T45" s="109">
        <f>IF(YEAR(T$4)=InterveningPeriod,'Input|Reported opex'!T90,0)</f>
        <v>0</v>
      </c>
    </row>
    <row r="46" spans="3:20" outlineLevel="1">
      <c r="C46" s="123" t="str">
        <f>C45</f>
        <v>Wasted truck visits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0.40593831371888367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opex'!$C$91</f>
        <v>Replacement expenditure on faults and minor repairs</v>
      </c>
      <c r="D48" s="108" t="s">
        <v>91</v>
      </c>
      <c r="E48" s="30" t="str">
        <f>'Input|Reported opex'!$E$91</f>
        <v>$millions</v>
      </c>
      <c r="F48" s="158">
        <f>'Input|Reported opex'!$F$91</f>
        <v>44348</v>
      </c>
      <c r="J48" s="109">
        <f>IF(YEAR(J$4)=InterveningPeriod,'Input|Reported opex'!J91,0)</f>
        <v>0</v>
      </c>
      <c r="K48" s="109">
        <f>IF(YEAR(K$4)=InterveningPeriod,'Input|Reported opex'!K91,0)</f>
        <v>0</v>
      </c>
      <c r="L48" s="109">
        <f>IF(YEAR(L$4)=InterveningPeriod,'Input|Reported opex'!L91,0)</f>
        <v>0</v>
      </c>
      <c r="M48" s="109">
        <f>IF(YEAR(M$4)=InterveningPeriod,'Input|Reported opex'!M91,0)</f>
        <v>0</v>
      </c>
      <c r="N48" s="109">
        <f>IF(YEAR(N$4)=InterveningPeriod,'Input|Reported opex'!N91,0)</f>
        <v>0</v>
      </c>
      <c r="O48" s="109">
        <f>IF(YEAR(O$4)=InterveningPeriod,'Input|Reported opex'!O91,0)</f>
        <v>2.1117158656059978</v>
      </c>
      <c r="P48" s="109">
        <f>IF(YEAR(P$4)=InterveningPeriod,'Input|Reported opex'!P91,0)</f>
        <v>0</v>
      </c>
      <c r="Q48" s="109">
        <f>IF(YEAR(Q$4)=InterveningPeriod,'Input|Reported opex'!Q91,0)</f>
        <v>0</v>
      </c>
      <c r="R48" s="109">
        <f>IF(YEAR(R$4)=InterveningPeriod,'Input|Reported opex'!R91,0)</f>
        <v>0</v>
      </c>
      <c r="S48" s="109">
        <f>IF(YEAR(S$4)=InterveningPeriod,'Input|Reported opex'!S91,0)</f>
        <v>0</v>
      </c>
      <c r="T48" s="109">
        <f>IF(YEAR(T$4)=InterveningPeriod,'Input|Reported opex'!T91,0)</f>
        <v>0</v>
      </c>
    </row>
    <row r="49" spans="1:48" outlineLevel="1">
      <c r="C49" s="123" t="str">
        <f>C48</f>
        <v>Replacement expenditure on faults and minor repairs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2.1117158656059978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opex'!$C$92</f>
        <v>ESV Levy</v>
      </c>
      <c r="D51" s="108" t="s">
        <v>91</v>
      </c>
      <c r="E51" s="30" t="str">
        <f>'Input|Reported opex'!$E$92</f>
        <v>$millions</v>
      </c>
      <c r="F51" s="158">
        <f>'Input|Reported opex'!$F$92</f>
        <v>44348</v>
      </c>
      <c r="J51" s="109">
        <f>IF(YEAR(J$4)=InterveningPeriod,'Input|Reported opex'!J92,0)</f>
        <v>0</v>
      </c>
      <c r="K51" s="109">
        <f>IF(YEAR(K$4)=InterveningPeriod,'Input|Reported opex'!K92,0)</f>
        <v>0</v>
      </c>
      <c r="L51" s="109">
        <f>IF(YEAR(L$4)=InterveningPeriod,'Input|Reported opex'!L92,0)</f>
        <v>0</v>
      </c>
      <c r="M51" s="109">
        <f>IF(YEAR(M$4)=InterveningPeriod,'Input|Reported opex'!M92,0)</f>
        <v>0</v>
      </c>
      <c r="N51" s="109">
        <f>IF(YEAR(N$4)=InterveningPeriod,'Input|Reported opex'!N92,0)</f>
        <v>0</v>
      </c>
      <c r="O51" s="109">
        <f>IF(YEAR(O$4)=InterveningPeriod,'Input|Reported opex'!O92,0)</f>
        <v>-1.1811309686141835</v>
      </c>
      <c r="P51" s="109">
        <f>IF(YEAR(P$4)=InterveningPeriod,'Input|Reported opex'!P92,0)</f>
        <v>0</v>
      </c>
      <c r="Q51" s="109">
        <f>IF(YEAR(Q$4)=InterveningPeriod,'Input|Reported opex'!Q92,0)</f>
        <v>0</v>
      </c>
      <c r="R51" s="109">
        <f>IF(YEAR(R$4)=InterveningPeriod,'Input|Reported opex'!R92,0)</f>
        <v>0</v>
      </c>
      <c r="S51" s="109">
        <f>IF(YEAR(S$4)=InterveningPeriod,'Input|Reported opex'!S92,0)</f>
        <v>0</v>
      </c>
      <c r="T51" s="109">
        <f>IF(YEAR(T$4)=InterveningPeriod,'Input|Reported opex'!T92,0)</f>
        <v>0</v>
      </c>
    </row>
    <row r="52" spans="1:48" outlineLevel="1">
      <c r="C52" s="123" t="str">
        <f>C51</f>
        <v>ESV Levy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-1.1811309686141835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opex'!J96</f>
        <v>0</v>
      </c>
      <c r="K54" s="115">
        <f>SUM(K35,K40,K43,K46,K49,K52)*'Input|Reported opex'!K96</f>
        <v>0</v>
      </c>
      <c r="L54" s="115">
        <f>SUM(L35,L40,L43,L46,L49,L52)*'Input|Reported opex'!L96</f>
        <v>0</v>
      </c>
      <c r="M54" s="115">
        <f>SUM(M35,M40,M43,M46,M49,M52)*'Input|Reported opex'!M96</f>
        <v>0</v>
      </c>
      <c r="N54" s="115">
        <f>SUM(N35,N40,N43,N46,N49,N52)*'Input|Reported opex'!N96</f>
        <v>0</v>
      </c>
      <c r="O54" s="115">
        <f>SUM(O35,O40,O43,O46,O49,O52)*'Input|Reported opex'!O96</f>
        <v>0</v>
      </c>
      <c r="P54" s="115">
        <f>SUM(P35,P40,P43,P46,P49,P52)*'Input|Reported opex'!P96</f>
        <v>0</v>
      </c>
      <c r="Q54" s="115">
        <f>SUM(Q35,Q40,Q43,Q46,Q49,Q52)*'Input|Reported opex'!Q96</f>
        <v>0</v>
      </c>
      <c r="R54" s="115">
        <f>SUM(R35,R40,R43,R46,R49,R52)*'Input|Reported opex'!R96</f>
        <v>0</v>
      </c>
      <c r="S54" s="115">
        <f>SUM(S35,S40,S43,S46,S49,S52)*'Input|Reported opex'!S96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162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88.594089842912808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5.3282918984847907E-3</v>
      </c>
      <c r="Q63" s="117">
        <f ca="1">IF(Q60=Q4,AVERAGE(OFFSET('Input|Rate of change'!R97,0,0,COUNTA('Input|Rate of change'!$J$84:$N$84),1)),0)</f>
        <v>8.2244165201027387E-3</v>
      </c>
      <c r="R63" s="117">
        <f ca="1">IF(R60=R4,AVERAGE(OFFSET('Input|Rate of change'!S97,0,0,COUNTA('Input|Rate of change'!$J$84:$N$84),1)),0)</f>
        <v>9.4213451066747396E-3</v>
      </c>
      <c r="S63" s="117">
        <f ca="1">IF(S60=S4,AVERAGE(OFFSET('Input|Rate of change'!T97,0,0,COUNTA('Input|Rate of change'!$J$84:$N$84),1)),0)</f>
        <v>9.0900184754939568E-3</v>
      </c>
      <c r="T63" s="117">
        <f ca="1">IF(T60=T4,AVERAGE(OFFSET('Input|Rate of change'!U97,0,0,COUNTA('Input|Rate of change'!$J$84:$N$84),1)),0)</f>
        <v>8.7801330917609277E-3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4.5951852180371152E-3</v>
      </c>
      <c r="Q65" s="117">
        <f>SUMPRODUCT('Input|Rate of change'!R38:R45,'Input|Rate of change'!R51:R58)</f>
        <v>2.9368489159494111E-3</v>
      </c>
      <c r="R65" s="117">
        <f>SUMPRODUCT('Input|Rate of change'!S38:S45,'Input|Rate of change'!S51:S58)</f>
        <v>3.8554459980797884E-3</v>
      </c>
      <c r="S65" s="117">
        <f>SUMPRODUCT('Input|Rate of change'!T38:T45,'Input|Rate of change'!T51:T58)</f>
        <v>5.8813071655116475E-3</v>
      </c>
      <c r="T65" s="117">
        <f>SUMPRODUCT('Input|Rate of change'!U38:U45,'Input|Rate of change'!U51:U58)</f>
        <v>7.7406508790667933E-3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135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6.1630188966466104E-3</v>
      </c>
      <c r="Q69" s="143">
        <f t="shared" ca="1" si="9"/>
        <v>6.1294922082693049E-3</v>
      </c>
      <c r="R69" s="143">
        <f t="shared" ca="1" si="9"/>
        <v>8.2465490190821722E-3</v>
      </c>
      <c r="S69" s="143">
        <f t="shared" ca="1" si="9"/>
        <v>9.9496628976412094E-3</v>
      </c>
      <c r="T69" s="143">
        <f t="shared" ref="T69" ca="1" si="10">(1+T63)*(1+T65)*(1-T67)-1</f>
        <v>1.1505804176183965E-2</v>
      </c>
    </row>
    <row r="70" spans="1:48" outlineLevel="1">
      <c r="C70" s="124" t="s">
        <v>136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6.1630188966466104E-3</v>
      </c>
      <c r="Q70" s="117">
        <f t="array" aca="1" ref="Q70" ca="1">IF(Q$60=Q$4,PRODUCT(1+$J69:Q69)-1,"")</f>
        <v>1.2330287281222319E-2</v>
      </c>
      <c r="R70" s="117">
        <f t="array" aca="1" ref="R70" ca="1">IF(R$60=R$4,PRODUCT(1+$J69:R69)-1,"")</f>
        <v>2.0678518618788555E-2</v>
      </c>
      <c r="S70" s="117">
        <f t="array" aca="1" ref="S70" ca="1">IF(S$60=S$4,PRODUCT(1+$J69:S69)-1,"")</f>
        <v>3.0833925805909379E-2</v>
      </c>
      <c r="T70" s="117">
        <f t="array" aca="1" ref="T70" ca="1">IF(T$60=T$4,PRODUCT(1+$J69:T69)-1,"")</f>
        <v>4.2694499094399152E-2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Security of Critical Infrastructure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2.4161422739717571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1.7097629208919105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1.6528670470000197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1.53433992411364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1.5462167137960172</v>
      </c>
    </row>
    <row r="77" spans="1:48" outlineLevel="1">
      <c r="C77" s="121" t="str">
        <f>'Input|Step changes'!C13</f>
        <v>IT cloud solutions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0.32871750538357386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0.32526745328975404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0.46533680282477313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0.55227811197175047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0.55028783255068214</v>
      </c>
    </row>
    <row r="78" spans="1:48" outlineLevel="1">
      <c r="C78" s="121" t="str">
        <f>'Input|Step changes'!C14</f>
        <v>5 minute settlement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0.19982383599850811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0.27904208500876904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0.35439604680446601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0.43208638096355151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0.51499211359167085</v>
      </c>
    </row>
    <row r="79" spans="1:48" outlineLevel="1">
      <c r="C79" s="121" t="str">
        <f>'Input|Step changes'!C15</f>
        <v>Solar enablement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0.30000707496957801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0.22972823369127382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0.26905407105684709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0.1237356354804444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0.11327021731253713</v>
      </c>
    </row>
    <row r="80" spans="1:48" outlineLevel="1">
      <c r="C80" s="121" t="str">
        <f>'Input|Step changes'!C16</f>
        <v/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 t="str">
        <f>'Input|Step changes'!C17</f>
        <v/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 t="str">
        <f>'Input|Step changes'!C18</f>
        <v/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 t="str">
        <f>'Input|Step changes'!C19</f>
        <v/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 t="str">
        <f>'Input|Step changes'!C20</f>
        <v/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3.2446906903234169</v>
      </c>
      <c r="Q86" s="174">
        <f t="shared" si="14"/>
        <v>2.5438006928817076</v>
      </c>
      <c r="R86" s="174">
        <f t="shared" si="14"/>
        <v>2.7416539676861063</v>
      </c>
      <c r="S86" s="174">
        <f t="shared" si="14"/>
        <v>2.6424400525293859</v>
      </c>
      <c r="T86" s="174">
        <f t="shared" ref="T86" si="15">SUM(T75:T85)</f>
        <v>2.7247668772509077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114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2.279415353678681E-2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2.279415353678681E-2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2.279415353678681E-2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2.279415353678681E-2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2.279415353678681E-2</v>
      </c>
    </row>
    <row r="93" spans="1:48" outlineLevel="1">
      <c r="C93" s="121" t="str">
        <f>'Input|Step changes'!C29</f>
        <v>Yarra trams pole relocation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1.4913873274760623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0.4422514431889551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1.8847144600925432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0.6315758384931115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0.40341419837997139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115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1.5141814810128491</v>
      </c>
      <c r="Q96" s="128">
        <f t="shared" si="19"/>
        <v>0.46504559672574192</v>
      </c>
      <c r="R96" s="128">
        <f t="shared" si="19"/>
        <v>1.90750861362933</v>
      </c>
      <c r="S96" s="128">
        <f t="shared" si="19"/>
        <v>0.65436999202989832</v>
      </c>
      <c r="T96" s="128">
        <f t="shared" ref="T96" si="20">SUM(T91:T95)</f>
        <v>0.42620835191675821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132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92.384787583069311</v>
      </c>
      <c r="Q102" s="149">
        <f t="shared" ref="Q102:T102" ca="1" si="23">(1+Q70)*SUM($J56:$S56)+Q86</f>
        <v>92.230281114976052</v>
      </c>
      <c r="R102" s="149">
        <f t="shared" ca="1" si="23"/>
        <v>93.167738346930207</v>
      </c>
      <c r="S102" s="149">
        <f t="shared" ca="1" si="23"/>
        <v>93.96823348850063</v>
      </c>
      <c r="T102" s="149">
        <f t="shared" ca="1" si="23"/>
        <v>95.101337008731079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93.898969064082166</v>
      </c>
      <c r="Q103" s="149">
        <f t="shared" ref="Q103:T103" ca="1" si="24">(1+Q70)*SUM($J56:$S56)+Q86+Q96</f>
        <v>92.695326711701796</v>
      </c>
      <c r="R103" s="149">
        <f t="shared" ca="1" si="24"/>
        <v>95.075246960559539</v>
      </c>
      <c r="S103" s="149">
        <f t="shared" ca="1" si="24"/>
        <v>94.622603480530529</v>
      </c>
      <c r="T103" s="149">
        <f t="shared" ca="1" si="24"/>
        <v>95.527545360647835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94.860171040059456</v>
      </c>
      <c r="Q104" s="149">
        <f ca="1">Q103+'Input|Step changes'!Q38</f>
        <v>93.675820439874371</v>
      </c>
      <c r="R104" s="149">
        <f ca="1">R103+'Input|Step changes'!R38</f>
        <v>96.066952196434087</v>
      </c>
      <c r="S104" s="149">
        <f ca="1">S103+'Input|Step changes'!S38</f>
        <v>95.618723790251948</v>
      </c>
      <c r="T104" s="149">
        <f ca="1">T103+'Input|Step changes'!T38</f>
        <v>96.52016006910182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53"/>
  <sheetViews>
    <sheetView showGridLines="0" workbookViewId="0">
      <selection activeCell="P15" sqref="P15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8" t="s">
        <v>228</v>
      </c>
      <c r="S1" s="72" t="s">
        <v>81</v>
      </c>
      <c r="T1" s="76" t="s">
        <v>36</v>
      </c>
      <c r="V1" s="185" t="s">
        <v>24</v>
      </c>
      <c r="W1" s="76" t="str">
        <f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51"/>
      <c r="O3" s="251"/>
      <c r="P3" s="251"/>
      <c r="Q3" s="251"/>
      <c r="R3" s="251"/>
      <c r="S3" s="251"/>
      <c r="T3" s="251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92.384787583069311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92.230281114976052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93.167738346930207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93.96823348850063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95.101337008731079</v>
      </c>
      <c r="U13" s="111"/>
      <c r="V13" s="150"/>
    </row>
    <row r="14" spans="1:27">
      <c r="C14" s="111" t="str">
        <f>'Input|Step changes'!C28</f>
        <v>GSL payment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2.279415353678681E-2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2.279415353678681E-2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2.279415353678681E-2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2.279415353678681E-2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2.279415353678681E-2</v>
      </c>
      <c r="U14" s="111"/>
      <c r="V14" s="150"/>
    </row>
    <row r="15" spans="1:27">
      <c r="C15" s="111" t="str">
        <f>'Input|Step changes'!C29</f>
        <v>Yarra trams pole relocation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1.4913873274760623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0.4422514431889551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1.8847144600925432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0.6315758384931115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0.40341419837997139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119"/>
  <sheetViews>
    <sheetView showGridLines="0" topLeftCell="F19" workbookViewId="0">
      <selection activeCell="P1" sqref="P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28" t="s">
        <v>228</v>
      </c>
      <c r="R1" s="39"/>
      <c r="S1" s="40"/>
      <c r="U1" s="179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152</v>
      </c>
      <c r="H40" s="14" t="s">
        <v>150</v>
      </c>
      <c r="I40" s="14" t="s">
        <v>151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148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149</v>
      </c>
      <c r="H64" s="14" t="s">
        <v>117</v>
      </c>
    </row>
    <row r="65" spans="1:47">
      <c r="C65" s="15" t="s">
        <v>183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137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138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139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140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141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188</v>
      </c>
      <c r="D71" s="16" t="s">
        <v>97</v>
      </c>
      <c r="E71" s="16"/>
      <c r="F71" s="16"/>
      <c r="G71" s="181" t="s">
        <v>189</v>
      </c>
      <c r="H71" s="183">
        <f>DATE(YEAR(H70)+1,6,1)</f>
        <v>44348</v>
      </c>
    </row>
    <row r="72" spans="1:47">
      <c r="C72" s="15" t="s">
        <v>142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143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144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145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146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149</v>
      </c>
      <c r="H80" s="212"/>
    </row>
    <row r="81" spans="1:47">
      <c r="C81" s="15" t="s">
        <v>177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178</v>
      </c>
      <c r="D82" s="16" t="s">
        <v>68</v>
      </c>
      <c r="E82" s="16"/>
      <c r="F82" s="16"/>
      <c r="G82" s="182" t="s">
        <v>179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8"/>
  <sheetViews>
    <sheetView showGridLines="0" topLeftCell="E1" workbookViewId="0">
      <selection activeCell="P1" sqref="P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28" t="s">
        <v>228</v>
      </c>
      <c r="R1" s="179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24</vt:i4>
      </vt:variant>
    </vt:vector>
  </HeadingPairs>
  <TitlesOfParts>
    <vt:vector size="35" baseType="lpstr">
      <vt:lpstr>Index</vt:lpstr>
      <vt:lpstr>Amendments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Amendments!BaseYear</vt:lpstr>
      <vt:lpstr>BaseYear</vt:lpstr>
      <vt:lpstr>dollars</vt:lpstr>
      <vt:lpstr>factor</vt:lpstr>
      <vt:lpstr>Amendments!FPFirstYear</vt:lpstr>
      <vt:lpstr>FPFirstYear</vt:lpstr>
      <vt:lpstr>Amendments!FPLastYear</vt:lpstr>
      <vt:lpstr>FPLastYear</vt:lpstr>
      <vt:lpstr>Amendments!InterveningPeriod</vt:lpstr>
      <vt:lpstr>InterveningPeriod</vt:lpstr>
      <vt:lpstr>millions</vt:lpstr>
      <vt:lpstr>Amendments!Nominal_to_Real</vt:lpstr>
      <vt:lpstr>Nominal_to_Real</vt:lpstr>
      <vt:lpstr>NSP</vt:lpstr>
      <vt:lpstr>number</vt:lpstr>
      <vt:lpstr>Amendments!percent</vt:lpstr>
      <vt:lpstr>percent</vt:lpstr>
      <vt:lpstr>Amendments!PPFirstYear</vt:lpstr>
      <vt:lpstr>PPFirstYear</vt:lpstr>
      <vt:lpstr>Amendments!PPLastYear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2020-09-28T03:59:04Z</dcterms:created>
  <dcterms:modified xsi:type="dcterms:W3CDTF">2020-12-17T09:40:28Z</dcterms:modified>
</cp:coreProperties>
</file>