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AF4C399E-653D-40AF-A3AE-FBBD941D9AB8}" xr6:coauthVersionLast="45" xr6:coauthVersionMax="45" xr10:uidLastSave="{00000000-0000-0000-0000-000000000000}"/>
  <bookViews>
    <workbookView xWindow="1710" yWindow="0" windowWidth="20655" windowHeight="16200" xr2:uid="{00000000-000D-0000-FFFF-FFFF00000000}"/>
  </bookViews>
  <sheets>
    <sheet name="Calc" sheetId="13" r:id="rId1"/>
  </sheets>
  <externalReferences>
    <externalReference r:id="rId2"/>
  </externalReferences>
  <definedNames>
    <definedName name="cbd_vcr" localSheetId="0">Calc!$H$14</definedName>
    <definedName name="energy" localSheetId="0">Calc!$F$6</definedName>
    <definedName name="maifi_perc" localSheetId="0">Calc!$F$9</definedName>
    <definedName name="mins_pa" localSheetId="0">Calc!$F$8</definedName>
    <definedName name="non_cbd_vcr" localSheetId="0">Calc!$H$15</definedName>
    <definedName name="revenue" localSheetId="0">Calc!$F$7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3" l="1"/>
  <c r="H50" i="13"/>
  <c r="H51" i="13"/>
  <c r="G45" i="13"/>
  <c r="G50" i="13"/>
  <c r="G51" i="13"/>
  <c r="H44" i="13"/>
  <c r="H49" i="13"/>
  <c r="G44" i="13"/>
  <c r="G49" i="13"/>
  <c r="F38" i="13"/>
  <c r="E38" i="13"/>
  <c r="F37" i="13"/>
  <c r="E37" i="13"/>
  <c r="E45" i="13" s="1"/>
  <c r="E50" i="13" s="1"/>
  <c r="E51" i="13" s="1"/>
  <c r="G14" i="13"/>
  <c r="H14" i="13"/>
  <c r="E36" i="13"/>
  <c r="E44" i="13" s="1"/>
  <c r="E49" i="13" s="1"/>
  <c r="F36" i="13"/>
  <c r="H25" i="13"/>
  <c r="G25" i="13"/>
  <c r="F25" i="13"/>
  <c r="E25" i="13"/>
  <c r="G15" i="13"/>
  <c r="H15" i="13"/>
  <c r="F8" i="13"/>
  <c r="F45" i="13"/>
  <c r="F50" i="13" s="1"/>
  <c r="F51" i="13" s="1"/>
  <c r="F44" i="13"/>
  <c r="F49" i="13" s="1"/>
</calcChain>
</file>

<file path=xl/sharedStrings.xml><?xml version="1.0" encoding="utf-8"?>
<sst xmlns="http://schemas.openxmlformats.org/spreadsheetml/2006/main" count="59" uniqueCount="38">
  <si>
    <t>CBD</t>
  </si>
  <si>
    <t>Urban</t>
  </si>
  <si>
    <t>Service Target Performance Incentive Scheme - Rate Calculation</t>
  </si>
  <si>
    <t>Assumptions</t>
  </si>
  <si>
    <t>Smoothed revenue ($'m Jun 2021)</t>
  </si>
  <si>
    <t>SAIFI ($)</t>
  </si>
  <si>
    <t>SAIDI ($)</t>
  </si>
  <si>
    <t>Proportion of VCR</t>
  </si>
  <si>
    <t>Ave unplanned SAIFI target</t>
  </si>
  <si>
    <t>Ave unplanned SAIDI target</t>
  </si>
  <si>
    <t xml:space="preserve">Ratio of unplanned SAIDI/SAIFI    </t>
  </si>
  <si>
    <t>Ave unplanned MAIFI target</t>
  </si>
  <si>
    <t>Telephone answering</t>
  </si>
  <si>
    <t>Energy (MWh) - Network</t>
  </si>
  <si>
    <t>AER, Value of customer reliability, December 2019</t>
  </si>
  <si>
    <t>Incentive rate</t>
  </si>
  <si>
    <t>SAIFI</t>
  </si>
  <si>
    <t>SAIDI</t>
  </si>
  <si>
    <t>MAIFI</t>
  </si>
  <si>
    <r>
      <t xml:space="preserve">MAIFI incentive rate </t>
    </r>
    <r>
      <rPr>
        <sz val="8"/>
        <color theme="1"/>
        <rFont val="Calibri"/>
        <family val="2"/>
      </rPr>
      <t>(% of SAIFI)</t>
    </r>
  </si>
  <si>
    <t>Average2021/22 - 2025/26, from Reset RIN 3.4.1</t>
  </si>
  <si>
    <t>AER VCR ($/MWh) - CBD</t>
  </si>
  <si>
    <t>AER VCR ($/MWh) - non CBD</t>
  </si>
  <si>
    <t>Energy (MWh)</t>
  </si>
  <si>
    <t>Ave Customers (#)</t>
  </si>
  <si>
    <t>Ave Minutes per year</t>
  </si>
  <si>
    <t>Calculation - Incentive rates based on AER Guideline VCR</t>
  </si>
  <si>
    <t>Short rural</t>
  </si>
  <si>
    <t>Long rural</t>
  </si>
  <si>
    <t>CitiPower</t>
  </si>
  <si>
    <t>Network</t>
  </si>
  <si>
    <t>2021/22 - 2025/26</t>
  </si>
  <si>
    <t>CPI</t>
  </si>
  <si>
    <t>2019 Annual RIN 6.2.4</t>
  </si>
  <si>
    <t>December 2020 CPI will be used for Final Decision</t>
  </si>
  <si>
    <t>AER Draft Decision Sep 2020, PTRM; needs updating with final revenue</t>
  </si>
  <si>
    <t>AER draft decision</t>
  </si>
  <si>
    <t>RRP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</si>
</sst>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;[Red]\-&quot;$&quot;#,##0;\ &quot;-&quot;"/>
    <numFmt numFmtId="165" formatCode="#,##0_ ;[Red]\-#,##0\ "/>
    <numFmt numFmtId="166" formatCode="#,##0.0_ ;[Red]\-#,##0.0\ "/>
    <numFmt numFmtId="167" formatCode="0.0%"/>
    <numFmt numFmtId="168" formatCode="&quot;$&quot;#,##0&quot;m&quot;;[Red]\-&quot;$&quot;#,##0&quot;m&quot;;\ &quot;-&quot;"/>
    <numFmt numFmtId="169" formatCode="0.00;[Red]\-0.00;\ &quot;-&quot;"/>
    <numFmt numFmtId="170" formatCode="0.000;[Red]\-0.000;\ &quot;-&quot;"/>
    <numFmt numFmtId="171" formatCode="0.0000;[Red]\-0.0000;\ &quot;-&quot;"/>
    <numFmt numFmtId="172" formatCode="#,##0.000"/>
    <numFmt numFmtId="173" formatCode="#,##0.0000"/>
    <numFmt numFmtId="174" formatCode="#,##0_);\(#,##0\);\-\-_)"/>
  </numFmts>
  <fonts count="21" x14ac:knownFonts="1">
    <font>
      <sz val="10"/>
      <color theme="1"/>
      <name val="Verdana"/>
      <family val="2"/>
    </font>
    <font>
      <sz val="10"/>
      <name val="Arial"/>
      <family val="2"/>
    </font>
    <font>
      <b/>
      <sz val="11"/>
      <color indexed="62"/>
      <name val="Calibri"/>
      <family val="2"/>
    </font>
    <font>
      <sz val="10"/>
      <color theme="1"/>
      <name val="Verdana"/>
      <family val="2"/>
    </font>
    <font>
      <sz val="10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66FF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i/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4"/>
      <color indexed="9"/>
      <name val="Arial"/>
      <family val="2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2" borderId="0">
      <alignment horizontal="center"/>
    </xf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9" fillId="0" borderId="0"/>
    <xf numFmtId="174" fontId="19" fillId="8" borderId="0"/>
  </cellStyleXfs>
  <cellXfs count="53">
    <xf numFmtId="0" fontId="0" fillId="0" borderId="0" xfId="0"/>
    <xf numFmtId="0" fontId="5" fillId="3" borderId="0" xfId="0" applyFont="1" applyFill="1"/>
    <xf numFmtId="0" fontId="6" fillId="0" borderId="0" xfId="0" applyFont="1" applyBorder="1"/>
    <xf numFmtId="0" fontId="7" fillId="0" borderId="0" xfId="0" applyFont="1"/>
    <xf numFmtId="14" fontId="8" fillId="0" borderId="0" xfId="0" applyNumberFormat="1" applyFont="1" applyBorder="1"/>
    <xf numFmtId="14" fontId="8" fillId="0" borderId="0" xfId="0" applyNumberFormat="1" applyFont="1" applyBorder="1" applyAlignment="1">
      <alignment vertical="top"/>
    </xf>
    <xf numFmtId="0" fontId="10" fillId="4" borderId="0" xfId="6" applyFont="1" applyFill="1" applyAlignment="1">
      <alignment horizontal="left" vertical="center"/>
    </xf>
    <xf numFmtId="0" fontId="11" fillId="4" borderId="0" xfId="6" applyFont="1" applyFill="1" applyAlignment="1">
      <alignment horizontal="left" vertical="center"/>
    </xf>
    <xf numFmtId="0" fontId="6" fillId="0" borderId="1" xfId="0" applyFont="1" applyBorder="1"/>
    <xf numFmtId="0" fontId="8" fillId="0" borderId="1" xfId="0" applyFont="1" applyBorder="1"/>
    <xf numFmtId="164" fontId="12" fillId="0" borderId="0" xfId="0" applyNumberFormat="1" applyFont="1" applyFill="1" applyBorder="1" applyAlignment="1">
      <alignment horizontal="right" vertical="top"/>
    </xf>
    <xf numFmtId="0" fontId="6" fillId="0" borderId="0" xfId="0" applyFont="1"/>
    <xf numFmtId="3" fontId="6" fillId="0" borderId="0" xfId="0" applyNumberFormat="1" applyFont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5" applyNumberFormat="1" applyFont="1" applyAlignment="1">
      <alignment horizontal="center"/>
    </xf>
    <xf numFmtId="0" fontId="14" fillId="0" borderId="0" xfId="0" applyFont="1"/>
    <xf numFmtId="4" fontId="12" fillId="0" borderId="0" xfId="0" applyNumberFormat="1" applyFont="1" applyAlignment="1">
      <alignment horizontal="center"/>
    </xf>
    <xf numFmtId="0" fontId="8" fillId="0" borderId="0" xfId="0" applyFont="1" applyBorder="1"/>
    <xf numFmtId="9" fontId="12" fillId="0" borderId="0" xfId="5" applyFont="1" applyFill="1" applyBorder="1" applyAlignment="1">
      <alignment horizontal="right" vertical="top"/>
    </xf>
    <xf numFmtId="167" fontId="6" fillId="0" borderId="0" xfId="0" applyNumberFormat="1" applyFont="1"/>
    <xf numFmtId="3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4" fontId="16" fillId="0" borderId="0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11" fillId="0" borderId="0" xfId="6" applyFont="1" applyFill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6" fillId="0" borderId="0" xfId="0" applyFont="1" applyFill="1" applyBorder="1"/>
    <xf numFmtId="10" fontId="17" fillId="5" borderId="0" xfId="5" applyNumberFormat="1" applyFont="1" applyFill="1" applyBorder="1" applyAlignment="1">
      <alignment horizontal="right" vertical="top"/>
    </xf>
    <xf numFmtId="164" fontId="13" fillId="0" borderId="0" xfId="0" applyNumberFormat="1" applyFont="1" applyAlignment="1">
      <alignment horizontal="center" vertical="top"/>
    </xf>
    <xf numFmtId="169" fontId="13" fillId="0" borderId="0" xfId="0" applyNumberFormat="1" applyFont="1" applyAlignment="1">
      <alignment horizontal="center" vertical="top"/>
    </xf>
    <xf numFmtId="170" fontId="13" fillId="0" borderId="0" xfId="0" applyNumberFormat="1" applyFont="1" applyAlignment="1">
      <alignment horizontal="center" vertical="top"/>
    </xf>
    <xf numFmtId="171" fontId="13" fillId="0" borderId="0" xfId="0" applyNumberFormat="1" applyFont="1" applyAlignment="1">
      <alignment horizontal="center" vertical="top"/>
    </xf>
    <xf numFmtId="4" fontId="6" fillId="6" borderId="0" xfId="0" applyNumberFormat="1" applyFont="1" applyFill="1" applyAlignment="1">
      <alignment horizontal="center"/>
    </xf>
    <xf numFmtId="166" fontId="12" fillId="5" borderId="0" xfId="0" applyNumberFormat="1" applyFont="1" applyFill="1" applyBorder="1" applyAlignment="1">
      <alignment horizontal="center" vertical="top"/>
    </xf>
    <xf numFmtId="165" fontId="12" fillId="5" borderId="0" xfId="0" applyNumberFormat="1" applyFont="1" applyFill="1" applyAlignment="1">
      <alignment horizontal="center" vertical="top"/>
    </xf>
    <xf numFmtId="165" fontId="12" fillId="5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164" fontId="12" fillId="5" borderId="0" xfId="0" applyNumberFormat="1" applyFont="1" applyFill="1" applyBorder="1" applyAlignment="1">
      <alignment horizontal="center" vertical="top"/>
    </xf>
    <xf numFmtId="164" fontId="17" fillId="0" borderId="0" xfId="0" applyNumberFormat="1" applyFont="1" applyFill="1" applyBorder="1" applyAlignment="1">
      <alignment horizontal="center" vertical="top"/>
    </xf>
    <xf numFmtId="9" fontId="12" fillId="5" borderId="0" xfId="5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6" fillId="0" borderId="0" xfId="0" applyFont="1" applyFill="1"/>
    <xf numFmtId="164" fontId="16" fillId="0" borderId="0" xfId="0" applyNumberFormat="1" applyFont="1" applyFill="1" applyAlignment="1">
      <alignment horizontal="left" vertical="top"/>
    </xf>
    <xf numFmtId="168" fontId="12" fillId="2" borderId="0" xfId="0" applyNumberFormat="1" applyFont="1" applyFill="1" applyBorder="1" applyAlignment="1">
      <alignment horizontal="center" vertical="top"/>
    </xf>
    <xf numFmtId="10" fontId="12" fillId="2" borderId="0" xfId="5" applyNumberFormat="1" applyFont="1" applyFill="1"/>
    <xf numFmtId="172" fontId="6" fillId="7" borderId="0" xfId="0" applyNumberFormat="1" applyFont="1" applyFill="1" applyAlignment="1">
      <alignment horizontal="center"/>
    </xf>
    <xf numFmtId="173" fontId="6" fillId="7" borderId="0" xfId="0" applyNumberFormat="1" applyFont="1" applyFill="1" applyAlignment="1">
      <alignment horizontal="center"/>
    </xf>
    <xf numFmtId="171" fontId="13" fillId="7" borderId="0" xfId="0" applyNumberFormat="1" applyFont="1" applyFill="1" applyAlignment="1">
      <alignment horizontal="center" vertical="top"/>
    </xf>
    <xf numFmtId="174" fontId="20" fillId="2" borderId="0" xfId="7" applyFont="1" applyFill="1"/>
    <xf numFmtId="174" fontId="20" fillId="7" borderId="0" xfId="7" applyFont="1" applyFill="1"/>
  </cellXfs>
  <cellStyles count="8">
    <cellStyle name="Header1" xfId="7" xr:uid="{80AA7845-BCE0-4B1F-A7B6-7BD9AB539BFE}"/>
    <cellStyle name="Heading 4 2" xfId="1" xr:uid="{00000000-0005-0000-0000-000000000000}"/>
    <cellStyle name="Input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5" xfId="6" xr:uid="{00000000-0005-0000-0000-000005000000}"/>
    <cellStyle name="Percent" xfId="5" builtinId="5"/>
  </cellStyles>
  <dxfs count="0"/>
  <tableStyles count="0" defaultTableStyle="TableStyleMedium2" defaultPivotStyle="PivotStyleLight16"/>
  <colors>
    <mruColors>
      <color rgb="FF66FF33"/>
      <color rgb="FFFFFF00"/>
      <color rgb="FFFFFFFF"/>
      <color rgb="FFCCFFFF"/>
      <color rgb="FFFF33CC"/>
      <color rgb="FFFFFFCC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RRP%20MOD%2010.12%20-%20STPIS%20targets%20-%20Dec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reliability"/>
      <sheetName val="Input_calls"/>
      <sheetName val="Calculations"/>
      <sheetName val="Output"/>
    </sheetNames>
    <sheetDataSet>
      <sheetData sheetId="0" refreshError="1"/>
      <sheetData sheetId="1" refreshError="1"/>
      <sheetData sheetId="2" refreshError="1"/>
      <sheetData sheetId="3">
        <row r="5">
          <cell r="C5">
            <v>8.8545764183786879</v>
          </cell>
          <cell r="D5">
            <v>28.173154797614764</v>
          </cell>
        </row>
        <row r="6">
          <cell r="C6">
            <v>0.10812047096714299</v>
          </cell>
          <cell r="D6">
            <v>0.39152343059247274</v>
          </cell>
        </row>
        <row r="7">
          <cell r="C7">
            <v>2.3540125717680105E-3</v>
          </cell>
          <cell r="D7">
            <v>0.19494004495011993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9D06-FEA8-4A53-A503-0D2171D60E24}">
  <dimension ref="A1:Y52"/>
  <sheetViews>
    <sheetView showGridLines="0" tabSelected="1" zoomScale="90" zoomScaleNormal="90" workbookViewId="0">
      <selection activeCell="E44" sqref="E44"/>
    </sheetView>
  </sheetViews>
  <sheetFormatPr defaultColWidth="9" defaultRowHeight="12.75" x14ac:dyDescent="0.2"/>
  <cols>
    <col min="1" max="1" width="5.625" style="11" customWidth="1"/>
    <col min="2" max="2" width="27.875" style="11" customWidth="1"/>
    <col min="3" max="4" width="11.125" style="11" customWidth="1"/>
    <col min="5" max="5" width="10.875" style="11" customWidth="1"/>
    <col min="6" max="6" width="9" style="11" customWidth="1"/>
    <col min="7" max="16384" width="9" style="11"/>
  </cols>
  <sheetData>
    <row r="1" spans="1:25" s="3" customFormat="1" ht="18.75" x14ac:dyDescent="0.3">
      <c r="A1" s="1" t="s">
        <v>2</v>
      </c>
      <c r="B1" s="1"/>
      <c r="C1" s="1"/>
      <c r="D1" s="1"/>
      <c r="E1" s="1"/>
      <c r="F1" s="1"/>
      <c r="G1" s="1"/>
      <c r="H1" s="1"/>
      <c r="I1" s="1"/>
      <c r="J1" s="51" t="s">
        <v>36</v>
      </c>
      <c r="K1" s="5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s="3" customFormat="1" ht="18.75" x14ac:dyDescent="0.3">
      <c r="A2" s="1" t="s">
        <v>29</v>
      </c>
      <c r="B2" s="1"/>
      <c r="C2" s="1"/>
      <c r="D2" s="1"/>
      <c r="E2" s="1"/>
      <c r="F2" s="1"/>
      <c r="G2" s="1"/>
      <c r="H2" s="1"/>
      <c r="I2" s="1"/>
      <c r="J2" s="52" t="s">
        <v>37</v>
      </c>
      <c r="K2" s="52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</row>
    <row r="3" spans="1:25" s="2" customFormat="1" x14ac:dyDescent="0.2">
      <c r="A3" s="4"/>
    </row>
    <row r="4" spans="1:25" s="2" customFormat="1" x14ac:dyDescent="0.2">
      <c r="A4" s="7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5" s="2" customFormat="1" x14ac:dyDescent="0.2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  <c r="T5" s="28"/>
    </row>
    <row r="6" spans="1:25" x14ac:dyDescent="0.2">
      <c r="B6" s="2" t="s">
        <v>13</v>
      </c>
      <c r="C6" s="2"/>
      <c r="D6" s="2"/>
      <c r="E6" s="2"/>
      <c r="F6" s="36">
        <v>5912314.34653382</v>
      </c>
      <c r="K6" s="24" t="s">
        <v>20</v>
      </c>
      <c r="L6" s="16"/>
      <c r="M6" s="10"/>
      <c r="N6" s="10"/>
      <c r="O6" s="10"/>
      <c r="P6" s="10"/>
      <c r="Q6" s="10"/>
      <c r="R6" s="10"/>
      <c r="S6" s="10"/>
      <c r="T6" s="10"/>
      <c r="U6" s="10"/>
    </row>
    <row r="7" spans="1:25" x14ac:dyDescent="0.2">
      <c r="B7" s="2" t="s">
        <v>4</v>
      </c>
      <c r="C7" s="2"/>
      <c r="D7" s="2"/>
      <c r="E7" s="2"/>
      <c r="F7" s="46">
        <v>265.6600596305563</v>
      </c>
      <c r="K7" s="45" t="s">
        <v>35</v>
      </c>
      <c r="L7" s="44"/>
      <c r="M7" s="44"/>
    </row>
    <row r="8" spans="1:25" x14ac:dyDescent="0.2">
      <c r="B8" s="11" t="s">
        <v>25</v>
      </c>
      <c r="F8" s="37">
        <f>365.25*24*60</f>
        <v>525960</v>
      </c>
      <c r="O8" s="10"/>
    </row>
    <row r="9" spans="1:25" x14ac:dyDescent="0.2">
      <c r="B9" s="2" t="s">
        <v>19</v>
      </c>
      <c r="C9" s="2"/>
      <c r="D9" s="2"/>
      <c r="E9" s="2"/>
      <c r="F9" s="42">
        <v>0.08</v>
      </c>
      <c r="H9" s="16"/>
      <c r="O9" s="10"/>
    </row>
    <row r="10" spans="1:25" x14ac:dyDescent="0.2">
      <c r="B10" s="2"/>
      <c r="C10" s="2"/>
      <c r="D10" s="2"/>
      <c r="E10" s="2"/>
      <c r="F10" s="2"/>
      <c r="H10" s="16"/>
    </row>
    <row r="11" spans="1:25" s="2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</row>
    <row r="12" spans="1:25" s="2" customFormat="1" ht="12.75" customHeight="1" x14ac:dyDescent="0.2">
      <c r="A12" s="4"/>
      <c r="B12" s="8"/>
      <c r="C12" s="8"/>
      <c r="D12" s="8"/>
      <c r="E12" s="8"/>
      <c r="F12" s="13">
        <v>2019</v>
      </c>
      <c r="G12" s="13">
        <v>2020</v>
      </c>
      <c r="H12" s="13">
        <v>2021</v>
      </c>
    </row>
    <row r="13" spans="1:25" s="2" customFormat="1" ht="12.75" customHeight="1" x14ac:dyDescent="0.2">
      <c r="A13" s="5"/>
      <c r="B13" s="2" t="s">
        <v>32</v>
      </c>
      <c r="E13" s="39"/>
      <c r="F13" s="39"/>
      <c r="G13" s="47">
        <v>1.5679442508710784E-2</v>
      </c>
      <c r="H13" s="47">
        <v>0</v>
      </c>
      <c r="K13" s="44" t="s">
        <v>34</v>
      </c>
      <c r="L13" s="44"/>
    </row>
    <row r="14" spans="1:25" ht="12.75" customHeight="1" x14ac:dyDescent="0.2">
      <c r="B14" s="2" t="s">
        <v>21</v>
      </c>
      <c r="C14" s="2"/>
      <c r="D14" s="2"/>
      <c r="E14" s="39"/>
      <c r="F14" s="40">
        <v>44520</v>
      </c>
      <c r="G14" s="41">
        <f>F14*(1+G$13)</f>
        <v>45218.048780487807</v>
      </c>
      <c r="H14" s="41">
        <f>G14*(1+H$13)</f>
        <v>45218.048780487807</v>
      </c>
      <c r="K14" s="16" t="s">
        <v>14</v>
      </c>
    </row>
    <row r="15" spans="1:25" ht="12.75" customHeight="1" x14ac:dyDescent="0.2">
      <c r="B15" s="2" t="s">
        <v>22</v>
      </c>
      <c r="C15" s="2"/>
      <c r="D15" s="2"/>
      <c r="E15" s="39"/>
      <c r="F15" s="40">
        <v>41210</v>
      </c>
      <c r="G15" s="41">
        <f>F15*(1+G$13)</f>
        <v>41856.14982578397</v>
      </c>
      <c r="H15" s="41">
        <f>G15*(1+H$13)</f>
        <v>41856.14982578397</v>
      </c>
      <c r="K15" s="16" t="s">
        <v>14</v>
      </c>
    </row>
    <row r="16" spans="1:25" ht="12.75" customHeight="1" x14ac:dyDescent="0.2">
      <c r="B16" s="2"/>
      <c r="C16" s="2"/>
      <c r="D16" s="2"/>
      <c r="E16" s="2"/>
      <c r="F16" s="2"/>
      <c r="G16" s="10"/>
      <c r="H16" s="10"/>
      <c r="I16" s="16"/>
    </row>
    <row r="17" spans="2:21" ht="12.75" customHeight="1" x14ac:dyDescent="0.2">
      <c r="B17" s="2"/>
      <c r="C17" s="2"/>
      <c r="D17" s="2"/>
      <c r="E17" s="2"/>
      <c r="F17" s="2"/>
      <c r="G17" s="10"/>
      <c r="H17" s="10"/>
      <c r="I17" s="16"/>
    </row>
    <row r="18" spans="2:21" x14ac:dyDescent="0.2">
      <c r="K18" s="10"/>
      <c r="L18" s="16"/>
      <c r="M18" s="10"/>
      <c r="N18" s="10"/>
      <c r="O18" s="10"/>
      <c r="P18" s="10"/>
      <c r="Q18" s="10"/>
      <c r="R18" s="10"/>
      <c r="S18" s="10"/>
      <c r="T18" s="10"/>
      <c r="U18" s="10"/>
    </row>
    <row r="19" spans="2:21" x14ac:dyDescent="0.2">
      <c r="B19" s="8"/>
      <c r="C19" s="8"/>
      <c r="D19" s="8"/>
      <c r="E19" s="13" t="s">
        <v>0</v>
      </c>
      <c r="F19" s="13" t="s">
        <v>1</v>
      </c>
      <c r="G19" s="13" t="s">
        <v>27</v>
      </c>
      <c r="H19" s="13" t="s">
        <v>28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1" x14ac:dyDescent="0.2">
      <c r="B20" s="2" t="s">
        <v>24</v>
      </c>
      <c r="C20" s="2"/>
      <c r="D20" s="2"/>
      <c r="E20" s="36">
        <v>59621</v>
      </c>
      <c r="F20" s="36">
        <v>273161</v>
      </c>
      <c r="G20" s="37">
        <v>0</v>
      </c>
      <c r="H20" s="37">
        <v>0</v>
      </c>
      <c r="K20" s="16" t="s">
        <v>33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2:21" x14ac:dyDescent="0.2">
      <c r="B21" s="2"/>
      <c r="C21" s="2"/>
      <c r="D21" s="2"/>
      <c r="E21" s="2"/>
      <c r="F21" s="18"/>
      <c r="G21" s="10"/>
      <c r="H21" s="10"/>
      <c r="I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2:21" x14ac:dyDescent="0.2">
      <c r="B22" s="2"/>
      <c r="C22" s="2"/>
      <c r="D22" s="2"/>
      <c r="E22" s="2"/>
      <c r="F22" s="18"/>
      <c r="G22" s="10"/>
      <c r="H22" s="10"/>
      <c r="I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1" x14ac:dyDescent="0.2">
      <c r="B23" s="2"/>
      <c r="C23" s="2"/>
      <c r="D23" s="2"/>
      <c r="E23" s="2"/>
      <c r="F23" s="18"/>
      <c r="G23" s="10"/>
      <c r="H23" s="10"/>
      <c r="I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1" x14ac:dyDescent="0.2">
      <c r="B24" s="8"/>
      <c r="C24" s="8"/>
      <c r="D24" s="8"/>
      <c r="E24" s="13" t="s">
        <v>0</v>
      </c>
      <c r="F24" s="13" t="s">
        <v>1</v>
      </c>
      <c r="G24" s="13" t="s">
        <v>27</v>
      </c>
      <c r="H24" s="13" t="s">
        <v>28</v>
      </c>
      <c r="I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2:21" x14ac:dyDescent="0.2">
      <c r="B25" s="2" t="s">
        <v>23</v>
      </c>
      <c r="C25" s="2"/>
      <c r="D25" s="2"/>
      <c r="E25" s="38">
        <f>energy*E20/SUM($E$20:$H$20)</f>
        <v>1059246.2743017736</v>
      </c>
      <c r="F25" s="38">
        <f>energy*F20/SUM($E$20:$H$20)</f>
        <v>4853068.0722320462</v>
      </c>
      <c r="G25" s="38">
        <f>energy*G20/SUM($E$20:$H$20)</f>
        <v>0</v>
      </c>
      <c r="H25" s="38">
        <f>energy*H20/SUM($E$20:$H$20)</f>
        <v>0</v>
      </c>
      <c r="I25" s="19"/>
      <c r="K25" s="10"/>
    </row>
    <row r="26" spans="2:21" x14ac:dyDescent="0.2">
      <c r="B26" s="2"/>
      <c r="C26" s="2"/>
      <c r="D26" s="2"/>
      <c r="E26" s="2"/>
      <c r="G26" s="19"/>
      <c r="H26" s="19"/>
      <c r="I26" s="19"/>
      <c r="K26" s="10"/>
    </row>
    <row r="29" spans="2:21" x14ac:dyDescent="0.2">
      <c r="B29" s="25"/>
      <c r="C29" s="25"/>
      <c r="D29" s="25"/>
      <c r="E29" s="13" t="s">
        <v>0</v>
      </c>
      <c r="F29" s="13" t="s">
        <v>1</v>
      </c>
      <c r="G29" s="13" t="s">
        <v>27</v>
      </c>
      <c r="H29" s="13" t="s">
        <v>28</v>
      </c>
      <c r="K29" s="16"/>
      <c r="L29" s="2"/>
      <c r="M29" s="2"/>
      <c r="N29" s="2"/>
    </row>
    <row r="30" spans="2:21" x14ac:dyDescent="0.2">
      <c r="B30" s="11" t="s">
        <v>10</v>
      </c>
      <c r="E30" s="35">
        <v>1.5</v>
      </c>
      <c r="F30" s="35">
        <v>1.5</v>
      </c>
      <c r="G30" s="35">
        <v>1.5</v>
      </c>
      <c r="H30" s="35">
        <v>1.5</v>
      </c>
    </row>
    <row r="31" spans="2:21" x14ac:dyDescent="0.2">
      <c r="E31" s="2"/>
    </row>
    <row r="32" spans="2:21" x14ac:dyDescent="0.2">
      <c r="E32" s="2"/>
    </row>
    <row r="33" spans="1:18" x14ac:dyDescent="0.2">
      <c r="F33" s="12"/>
    </row>
    <row r="34" spans="1:18" x14ac:dyDescent="0.2">
      <c r="E34" s="21" t="s">
        <v>31</v>
      </c>
      <c r="F34" s="21"/>
      <c r="G34" s="22"/>
      <c r="H34" s="23"/>
    </row>
    <row r="35" spans="1:18" x14ac:dyDescent="0.2">
      <c r="B35" s="8"/>
      <c r="C35" s="8"/>
      <c r="D35" s="8"/>
      <c r="E35" s="13" t="s">
        <v>0</v>
      </c>
      <c r="F35" s="13" t="s">
        <v>1</v>
      </c>
      <c r="G35" s="43" t="s">
        <v>27</v>
      </c>
      <c r="H35" s="43" t="s">
        <v>28</v>
      </c>
    </row>
    <row r="36" spans="1:18" x14ac:dyDescent="0.2">
      <c r="B36" s="11" t="s">
        <v>9</v>
      </c>
      <c r="E36" s="48">
        <f>[1]Output!C5</f>
        <v>8.8545764183786879</v>
      </c>
      <c r="F36" s="48">
        <f>[1]Output!D5</f>
        <v>28.173154797614764</v>
      </c>
      <c r="G36" s="34"/>
      <c r="H36" s="34"/>
    </row>
    <row r="37" spans="1:18" x14ac:dyDescent="0.2">
      <c r="B37" s="11" t="s">
        <v>8</v>
      </c>
      <c r="E37" s="48">
        <f>[1]Output!C6</f>
        <v>0.10812047096714299</v>
      </c>
      <c r="F37" s="48">
        <f>[1]Output!D6</f>
        <v>0.39152343059247274</v>
      </c>
      <c r="G37" s="34"/>
      <c r="H37" s="34"/>
    </row>
    <row r="38" spans="1:18" x14ac:dyDescent="0.2">
      <c r="B38" s="11" t="s">
        <v>11</v>
      </c>
      <c r="E38" s="49">
        <f>[1]Output!C7</f>
        <v>2.3540125717680105E-3</v>
      </c>
      <c r="F38" s="49">
        <f>[1]Output!D7</f>
        <v>0.19494004495011993</v>
      </c>
      <c r="G38" s="34"/>
      <c r="H38" s="34"/>
    </row>
    <row r="39" spans="1:18" x14ac:dyDescent="0.2">
      <c r="F39" s="17"/>
      <c r="G39" s="17"/>
      <c r="H39" s="17"/>
    </row>
    <row r="40" spans="1:18" x14ac:dyDescent="0.2">
      <c r="E40" s="12"/>
    </row>
    <row r="41" spans="1:18" s="2" customFormat="1" x14ac:dyDescent="0.2">
      <c r="A41" s="7" t="s"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3" spans="1:18" x14ac:dyDescent="0.2">
      <c r="B43" s="9" t="s">
        <v>7</v>
      </c>
      <c r="C43" s="9"/>
      <c r="D43" s="9"/>
      <c r="E43" s="13" t="s">
        <v>0</v>
      </c>
      <c r="F43" s="13" t="s">
        <v>1</v>
      </c>
      <c r="G43" s="13" t="s">
        <v>27</v>
      </c>
      <c r="H43" s="13" t="s">
        <v>28</v>
      </c>
    </row>
    <row r="44" spans="1:18" x14ac:dyDescent="0.2">
      <c r="B44" s="2" t="s">
        <v>6</v>
      </c>
      <c r="C44" s="2"/>
      <c r="D44" s="2"/>
      <c r="E44" s="30">
        <f>IF(E36=0,0,IF(E$43="CBD", cbd_vcr, non_cbd_vcr)*(1-(1/(1+E$30))))</f>
        <v>27130.829268292684</v>
      </c>
      <c r="F44" s="30">
        <f>IF(F36=0,0,IF(F$43="CBD", cbd_vcr, non_cbd_vcr)*(1-(1/(1+F$30))))</f>
        <v>25113.689895470383</v>
      </c>
      <c r="G44" s="30">
        <f>IF(G36=0,0,IF(G$43="CBD", cbd_vcr, non_cbd_vcr)*(1-(1/(1+G$30))))</f>
        <v>0</v>
      </c>
      <c r="H44" s="30">
        <f>IF(H36=0,0,IF(H$43="CBD", cbd_vcr, non_cbd_vcr)*(1-(1/(1+H$30))))</f>
        <v>0</v>
      </c>
    </row>
    <row r="45" spans="1:18" x14ac:dyDescent="0.2">
      <c r="B45" s="2" t="s">
        <v>5</v>
      </c>
      <c r="C45" s="2"/>
      <c r="D45" s="2"/>
      <c r="E45" s="30">
        <f>IF(E37=0,0, IF(E$43="CBD", cbd_vcr, non_cbd_vcr)/(1+E$30))</f>
        <v>18087.219512195123</v>
      </c>
      <c r="F45" s="30">
        <f>IF(F37=0,0, IF(F$43="CBD", cbd_vcr, non_cbd_vcr)/(1+F$30))</f>
        <v>16742.459930313587</v>
      </c>
      <c r="G45" s="30">
        <f>IF(G37=0,0, IF(G$43="CBD", cbd_vcr, non_cbd_vcr)/(1+G$30))</f>
        <v>0</v>
      </c>
      <c r="H45" s="30">
        <f>IF(H37=0,0, IF(H$43="CBD", cbd_vcr, non_cbd_vcr)/(1+H$30))</f>
        <v>0</v>
      </c>
    </row>
    <row r="46" spans="1:18" x14ac:dyDescent="0.2">
      <c r="B46" s="2"/>
      <c r="C46" s="2"/>
      <c r="D46" s="2"/>
      <c r="E46" s="30"/>
      <c r="F46" s="30"/>
      <c r="G46" s="30"/>
      <c r="H46" s="30"/>
    </row>
    <row r="47" spans="1:18" x14ac:dyDescent="0.2">
      <c r="B47" s="2"/>
      <c r="C47" s="2"/>
      <c r="D47" s="2"/>
      <c r="F47" s="14"/>
      <c r="G47" s="14"/>
    </row>
    <row r="48" spans="1:18" x14ac:dyDescent="0.2">
      <c r="B48" s="9" t="s">
        <v>15</v>
      </c>
      <c r="C48" s="9"/>
      <c r="D48" s="9"/>
      <c r="E48" s="13" t="s">
        <v>0</v>
      </c>
      <c r="F48" s="13" t="s">
        <v>1</v>
      </c>
      <c r="G48" s="13" t="s">
        <v>27</v>
      </c>
      <c r="H48" s="13" t="s">
        <v>28</v>
      </c>
      <c r="I48" s="13" t="s">
        <v>30</v>
      </c>
    </row>
    <row r="49" spans="2:16" x14ac:dyDescent="0.2">
      <c r="B49" s="2" t="s">
        <v>17</v>
      </c>
      <c r="C49" s="2"/>
      <c r="D49" s="2"/>
      <c r="E49" s="33">
        <f>IF(E44=0,0,((E44*E$25)/(revenue*1000000))/mins_pa)*100</f>
        <v>2.0567477507736194E-2</v>
      </c>
      <c r="F49" s="33">
        <f>IF(F44=0,0,((F44*F$25)/(revenue*1000000))/mins_pa)*100</f>
        <v>8.7226395810751478E-2</v>
      </c>
      <c r="G49" s="33">
        <f>IF(G44=0,0,((G44*G$25)/(revenue*1000000))/mins_pa)</f>
        <v>0</v>
      </c>
      <c r="H49" s="31">
        <f>IF(H44=0,0,((H44*H$25)/(revenue*1000000))/mins_pa)</f>
        <v>0</v>
      </c>
      <c r="N49" s="20"/>
      <c r="O49" s="20"/>
      <c r="P49" s="20"/>
    </row>
    <row r="50" spans="2:16" x14ac:dyDescent="0.2">
      <c r="B50" s="2" t="s">
        <v>16</v>
      </c>
      <c r="C50" s="2"/>
      <c r="D50" s="2"/>
      <c r="E50" s="50">
        <f>IF(E45=0,0,((E45*E$25)/(revenue*1000000))/mins_pa*(E$36/E$37))*100</f>
        <v>1.1229221114589163</v>
      </c>
      <c r="F50" s="50">
        <f>IF(F45=0,0,((F45*F$25)/(revenue*1000000))/mins_pa*(F$36/F$37))*100</f>
        <v>4.1844115568351254</v>
      </c>
      <c r="G50" s="32">
        <f>IF(G45=0,0,((G45*G$25)/(revenue*1000000))/mins_pa*(G$36/G$37))</f>
        <v>0</v>
      </c>
      <c r="H50" s="31">
        <f>IF(H45=0,0,((H45*H$25)/(revenue*1000000))/mins_pa*(H$36/H$37))</f>
        <v>0</v>
      </c>
      <c r="N50" s="20"/>
      <c r="O50" s="20"/>
      <c r="P50" s="20"/>
    </row>
    <row r="51" spans="2:16" x14ac:dyDescent="0.2">
      <c r="B51" s="2" t="s">
        <v>18</v>
      </c>
      <c r="C51" s="2"/>
      <c r="D51" s="2"/>
      <c r="E51" s="50">
        <f>E50*maifi_perc</f>
        <v>8.9833768916713311E-2</v>
      </c>
      <c r="F51" s="50">
        <f>F50*maifi_perc</f>
        <v>0.33475292454681005</v>
      </c>
      <c r="G51" s="33">
        <f>G50*maifi_perc</f>
        <v>0</v>
      </c>
      <c r="H51" s="31">
        <f>H50*maifi_perc</f>
        <v>0</v>
      </c>
      <c r="N51" s="20"/>
      <c r="O51" s="20"/>
      <c r="P51" s="20"/>
    </row>
    <row r="52" spans="2:16" x14ac:dyDescent="0.2">
      <c r="B52" s="2" t="s">
        <v>12</v>
      </c>
      <c r="C52" s="2"/>
      <c r="D52" s="2"/>
      <c r="F52" s="15"/>
      <c r="G52" s="15"/>
      <c r="I52" s="29">
        <v>-4.0000000000000002E-4</v>
      </c>
      <c r="J5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Calc</vt:lpstr>
      <vt:lpstr>Calc!cbd_vcr</vt:lpstr>
      <vt:lpstr>Calc!energy</vt:lpstr>
      <vt:lpstr>Calc!maifi_perc</vt:lpstr>
      <vt:lpstr>Calc!mins_pa</vt:lpstr>
      <vt:lpstr>Calc!non_cbd_vcr</vt:lpstr>
      <vt:lpstr>Calc!revenue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2020-01-24T01:07:15Z</dcterms:created>
  <dcterms:modified xsi:type="dcterms:W3CDTF">2020-11-29T22:36:31Z</dcterms:modified>
</cp:coreProperties>
</file>